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57.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lc91370\AppData\Local\Microsoft\Windows\INetCache\Content.Outlook\I7QG2LJJ\"/>
    </mc:Choice>
  </mc:AlternateContent>
  <xr:revisionPtr revIDLastSave="11" documentId="8_{ACC7F459-5234-4B22-9B2A-973E6A3B9C1A}" xr6:coauthVersionLast="47" xr6:coauthVersionMax="47" xr10:uidLastSave="{A012A182-2670-4BB6-8A5A-4A81D65394CC}"/>
  <workbookProtection workbookAlgorithmName="SHA-512" workbookHashValue="xfhvkZS7NSEgolUUDHPk/9wdyXCiG8uL7gITPNrwKJGZiGdHJmOHI5WdekOrUMqnSG9qkYzLtP8x+cUp0jsrsA==" workbookSaltValue="ASl6QBgSdG/Sg3tL6YlQQg==" workbookSpinCount="100000" lockStructure="1"/>
  <bookViews>
    <workbookView xWindow="-28920" yWindow="-120" windowWidth="29040" windowHeight="15720" firstSheet="1" activeTab="1" xr2:uid="{8CFBD212-BD11-4919-B26F-8D00213D30C3}"/>
  </bookViews>
  <sheets>
    <sheet name="Data" sheetId="10" state="hidden" r:id="rId1"/>
    <sheet name="1. Demande" sheetId="11" r:id="rId2"/>
    <sheet name="2. Plan d'implantation" sheetId="4" r:id="rId3"/>
    <sheet name="3 Rapport détaillé des coûts" sheetId="13" r:id="rId4"/>
    <sheet name="4. Résultats plan implantation" sheetId="12" state="hidden" r:id="rId5"/>
    <sheet name="4. Calcul Énergir et HQ" sheetId="29" r:id="rId6"/>
    <sheet name="Data_calc" sheetId="31" state="hidden" r:id="rId7"/>
    <sheet name="5. Dépenses internes" sheetId="37" r:id="rId8"/>
    <sheet name="Code CAE" sheetId="27" state="hidden" r:id="rId9"/>
    <sheet name="Définition" sheetId="30" state="hidden" r:id="rId10"/>
    <sheet name="CAE-SCIAN" sheetId="24" state="hidden" r:id="rId11"/>
    <sheet name="Annexe1 - GuidePlanImplantation" sheetId="33" r:id="rId12"/>
    <sheet name="Annexe 2 - Gabarit facture" sheetId="39" r:id="rId13"/>
    <sheet name="Annexe 3 - Facteurs" sheetId="34" r:id="rId14"/>
  </sheets>
  <externalReferences>
    <externalReference r:id="rId15"/>
  </externalReferences>
  <definedNames>
    <definedName name="_xlnm._FilterDatabase" localSheetId="0" hidden="1">Data!$Z$76:$AE$188</definedName>
    <definedName name="_Hlk147133535" localSheetId="11">'Annexe1 - GuidePlanImplantation'!#REF!</definedName>
    <definedName name="_Hlk147137637" localSheetId="11">'Annexe1 - GuidePlanImplantation'!$M$8</definedName>
    <definedName name="_Hlk147137982" localSheetId="11">'Annexe1 - GuidePlanImplantation'!$M$13</definedName>
    <definedName name="_Hlk147138185" localSheetId="11">'Annexe1 - GuidePlanImplantation'!$M$14</definedName>
    <definedName name="_Hlk147220100" localSheetId="11">'Annexe1 - GuidePlanImplantation'!#REF!</definedName>
    <definedName name="A_Batiment">Définition!$C$3:$C$9</definedName>
    <definedName name="Action">Data!$M$6:$M$11</definedName>
    <definedName name="Activite_Gestion_Dev">Data!$A$176:$M$182</definedName>
    <definedName name="ActiviteTransportExport">Data!$A$226:$AT$246</definedName>
    <definedName name="Age_du_batiment">Data_calc!$G$42:$G$44</definedName>
    <definedName name="Aide_dem">Data!$A$26:$A$27</definedName>
    <definedName name="Aide_Fin_3a">#REF!</definedName>
    <definedName name="Aide_fin_3b">#REF!</definedName>
    <definedName name="Aide_fin_3c">#REF!</definedName>
    <definedName name="Aide_fin_3d">#REF!</definedName>
    <definedName name="Aide_fin_3e">#REF!</definedName>
    <definedName name="AnalExport">Data!$A$135:$L$136</definedName>
    <definedName name="Analyse">Data!$L$58:$L$61</definedName>
    <definedName name="Appel">Data!$B$7:$B$9</definedName>
    <definedName name="Autes_Sites">Data!$H$195:$R$224</definedName>
    <definedName name="Autres_Sites">Data!$G$195:$R$224</definedName>
    <definedName name="BienerComp">Data!$DL$9:$DN$10</definedName>
    <definedName name="Bonif_microclimat">Data_calc!$I$3:$I$8</definedName>
    <definedName name="CAE">'CAE-SCIAN'!$C$2:$C$1299</definedName>
    <definedName name="CAE_SCIAN">'CAE-SCIAN'!$C$2:$I$1299</definedName>
    <definedName name="Code_appel">Data!$A$7:$B$8</definedName>
    <definedName name="Commercial__Institutionnel_SANS_équipement_efficace">Data_calc!$G$33:$G$34</definedName>
    <definedName name="compresseur_simple">Data_calc!$N$137:$N$139</definedName>
    <definedName name="Connaissances">Data!$T$58:$T$59</definedName>
    <definedName name="Consomref">Data!$A$160:$K$166</definedName>
    <definedName name="Conversion">Data!$P$58</definedName>
    <definedName name="Def_sec_C">Data!$AA$5:$AA$14</definedName>
    <definedName name="Dep_3a">#REF!</definedName>
    <definedName name="Dep_3b">#REF!</definedName>
    <definedName name="Dep_3c">#REF!</definedName>
    <definedName name="Dep_3d">#REF!</definedName>
    <definedName name="Dep_3e">#REF!</definedName>
    <definedName name="Deploiement">#REF!</definedName>
    <definedName name="Deploiement2">Data!$G$187:$O$192</definedName>
    <definedName name="DEVA">Data!$P$30:$P$38</definedName>
    <definedName name="DEVB">Data!$Z$30:$Z$35</definedName>
    <definedName name="Echeancier">Data!$A$187:$F$207</definedName>
    <definedName name="Eff_énergétique">Data!$N$58</definedName>
    <definedName name="Efficacité">Data!$N$58</definedName>
    <definedName name="Émissions_fugitives">Data!$V$58:$V$59</definedName>
    <definedName name="Énergie">Data!$B$77:$B$120</definedName>
    <definedName name="Énergie_Biénergie">Data!$B$77:$B$79</definedName>
    <definedName name="Energie_SEQ">Data!$A$76:$X$120</definedName>
    <definedName name="EquipTranspoert">Data!$AF$30:$AF$32</definedName>
    <definedName name="EquipTransportExport">Data!$A$226:$T$228</definedName>
    <definedName name="Exportation">Data!$A$1:$FY$2</definedName>
    <definedName name="f">[1]Feuil1!$M$44</definedName>
    <definedName name="Fin_Autre">Data!$B$29:$B$47</definedName>
    <definedName name="Fin_Autre_Biénergie">Data!$B$29:$B$32</definedName>
    <definedName name="Fin_autre2">Data!$B$29:$C$47</definedName>
    <definedName name="Fin_autre3">Data!$L$29:$L$46</definedName>
    <definedName name="Fugitive">Data!$AA$77:$AA$226</definedName>
    <definedName name="GESA">Data!$F$30:$F$34</definedName>
    <definedName name="GESB">Data!$K$30:$K$32</definedName>
    <definedName name="Gestion">Data!$R$58:$R$58</definedName>
    <definedName name="Gestion_d_énergie">Data!$R$58</definedName>
    <definedName name="Implantation">'2. Plan d''implantation'!$C$15:$AT$49</definedName>
    <definedName name="_xlnm.Print_Titles" localSheetId="1">'1. Demande'!$1:$6</definedName>
    <definedName name="_xlnm.Print_Titles" localSheetId="9">Définition!$1:$1</definedName>
    <definedName name="InnoDescType">Data!$A$211:$D$219</definedName>
    <definedName name="Innovation">Data!$J$58:$J$63</definedName>
    <definedName name="Liste_des_types_de_bâtiment">Data_calc!$G$32:$G$34</definedName>
    <definedName name="Montage_Fin">Data!$A$151:$G$158</definedName>
    <definedName name="Montage_Fin_Inno">Data!$A$142:$K$149</definedName>
    <definedName name="Nbremes">Data!$FW$2</definedName>
    <definedName name="NRJ">Data!$A$76:$X$127</definedName>
    <definedName name="OPTER">Data!$V$58:$V$59</definedName>
    <definedName name="Ordre">Data!$D$6:$D$9</definedName>
    <definedName name="PRP">Data!$AA$77:$AA$226</definedName>
    <definedName name="Recom">Data!$K$6:$K$9</definedName>
    <definedName name="Refrigref">Data!$A$168:$X$174</definedName>
    <definedName name="Rep_Dep">Data!$A$250:$H$254</definedName>
    <definedName name="Rep_dep_Inno">Data!$A$259:$F$264</definedName>
    <definedName name="ResImplantation">'4. Résultats plan implantation'!$A$15:$AN$49</definedName>
    <definedName name="Tarif">Data_calc!$G$52:$G$54</definedName>
    <definedName name="Terme_sec_C">Data!$Z$5:$Z$14</definedName>
    <definedName name="TPS" localSheetId="12">'Annexe 2 - Gabarit facture'!$L$44</definedName>
    <definedName name="TVQ" localSheetId="12">'Annexe 2 - Gabarit facture'!$L$45</definedName>
    <definedName name="Type_Aide">Data!$G$16:$G$20</definedName>
    <definedName name="type_bibloc">Data_calc!$N$181:$N$184</definedName>
    <definedName name="type_boucle_eau">Data_calc!$N$169:$N$172</definedName>
    <definedName name="Type_de_batiment">Data_calc!$G$47:$G$50</definedName>
    <definedName name="type_de_bâtiment" localSheetId="5">Data_calc!$G$32:$G$34</definedName>
    <definedName name="Type_de_bâtiment">Data_calc!$G$46:$G$50</definedName>
    <definedName name="Type_de_compresseur">Data_calc!$G$68:$G$72</definedName>
    <definedName name="Type_de_projet">Data_calc!$G$37:$G$40</definedName>
    <definedName name="Type_dequipement">Data_calc!$G$56:$G$61</definedName>
    <definedName name="Type_dequipement_eff">Data_calc!$L$48:$L$52</definedName>
    <definedName name="Type_dinstallation">Data_calc!$G$63:$G$65</definedName>
    <definedName name="Type_emission">Data!$I$6:$I$9</definedName>
    <definedName name="Type_Entreprise">Data!$V$5:$V$23</definedName>
    <definedName name="type_rooftop">Data_calc!$N$132:$N$134</definedName>
    <definedName name="Type_sys">Data!$P$6:$P$7</definedName>
    <definedName name="type_vrf">Data_calc!$N$176:$N$178</definedName>
    <definedName name="Unite">Data!$B$49:$B$51</definedName>
    <definedName name="Unite_Surface">Data!$E$50:$E$51</definedName>
    <definedName name="Volet">Data!$F$6:$F$8</definedName>
    <definedName name="_xlnm.Print_Area" localSheetId="1">'1. Demande'!$C$1:$AS$239</definedName>
    <definedName name="_xlnm.Print_Area" localSheetId="2">'2. Plan d''implantation'!$C$1:$AH$50</definedName>
    <definedName name="_xlnm.Print_Area" localSheetId="3">'3 Rapport détaillé des coûts'!$C$1:$U$74</definedName>
    <definedName name="_xlnm.Print_Area" localSheetId="5">'4. Calcul Énergir et HQ'!$C$1:$BU$94</definedName>
    <definedName name="_xlnm.Print_Area" localSheetId="4">'4. Résultats plan implantation'!$A$1:$AE$50</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4" l="1"/>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L43" i="39"/>
  <c r="F37" i="39"/>
  <c r="G37" i="39" s="1"/>
  <c r="H37" i="39" s="1"/>
  <c r="F36" i="39"/>
  <c r="H35" i="39"/>
  <c r="P17" i="4"/>
  <c r="P18" i="4"/>
  <c r="P19" i="4"/>
  <c r="P20" i="4"/>
  <c r="P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16" i="4"/>
  <c r="O200" i="31"/>
  <c r="O201" i="31"/>
  <c r="O202" i="31"/>
  <c r="O203" i="31"/>
  <c r="O204" i="31"/>
  <c r="P200" i="31"/>
  <c r="P201" i="31"/>
  <c r="P202" i="31"/>
  <c r="P203" i="31"/>
  <c r="P204" i="31"/>
  <c r="Q200" i="31"/>
  <c r="Q201" i="31"/>
  <c r="Q202" i="31"/>
  <c r="Q203" i="31"/>
  <c r="Q204" i="31"/>
  <c r="R200" i="31"/>
  <c r="R201" i="31"/>
  <c r="R202" i="31"/>
  <c r="R203" i="31"/>
  <c r="R204" i="31"/>
  <c r="R199" i="31"/>
  <c r="Q199" i="31"/>
  <c r="P199" i="31"/>
  <c r="O199" i="31"/>
  <c r="O209" i="31" s="1"/>
  <c r="R225" i="31"/>
  <c r="R226" i="31"/>
  <c r="R227" i="31"/>
  <c r="R228" i="31"/>
  <c r="R229" i="31"/>
  <c r="Q225" i="31"/>
  <c r="Q226" i="31"/>
  <c r="Q227" i="31"/>
  <c r="Q228" i="31"/>
  <c r="Q229" i="31"/>
  <c r="P225" i="31"/>
  <c r="P226" i="31"/>
  <c r="P227" i="31"/>
  <c r="P228" i="31"/>
  <c r="P229" i="31"/>
  <c r="O225" i="31"/>
  <c r="S225" i="31" s="1"/>
  <c r="O226" i="31"/>
  <c r="S226" i="31" s="1"/>
  <c r="O227" i="31"/>
  <c r="S227" i="31" s="1"/>
  <c r="O228" i="31"/>
  <c r="S228" i="31" s="1"/>
  <c r="O229" i="31"/>
  <c r="S229" i="31" s="1"/>
  <c r="R224" i="31"/>
  <c r="Q224" i="31"/>
  <c r="P224" i="31"/>
  <c r="O224" i="31"/>
  <c r="O233" i="31" s="1"/>
  <c r="O239" i="31"/>
  <c r="O238" i="31"/>
  <c r="O237" i="31"/>
  <c r="O236" i="31"/>
  <c r="O235" i="31"/>
  <c r="O234" i="31"/>
  <c r="S215" i="31"/>
  <c r="R215" i="31"/>
  <c r="Q215" i="31"/>
  <c r="O215" i="31"/>
  <c r="S214" i="31"/>
  <c r="R214" i="31"/>
  <c r="Q214" i="31"/>
  <c r="O214" i="31"/>
  <c r="S212" i="31"/>
  <c r="R212" i="31"/>
  <c r="Q212" i="31"/>
  <c r="O212" i="31"/>
  <c r="S211" i="31"/>
  <c r="R211" i="31"/>
  <c r="Q211" i="31"/>
  <c r="O211" i="31"/>
  <c r="S209" i="31"/>
  <c r="R209" i="31"/>
  <c r="Q209" i="31"/>
  <c r="Q233" i="31" s="1"/>
  <c r="P209" i="31"/>
  <c r="P233" i="31" s="1"/>
  <c r="T190" i="31"/>
  <c r="S190" i="31"/>
  <c r="T186" i="31"/>
  <c r="S186" i="31"/>
  <c r="S185" i="31"/>
  <c r="R190" i="31"/>
  <c r="R189" i="31"/>
  <c r="R186" i="31"/>
  <c r="R185" i="31"/>
  <c r="O192" i="31"/>
  <c r="O183" i="31"/>
  <c r="O178" i="31"/>
  <c r="P167" i="31"/>
  <c r="P168" i="31"/>
  <c r="P169" i="31"/>
  <c r="P170" i="31"/>
  <c r="P171" i="31"/>
  <c r="P166" i="31"/>
  <c r="Q167" i="31"/>
  <c r="Q168" i="31"/>
  <c r="Q169" i="31"/>
  <c r="Q170" i="31"/>
  <c r="Q171" i="31"/>
  <c r="Q166" i="31"/>
  <c r="O167" i="31"/>
  <c r="R167" i="31"/>
  <c r="S167" i="31"/>
  <c r="O168" i="31"/>
  <c r="R168" i="31"/>
  <c r="S168" i="31"/>
  <c r="O169" i="31"/>
  <c r="R169" i="31"/>
  <c r="S169" i="31"/>
  <c r="O170" i="31"/>
  <c r="R170" i="31"/>
  <c r="S170" i="31"/>
  <c r="O171" i="31"/>
  <c r="R171" i="31"/>
  <c r="S171" i="31"/>
  <c r="AA166" i="31"/>
  <c r="Z199" i="31" s="1"/>
  <c r="Z224" i="31" s="1"/>
  <c r="Z166" i="31"/>
  <c r="Y199" i="31" s="1"/>
  <c r="Y224" i="31" s="1"/>
  <c r="U166" i="31"/>
  <c r="T199" i="31" s="1"/>
  <c r="T224" i="31" s="1"/>
  <c r="V166" i="31"/>
  <c r="U199" i="31" s="1"/>
  <c r="U224" i="31" s="1"/>
  <c r="W166" i="31"/>
  <c r="V199" i="31" s="1"/>
  <c r="V224" i="31" s="1"/>
  <c r="X166" i="31"/>
  <c r="W199" i="31" s="1"/>
  <c r="W224" i="31" s="1"/>
  <c r="Y166" i="31"/>
  <c r="X199" i="31" s="1"/>
  <c r="X224" i="31" s="1"/>
  <c r="T166" i="31"/>
  <c r="S199" i="31" s="1"/>
  <c r="S224" i="31" s="1"/>
  <c r="R166" i="31"/>
  <c r="S166" i="31"/>
  <c r="O166" i="31"/>
  <c r="P133" i="31"/>
  <c r="D119" i="31"/>
  <c r="Q145" i="31"/>
  <c r="R133" i="31"/>
  <c r="R134" i="31"/>
  <c r="R135" i="31"/>
  <c r="R136" i="31"/>
  <c r="R137" i="31"/>
  <c r="S133" i="31"/>
  <c r="S134" i="31"/>
  <c r="S135" i="31"/>
  <c r="S136" i="31"/>
  <c r="S137" i="31"/>
  <c r="S132" i="31"/>
  <c r="R132" i="31"/>
  <c r="Q133" i="31"/>
  <c r="Q134" i="31"/>
  <c r="Q135" i="31"/>
  <c r="Q136" i="31"/>
  <c r="Q137" i="31"/>
  <c r="Q132" i="31"/>
  <c r="P134" i="31"/>
  <c r="P135" i="31"/>
  <c r="P136" i="31"/>
  <c r="P137" i="31"/>
  <c r="P132" i="31"/>
  <c r="O132" i="31"/>
  <c r="O134" i="31"/>
  <c r="O135" i="31"/>
  <c r="O136" i="31"/>
  <c r="O137" i="31"/>
  <c r="O133" i="31"/>
  <c r="W125" i="31"/>
  <c r="L19" i="37"/>
  <c r="L18" i="37"/>
  <c r="L17" i="37"/>
  <c r="L16" i="37"/>
  <c r="L15" i="37"/>
  <c r="L14" i="37"/>
  <c r="L13" i="37"/>
  <c r="L12" i="37"/>
  <c r="W9" i="29"/>
  <c r="AZ17" i="4"/>
  <c r="AZ18" i="4"/>
  <c r="AZ19" i="4"/>
  <c r="AZ20" i="4"/>
  <c r="AZ21" i="4"/>
  <c r="AZ22" i="4"/>
  <c r="AZ23" i="4"/>
  <c r="AZ24" i="4"/>
  <c r="AZ25" i="4"/>
  <c r="AZ26" i="4"/>
  <c r="AZ27" i="4"/>
  <c r="AZ28" i="4"/>
  <c r="AZ29" i="4"/>
  <c r="AZ30" i="4"/>
  <c r="AZ31" i="4"/>
  <c r="AZ32" i="4"/>
  <c r="AZ33" i="4"/>
  <c r="AZ34" i="4"/>
  <c r="AZ35" i="4"/>
  <c r="AZ36" i="4"/>
  <c r="AZ37" i="4"/>
  <c r="AZ38" i="4"/>
  <c r="AZ39" i="4"/>
  <c r="AZ40" i="4"/>
  <c r="AZ41" i="4"/>
  <c r="AZ42" i="4"/>
  <c r="AZ43" i="4"/>
  <c r="AZ44" i="4"/>
  <c r="AZ45" i="4"/>
  <c r="AZ46" i="4"/>
  <c r="AZ47" i="4"/>
  <c r="AZ48" i="4"/>
  <c r="AZ49" i="4"/>
  <c r="AY19" i="4"/>
  <c r="Y36" i="29"/>
  <c r="J81" i="31" s="1"/>
  <c r="J82" i="31" s="1"/>
  <c r="J83" i="31" s="1"/>
  <c r="G84" i="31"/>
  <c r="J80" i="31"/>
  <c r="F87" i="31"/>
  <c r="F88" i="31"/>
  <c r="F89" i="31"/>
  <c r="F90" i="31"/>
  <c r="F91" i="31"/>
  <c r="D181" i="11"/>
  <c r="B153" i="10" s="1"/>
  <c r="AW17" i="4"/>
  <c r="AW18" i="4"/>
  <c r="AW21" i="4"/>
  <c r="AW22" i="4"/>
  <c r="AW23" i="4"/>
  <c r="AW24" i="4"/>
  <c r="AW25" i="4"/>
  <c r="AW26" i="4"/>
  <c r="AW27" i="4"/>
  <c r="AW28" i="4"/>
  <c r="AW29" i="4"/>
  <c r="AW30" i="4"/>
  <c r="AW31" i="4"/>
  <c r="AW32" i="4"/>
  <c r="AW33" i="4"/>
  <c r="AW34" i="4"/>
  <c r="AW35" i="4"/>
  <c r="AW36" i="4"/>
  <c r="AW37" i="4"/>
  <c r="AW38" i="4"/>
  <c r="AW39" i="4"/>
  <c r="AW40" i="4"/>
  <c r="AW41" i="4"/>
  <c r="AW42" i="4"/>
  <c r="AW43" i="4"/>
  <c r="AW44" i="4"/>
  <c r="AW45" i="4"/>
  <c r="AW46" i="4"/>
  <c r="AW47" i="4"/>
  <c r="AW48" i="4"/>
  <c r="AW49" i="4"/>
  <c r="AW16" i="4"/>
  <c r="AV49" i="4"/>
  <c r="AU49" i="4"/>
  <c r="AV48" i="4"/>
  <c r="AU48" i="4"/>
  <c r="AV47" i="4"/>
  <c r="AU47" i="4"/>
  <c r="AV46" i="4"/>
  <c r="AU46" i="4"/>
  <c r="AV45" i="4"/>
  <c r="AU45" i="4"/>
  <c r="AV44" i="4"/>
  <c r="AU44" i="4"/>
  <c r="AV43" i="4"/>
  <c r="AU43" i="4"/>
  <c r="AV42" i="4"/>
  <c r="AU42" i="4"/>
  <c r="AV41" i="4"/>
  <c r="AU41" i="4"/>
  <c r="AV40" i="4"/>
  <c r="AU40" i="4"/>
  <c r="AV39" i="4"/>
  <c r="AU39" i="4"/>
  <c r="AV38" i="4"/>
  <c r="AU38" i="4"/>
  <c r="AV37" i="4"/>
  <c r="AU37" i="4"/>
  <c r="AV36" i="4"/>
  <c r="AU36" i="4"/>
  <c r="AV35" i="4"/>
  <c r="AU35" i="4"/>
  <c r="AV34" i="4"/>
  <c r="AU34" i="4"/>
  <c r="AV33" i="4"/>
  <c r="AU33" i="4"/>
  <c r="AV32" i="4"/>
  <c r="AU32" i="4"/>
  <c r="AV31" i="4"/>
  <c r="AU31" i="4"/>
  <c r="AV30" i="4"/>
  <c r="AU30" i="4"/>
  <c r="AV29" i="4"/>
  <c r="AU29" i="4"/>
  <c r="AV28" i="4"/>
  <c r="AU28" i="4"/>
  <c r="AV27" i="4"/>
  <c r="AU27" i="4"/>
  <c r="AV26" i="4"/>
  <c r="AU26" i="4"/>
  <c r="AV25" i="4"/>
  <c r="AU25" i="4"/>
  <c r="AV24" i="4"/>
  <c r="AU24" i="4"/>
  <c r="AV23" i="4"/>
  <c r="AU23" i="4"/>
  <c r="AV22" i="4"/>
  <c r="AU22" i="4"/>
  <c r="AV21" i="4"/>
  <c r="AU21" i="4"/>
  <c r="AV20" i="4"/>
  <c r="AV19" i="4"/>
  <c r="AU18" i="4"/>
  <c r="AV17" i="4"/>
  <c r="AU17" i="4"/>
  <c r="AV16" i="4"/>
  <c r="AU16" i="4"/>
  <c r="DR2" i="10"/>
  <c r="E159" i="11"/>
  <c r="DM10" i="10"/>
  <c r="DL10" i="10"/>
  <c r="DN10" i="10"/>
  <c r="DN2" i="10" s="1"/>
  <c r="E71" i="10"/>
  <c r="D71" i="10"/>
  <c r="E70" i="10"/>
  <c r="D70" i="10"/>
  <c r="C71" i="10"/>
  <c r="B71" i="10"/>
  <c r="C70" i="10"/>
  <c r="B70" i="10"/>
  <c r="G221" i="10"/>
  <c r="G113" i="31"/>
  <c r="G112" i="31"/>
  <c r="G111" i="31"/>
  <c r="G110" i="31"/>
  <c r="G109" i="31"/>
  <c r="F113" i="31"/>
  <c r="F112" i="31"/>
  <c r="F111" i="31"/>
  <c r="F110" i="31"/>
  <c r="F109" i="31"/>
  <c r="I91" i="31"/>
  <c r="I90" i="31"/>
  <c r="I89" i="31"/>
  <c r="I88" i="31"/>
  <c r="I87" i="31"/>
  <c r="D91" i="31"/>
  <c r="D90" i="31"/>
  <c r="D89" i="31"/>
  <c r="D88" i="31"/>
  <c r="D87" i="31"/>
  <c r="H28" i="31"/>
  <c r="N28" i="31"/>
  <c r="N29" i="31"/>
  <c r="C73" i="31"/>
  <c r="E87" i="31" s="1" a="1"/>
  <c r="E87" i="31" s="1"/>
  <c r="B86" i="31"/>
  <c r="C86" i="31"/>
  <c r="D86" i="31"/>
  <c r="I86" i="31"/>
  <c r="B87" i="31"/>
  <c r="C87" i="31"/>
  <c r="B88" i="31"/>
  <c r="C88" i="31"/>
  <c r="B89" i="31"/>
  <c r="C89" i="31"/>
  <c r="B90" i="31"/>
  <c r="C90" i="31"/>
  <c r="B91" i="31"/>
  <c r="C91" i="31"/>
  <c r="F103" i="31"/>
  <c r="E104" i="31"/>
  <c r="F104" i="31"/>
  <c r="F106" i="31" s="1" a="1"/>
  <c r="F106" i="31" s="1"/>
  <c r="E105" i="31"/>
  <c r="F105" i="31"/>
  <c r="C108" i="31"/>
  <c r="D108" i="31"/>
  <c r="E108" i="31"/>
  <c r="F108" i="31"/>
  <c r="G108" i="31"/>
  <c r="C109" i="31"/>
  <c r="D109" i="31"/>
  <c r="E109" i="31"/>
  <c r="P109" i="31"/>
  <c r="Q109" i="31"/>
  <c r="S109" i="31"/>
  <c r="T109" i="31"/>
  <c r="C110" i="31"/>
  <c r="D110" i="31"/>
  <c r="E110" i="31"/>
  <c r="P110" i="31"/>
  <c r="Q110" i="31"/>
  <c r="S110" i="31"/>
  <c r="T110" i="31"/>
  <c r="C111" i="31"/>
  <c r="D111" i="31"/>
  <c r="E111" i="31"/>
  <c r="P111" i="31"/>
  <c r="Q111" i="31"/>
  <c r="S111" i="31"/>
  <c r="T111" i="31"/>
  <c r="C112" i="31"/>
  <c r="D112" i="31"/>
  <c r="E112" i="31"/>
  <c r="P112" i="31"/>
  <c r="Q112" i="31"/>
  <c r="S112" i="31"/>
  <c r="T112" i="31"/>
  <c r="C113" i="31"/>
  <c r="D113" i="31"/>
  <c r="E113" i="31"/>
  <c r="P113" i="31"/>
  <c r="Q113" i="31"/>
  <c r="S113" i="31"/>
  <c r="T113" i="31"/>
  <c r="P114" i="31"/>
  <c r="Q114" i="31"/>
  <c r="S114" i="31"/>
  <c r="T114" i="31"/>
  <c r="P115" i="31"/>
  <c r="Q115" i="31"/>
  <c r="S115" i="31"/>
  <c r="T115" i="31"/>
  <c r="P116" i="31"/>
  <c r="Q116" i="31"/>
  <c r="S116" i="31"/>
  <c r="T116" i="31"/>
  <c r="N118" i="31"/>
  <c r="N119" i="31" s="1"/>
  <c r="V118" i="31"/>
  <c r="W118" i="31"/>
  <c r="N121" i="31"/>
  <c r="Y121" i="31"/>
  <c r="Z121" i="31"/>
  <c r="N122" i="31"/>
  <c r="Y122" i="31"/>
  <c r="Z122" i="31"/>
  <c r="K82" i="29"/>
  <c r="E161" i="11"/>
  <c r="E160" i="11"/>
  <c r="L59" i="13"/>
  <c r="L51" i="13"/>
  <c r="J28" i="13"/>
  <c r="AF158" i="11" s="1"/>
  <c r="K28" i="13"/>
  <c r="AK158" i="11" s="1"/>
  <c r="W7" i="13"/>
  <c r="A68" i="10" s="1"/>
  <c r="W8" i="13"/>
  <c r="A69" i="10" s="1"/>
  <c r="W6" i="13"/>
  <c r="A67" i="10" s="1"/>
  <c r="AG49" i="4"/>
  <c r="AG48" i="4"/>
  <c r="AI48" i="4" s="1"/>
  <c r="AG47" i="4"/>
  <c r="AI47" i="4" s="1"/>
  <c r="AG46" i="4"/>
  <c r="AI46" i="4" s="1"/>
  <c r="AG45" i="4"/>
  <c r="AI45" i="4" s="1"/>
  <c r="AG44" i="4"/>
  <c r="AI44" i="4" s="1"/>
  <c r="AG43" i="4"/>
  <c r="AI43" i="4" s="1"/>
  <c r="AG42" i="4"/>
  <c r="AI42" i="4" s="1"/>
  <c r="AG41" i="4"/>
  <c r="AG40" i="4"/>
  <c r="AI40" i="4" s="1"/>
  <c r="AG39" i="4"/>
  <c r="AI39" i="4" s="1"/>
  <c r="AG38" i="4"/>
  <c r="AI38" i="4" s="1"/>
  <c r="AG37" i="4"/>
  <c r="AI37" i="4" s="1"/>
  <c r="AG36" i="4"/>
  <c r="AI36" i="4" s="1"/>
  <c r="AG35" i="4"/>
  <c r="AI35" i="4" s="1"/>
  <c r="AG34" i="4"/>
  <c r="AI34" i="4" s="1"/>
  <c r="AG33" i="4"/>
  <c r="AI33" i="4" s="1"/>
  <c r="AG32" i="4"/>
  <c r="AI32" i="4" s="1"/>
  <c r="AG31" i="4"/>
  <c r="AI31" i="4" s="1"/>
  <c r="AG30" i="4"/>
  <c r="AI30" i="4" s="1"/>
  <c r="AG29" i="4"/>
  <c r="AI29" i="4" s="1"/>
  <c r="AG28" i="4"/>
  <c r="AI28" i="4" s="1"/>
  <c r="AG27" i="4"/>
  <c r="AI27" i="4" s="1"/>
  <c r="AG26" i="4"/>
  <c r="AI26" i="4" s="1"/>
  <c r="AG25" i="4"/>
  <c r="AI25" i="4" s="1"/>
  <c r="AG24" i="4"/>
  <c r="AI24" i="4" s="1"/>
  <c r="AG23" i="4"/>
  <c r="AI23" i="4" s="1"/>
  <c r="AG22" i="4"/>
  <c r="AI22" i="4" s="1"/>
  <c r="AG21" i="4"/>
  <c r="AI21" i="4" s="1"/>
  <c r="AG20" i="4"/>
  <c r="AI20" i="4" s="1"/>
  <c r="AG19" i="4"/>
  <c r="AI19" i="4" s="1"/>
  <c r="AG18" i="4"/>
  <c r="AI18" i="4" s="1"/>
  <c r="AG17" i="4"/>
  <c r="AI17" i="4" s="1"/>
  <c r="AG16" i="4"/>
  <c r="AI16" i="4" s="1"/>
  <c r="AD53" i="12"/>
  <c r="O196" i="10"/>
  <c r="P196" i="10"/>
  <c r="Q196" i="10"/>
  <c r="R196" i="10"/>
  <c r="I156" i="11"/>
  <c r="L70" i="13"/>
  <c r="L69" i="13"/>
  <c r="L68" i="13"/>
  <c r="L63" i="13"/>
  <c r="L61" i="13"/>
  <c r="L62" i="13"/>
  <c r="L60" i="13"/>
  <c r="L55" i="13"/>
  <c r="L53" i="13"/>
  <c r="L54" i="13"/>
  <c r="L52" i="13"/>
  <c r="L47" i="13"/>
  <c r="L45" i="13"/>
  <c r="L46" i="13"/>
  <c r="L44" i="13"/>
  <c r="L43" i="13"/>
  <c r="L39" i="13"/>
  <c r="L33" i="13"/>
  <c r="L34" i="13"/>
  <c r="L35" i="13"/>
  <c r="L36" i="13"/>
  <c r="L37" i="13"/>
  <c r="L38" i="13"/>
  <c r="L32" i="13"/>
  <c r="L31" i="13"/>
  <c r="L27" i="13"/>
  <c r="L19" i="13"/>
  <c r="L20" i="13"/>
  <c r="L21" i="13"/>
  <c r="L22" i="13"/>
  <c r="L23" i="13"/>
  <c r="L24" i="13"/>
  <c r="L25" i="13"/>
  <c r="L26" i="13"/>
  <c r="L18" i="13"/>
  <c r="AD16" i="12"/>
  <c r="AC16" i="12"/>
  <c r="C136" i="10"/>
  <c r="L136" i="10"/>
  <c r="D136" i="10"/>
  <c r="B136" i="10"/>
  <c r="FY2" i="10"/>
  <c r="FX2" i="10"/>
  <c r="P49" i="12"/>
  <c r="P48" i="12"/>
  <c r="P47" i="12"/>
  <c r="P46" i="12"/>
  <c r="P45" i="12"/>
  <c r="P44" i="12"/>
  <c r="P43" i="12"/>
  <c r="P42" i="12"/>
  <c r="P41" i="12"/>
  <c r="P40" i="12"/>
  <c r="P39" i="12"/>
  <c r="P38" i="12"/>
  <c r="P37" i="12"/>
  <c r="P36" i="12"/>
  <c r="P35" i="12"/>
  <c r="P34" i="12"/>
  <c r="P33" i="12"/>
  <c r="P32" i="12"/>
  <c r="P31" i="12"/>
  <c r="P30" i="12"/>
  <c r="P29" i="12"/>
  <c r="P28" i="12"/>
  <c r="P27" i="12"/>
  <c r="P26" i="12"/>
  <c r="P25" i="12"/>
  <c r="P24" i="12"/>
  <c r="P23" i="12"/>
  <c r="P22" i="12"/>
  <c r="P21" i="12"/>
  <c r="P20" i="12"/>
  <c r="P19" i="12"/>
  <c r="P18" i="12"/>
  <c r="P17" i="12"/>
  <c r="P16" i="12"/>
  <c r="R49" i="4"/>
  <c r="AY49" i="4" s="1"/>
  <c r="R48" i="4"/>
  <c r="AY48" i="4" s="1"/>
  <c r="R47" i="4"/>
  <c r="AY47" i="4" s="1"/>
  <c r="R46" i="4"/>
  <c r="AY46" i="4" s="1"/>
  <c r="R45" i="4"/>
  <c r="AY45" i="4" s="1"/>
  <c r="R44" i="4"/>
  <c r="AY44" i="4" s="1"/>
  <c r="R43" i="4"/>
  <c r="AY43" i="4" s="1"/>
  <c r="R42" i="4"/>
  <c r="AY42" i="4" s="1"/>
  <c r="R41" i="4"/>
  <c r="AY41" i="4" s="1"/>
  <c r="R40" i="4"/>
  <c r="AY40" i="4" s="1"/>
  <c r="R39" i="4"/>
  <c r="AY39" i="4" s="1"/>
  <c r="R38" i="4"/>
  <c r="AY38" i="4" s="1"/>
  <c r="R37" i="4"/>
  <c r="AY37" i="4" s="1"/>
  <c r="R36" i="4"/>
  <c r="AY36" i="4" s="1"/>
  <c r="R35" i="4"/>
  <c r="AY35" i="4" s="1"/>
  <c r="R34" i="4"/>
  <c r="AY34" i="4" s="1"/>
  <c r="R33" i="4"/>
  <c r="AY33" i="4" s="1"/>
  <c r="R32" i="4"/>
  <c r="AY32" i="4" s="1"/>
  <c r="R31" i="4"/>
  <c r="AY31" i="4" s="1"/>
  <c r="R30" i="4"/>
  <c r="AY30" i="4" s="1"/>
  <c r="R29" i="4"/>
  <c r="AY29" i="4" s="1"/>
  <c r="R28" i="4"/>
  <c r="AY28" i="4" s="1"/>
  <c r="R27" i="4"/>
  <c r="AY27" i="4" s="1"/>
  <c r="R26" i="4"/>
  <c r="AY26" i="4" s="1"/>
  <c r="R25" i="4"/>
  <c r="AY25" i="4" s="1"/>
  <c r="R24" i="4"/>
  <c r="AY24" i="4" s="1"/>
  <c r="R23" i="4"/>
  <c r="AY23" i="4" s="1"/>
  <c r="R22" i="4"/>
  <c r="AY22" i="4" s="1"/>
  <c r="R21" i="4"/>
  <c r="AY21" i="4" s="1"/>
  <c r="AF49" i="12"/>
  <c r="AF48" i="12"/>
  <c r="AF47" i="12"/>
  <c r="AF46" i="12"/>
  <c r="AF45" i="12"/>
  <c r="AF44" i="12"/>
  <c r="AF43" i="12"/>
  <c r="AF42" i="12"/>
  <c r="AF41" i="12"/>
  <c r="AF40" i="12"/>
  <c r="AF39" i="12"/>
  <c r="AF38" i="12"/>
  <c r="AF37" i="12"/>
  <c r="AF36" i="12"/>
  <c r="AF35" i="12"/>
  <c r="AF34" i="12"/>
  <c r="AF33" i="12"/>
  <c r="AF32" i="12"/>
  <c r="AF31" i="12"/>
  <c r="AF30" i="12"/>
  <c r="AF29" i="12"/>
  <c r="AF28" i="12"/>
  <c r="AF27" i="12"/>
  <c r="AF26" i="12"/>
  <c r="AF25" i="12"/>
  <c r="AF24" i="12"/>
  <c r="AF23" i="12"/>
  <c r="AF22" i="12"/>
  <c r="AF21" i="12"/>
  <c r="AF20" i="12"/>
  <c r="AF19" i="12"/>
  <c r="AF18" i="12"/>
  <c r="AF17" i="12"/>
  <c r="AF16" i="12"/>
  <c r="AJ49" i="4"/>
  <c r="AR49" i="4" s="1"/>
  <c r="AJ48" i="4"/>
  <c r="AR48" i="4" s="1"/>
  <c r="AJ47" i="4"/>
  <c r="AR47" i="4" s="1"/>
  <c r="AJ46" i="4"/>
  <c r="AR46" i="4" s="1"/>
  <c r="AJ45" i="4"/>
  <c r="AJ44" i="4"/>
  <c r="AR44" i="4" s="1"/>
  <c r="AJ43" i="4"/>
  <c r="AR43" i="4" s="1"/>
  <c r="AJ42" i="4"/>
  <c r="AJ41" i="4"/>
  <c r="AJ40" i="4"/>
  <c r="AR40" i="4" s="1"/>
  <c r="AJ39" i="4"/>
  <c r="AJ38" i="4"/>
  <c r="AJ37" i="4"/>
  <c r="AJ36" i="4"/>
  <c r="AR36" i="4" s="1"/>
  <c r="AJ35" i="4"/>
  <c r="AR35" i="4" s="1"/>
  <c r="AJ34" i="4"/>
  <c r="AR34" i="4" s="1"/>
  <c r="AJ33" i="4"/>
  <c r="AR33" i="4" s="1"/>
  <c r="AJ32" i="4"/>
  <c r="AR32" i="4" s="1"/>
  <c r="AJ31" i="4"/>
  <c r="AR31" i="4" s="1"/>
  <c r="AJ30" i="4"/>
  <c r="AR30" i="4" s="1"/>
  <c r="AJ29" i="4"/>
  <c r="AR29" i="4" s="1"/>
  <c r="AJ28" i="4"/>
  <c r="AJ27" i="4"/>
  <c r="AR27" i="4" s="1"/>
  <c r="AJ26" i="4"/>
  <c r="AR26" i="4" s="1"/>
  <c r="AJ25" i="4"/>
  <c r="AR25" i="4" s="1"/>
  <c r="AJ24" i="4"/>
  <c r="AR24" i="4" s="1"/>
  <c r="AJ23" i="4"/>
  <c r="AR23" i="4" s="1"/>
  <c r="AJ22" i="4"/>
  <c r="AR22" i="4" s="1"/>
  <c r="AJ21" i="4"/>
  <c r="AR21" i="4" s="1"/>
  <c r="AJ20" i="4"/>
  <c r="AR20" i="4" s="1"/>
  <c r="AJ19" i="4"/>
  <c r="AR19" i="4" s="1"/>
  <c r="AJ18" i="4"/>
  <c r="AR18" i="4" s="1"/>
  <c r="AJ17" i="4"/>
  <c r="AJ16" i="4"/>
  <c r="DP2" i="10"/>
  <c r="F136" i="10" s="1"/>
  <c r="AI49" i="12"/>
  <c r="AI48" i="12"/>
  <c r="AI47" i="12"/>
  <c r="AI46" i="12"/>
  <c r="AI45" i="12"/>
  <c r="AI44" i="12"/>
  <c r="AI43" i="12"/>
  <c r="AI42" i="12"/>
  <c r="AI41" i="12"/>
  <c r="AI40" i="12"/>
  <c r="AI39" i="12"/>
  <c r="AI38" i="12"/>
  <c r="AI37" i="12"/>
  <c r="AI36" i="12"/>
  <c r="AI35" i="12"/>
  <c r="AI34" i="12"/>
  <c r="AI33" i="12"/>
  <c r="AI32" i="12"/>
  <c r="AI31" i="12"/>
  <c r="AI30" i="12"/>
  <c r="AI29" i="12"/>
  <c r="AI28" i="12"/>
  <c r="AI27" i="12"/>
  <c r="AI26" i="12"/>
  <c r="AI25" i="12"/>
  <c r="AI24" i="12"/>
  <c r="AI23" i="12"/>
  <c r="AI22" i="12"/>
  <c r="AI21" i="12"/>
  <c r="AI20" i="12"/>
  <c r="AI19" i="12"/>
  <c r="AI18" i="12"/>
  <c r="AI17" i="12"/>
  <c r="AI16" i="12"/>
  <c r="AM49" i="4"/>
  <c r="AM48" i="4"/>
  <c r="AM47"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21" i="4"/>
  <c r="AM20" i="4"/>
  <c r="AM19" i="4"/>
  <c r="AM18" i="4"/>
  <c r="AM17" i="4"/>
  <c r="AM16" i="4"/>
  <c r="D174" i="11"/>
  <c r="C182" i="10" s="1"/>
  <c r="D173" i="11"/>
  <c r="C181" i="10" s="1"/>
  <c r="D172" i="11"/>
  <c r="C180" i="10" s="1"/>
  <c r="D171" i="11"/>
  <c r="C179" i="10" s="1"/>
  <c r="F179" i="10" s="1"/>
  <c r="D170" i="11"/>
  <c r="C178" i="10" s="1"/>
  <c r="D169" i="11"/>
  <c r="C177" i="10" s="1"/>
  <c r="AS166" i="11"/>
  <c r="AK175" i="11"/>
  <c r="AB175" i="11"/>
  <c r="W175" i="11"/>
  <c r="AI49" i="4"/>
  <c r="AI41" i="4"/>
  <c r="T8" i="4"/>
  <c r="AA8" i="12" s="1"/>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DZ2" i="10"/>
  <c r="EA2" i="10"/>
  <c r="AD30" i="10"/>
  <c r="D167" i="11" s="1"/>
  <c r="AJ49" i="12"/>
  <c r="AJ48" i="12"/>
  <c r="AJ47" i="12"/>
  <c r="AJ46" i="12"/>
  <c r="AJ45" i="12"/>
  <c r="AJ44" i="12"/>
  <c r="AJ43" i="12"/>
  <c r="AJ42" i="12"/>
  <c r="AJ41" i="12"/>
  <c r="AJ40" i="12"/>
  <c r="AJ39" i="12"/>
  <c r="AJ38" i="12"/>
  <c r="AJ37" i="12"/>
  <c r="AJ36" i="12"/>
  <c r="AJ35" i="12"/>
  <c r="AJ34" i="12"/>
  <c r="AJ33" i="12"/>
  <c r="AJ32" i="12"/>
  <c r="AJ31" i="12"/>
  <c r="AJ30" i="12"/>
  <c r="AJ29" i="12"/>
  <c r="AJ28" i="12"/>
  <c r="AJ27" i="12"/>
  <c r="AJ26" i="12"/>
  <c r="AJ25" i="12"/>
  <c r="AJ24" i="12"/>
  <c r="AJ23" i="12"/>
  <c r="AJ22" i="12"/>
  <c r="AJ21" i="12"/>
  <c r="AJ20" i="12"/>
  <c r="AJ19" i="12"/>
  <c r="AJ18" i="12"/>
  <c r="AJ17" i="12"/>
  <c r="AJ16" i="12"/>
  <c r="AN49" i="4"/>
  <c r="AN48" i="4"/>
  <c r="AN47" i="4"/>
  <c r="AN46" i="4"/>
  <c r="AN45" i="4"/>
  <c r="AN44" i="4"/>
  <c r="AN43" i="4"/>
  <c r="AN42" i="4"/>
  <c r="AN41" i="4"/>
  <c r="AN40" i="4"/>
  <c r="AN39" i="4"/>
  <c r="AN38" i="4"/>
  <c r="AN37" i="4"/>
  <c r="AN36" i="4"/>
  <c r="AN35" i="4"/>
  <c r="AN34" i="4"/>
  <c r="AN33" i="4"/>
  <c r="AN32" i="4"/>
  <c r="AN31" i="4"/>
  <c r="AN30" i="4"/>
  <c r="AN29" i="4"/>
  <c r="AN28" i="4"/>
  <c r="AN27" i="4"/>
  <c r="AN26" i="4"/>
  <c r="AN25" i="4"/>
  <c r="AN24" i="4"/>
  <c r="AN23" i="4"/>
  <c r="AN22" i="4"/>
  <c r="AN21" i="4"/>
  <c r="AN20" i="4"/>
  <c r="AN19" i="4"/>
  <c r="AN18" i="4"/>
  <c r="AN17" i="4"/>
  <c r="AN16" i="4"/>
  <c r="EJ2" i="10"/>
  <c r="AO162" i="11"/>
  <c r="H255" i="10" s="1"/>
  <c r="AO163" i="11"/>
  <c r="H256" i="10" s="1"/>
  <c r="G255" i="10"/>
  <c r="G256" i="10"/>
  <c r="F255" i="10"/>
  <c r="F256" i="10"/>
  <c r="C255" i="10"/>
  <c r="C256" i="10"/>
  <c r="D255" i="10"/>
  <c r="D256" i="10"/>
  <c r="AB162" i="11"/>
  <c r="E255" i="10" s="1"/>
  <c r="AB163" i="11"/>
  <c r="E256" i="10" s="1"/>
  <c r="W135" i="11"/>
  <c r="W140" i="11" s="1"/>
  <c r="W136" i="11"/>
  <c r="W137" i="11"/>
  <c r="W138" i="11"/>
  <c r="W139" i="11"/>
  <c r="AA136" i="11"/>
  <c r="AD136" i="11"/>
  <c r="AG136" i="11"/>
  <c r="AQ136" i="11" s="1"/>
  <c r="AA137" i="11"/>
  <c r="AD137" i="11"/>
  <c r="AG137" i="11"/>
  <c r="AQ137" i="11" s="1"/>
  <c r="AA138" i="11"/>
  <c r="AD138" i="11"/>
  <c r="AG138" i="11"/>
  <c r="AQ138" i="11" s="1"/>
  <c r="AA139" i="11"/>
  <c r="AD139" i="11"/>
  <c r="AG139" i="11"/>
  <c r="AQ139" i="11" s="1"/>
  <c r="AG135" i="11"/>
  <c r="AQ135" i="11" s="1"/>
  <c r="AQ140" i="11" s="1"/>
  <c r="AD135" i="11"/>
  <c r="AD140" i="11" s="1"/>
  <c r="AA135" i="11"/>
  <c r="AA140" i="11" s="1"/>
  <c r="E136" i="11"/>
  <c r="E137" i="11"/>
  <c r="E138" i="11"/>
  <c r="E139" i="11"/>
  <c r="E135" i="11"/>
  <c r="B255" i="10"/>
  <c r="B256" i="10"/>
  <c r="E158" i="11"/>
  <c r="F216" i="11"/>
  <c r="AS167" i="11"/>
  <c r="AN49" i="12"/>
  <c r="AN48" i="12"/>
  <c r="AN47" i="12"/>
  <c r="AN46" i="12"/>
  <c r="AN45" i="12"/>
  <c r="AN44" i="12"/>
  <c r="AN43" i="12"/>
  <c r="AN42" i="12"/>
  <c r="AN41" i="12"/>
  <c r="AN40" i="12"/>
  <c r="AN39" i="12"/>
  <c r="AN38" i="12"/>
  <c r="AN37" i="12"/>
  <c r="AN36" i="12"/>
  <c r="AN35" i="12"/>
  <c r="AN34" i="12"/>
  <c r="AN33" i="12"/>
  <c r="AN32" i="12"/>
  <c r="AN31" i="12"/>
  <c r="AN30" i="12"/>
  <c r="AN29" i="12"/>
  <c r="AN28" i="12"/>
  <c r="AN27" i="12"/>
  <c r="AN26" i="12"/>
  <c r="AN25" i="12"/>
  <c r="AN24" i="12"/>
  <c r="AN23" i="12"/>
  <c r="AN22" i="12"/>
  <c r="AN21" i="12"/>
  <c r="AN20" i="12"/>
  <c r="AN19" i="12"/>
  <c r="AN18" i="12"/>
  <c r="AN17" i="12"/>
  <c r="AN16" i="12"/>
  <c r="AK49" i="12"/>
  <c r="AK48" i="12"/>
  <c r="AK47" i="12"/>
  <c r="AK46" i="12"/>
  <c r="AK45" i="12"/>
  <c r="AK44" i="12"/>
  <c r="AK43" i="12"/>
  <c r="AK42" i="12"/>
  <c r="AK41" i="12"/>
  <c r="AK40" i="12"/>
  <c r="AK39" i="12"/>
  <c r="AK38" i="12"/>
  <c r="AK37" i="12"/>
  <c r="AK36" i="12"/>
  <c r="AK35" i="12"/>
  <c r="AK34" i="12"/>
  <c r="AK33" i="12"/>
  <c r="AK32" i="12"/>
  <c r="AK31" i="12"/>
  <c r="AK30" i="12"/>
  <c r="AK29" i="12"/>
  <c r="AK28" i="12"/>
  <c r="AK27" i="12"/>
  <c r="AK26" i="12"/>
  <c r="AK25" i="12"/>
  <c r="AK24" i="12"/>
  <c r="AK23" i="12"/>
  <c r="AK22" i="12"/>
  <c r="AK21" i="12"/>
  <c r="AK20" i="12"/>
  <c r="AK19" i="12"/>
  <c r="AK18" i="12"/>
  <c r="AK17" i="12"/>
  <c r="AK16"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A146" i="11"/>
  <c r="AN146" i="11" s="1"/>
  <c r="AN153" i="11" s="1"/>
  <c r="AQ146" i="11" s="1"/>
  <c r="AQ153" i="11" s="1"/>
  <c r="AA147" i="11"/>
  <c r="AN147" i="11" s="1"/>
  <c r="AD147" i="11"/>
  <c r="AD153" i="11" s="1"/>
  <c r="AG147" i="11"/>
  <c r="AG153" i="11" s="1"/>
  <c r="AK147" i="11"/>
  <c r="AA148" i="11"/>
  <c r="AN148" i="11" s="1"/>
  <c r="AD148" i="11"/>
  <c r="AG148" i="11"/>
  <c r="AK148" i="11"/>
  <c r="AK153" i="11" s="1"/>
  <c r="AA149" i="11"/>
  <c r="AN149" i="11" s="1"/>
  <c r="AD149" i="11"/>
  <c r="AG149" i="11"/>
  <c r="AK149" i="11"/>
  <c r="AA150" i="11"/>
  <c r="AN150" i="11" s="1"/>
  <c r="AD150" i="11"/>
  <c r="AG150" i="11"/>
  <c r="AK150" i="11"/>
  <c r="AA151" i="11"/>
  <c r="AN151" i="11" s="1"/>
  <c r="AD151" i="11"/>
  <c r="AG151" i="11"/>
  <c r="AK151" i="11"/>
  <c r="AA152" i="11"/>
  <c r="AN152" i="11" s="1"/>
  <c r="AD152" i="11"/>
  <c r="AG152" i="11"/>
  <c r="AK152" i="11"/>
  <c r="AK135" i="11"/>
  <c r="AK140" i="11" s="1"/>
  <c r="J71" i="13"/>
  <c r="AF161" i="11" s="1"/>
  <c r="F254" i="10" s="1"/>
  <c r="J64" i="13"/>
  <c r="AF160" i="11" s="1"/>
  <c r="F253" i="10" s="1"/>
  <c r="K64" i="13"/>
  <c r="J56" i="13"/>
  <c r="K56" i="13"/>
  <c r="AB6" i="13" s="1"/>
  <c r="E67" i="10" s="1"/>
  <c r="J48" i="13"/>
  <c r="K48" i="13"/>
  <c r="J40" i="13"/>
  <c r="K40" i="13"/>
  <c r="G71" i="13"/>
  <c r="S161" i="11" s="1"/>
  <c r="C254" i="10" s="1"/>
  <c r="H71" i="13"/>
  <c r="W161" i="11" s="1"/>
  <c r="D254" i="10" s="1"/>
  <c r="G64" i="13"/>
  <c r="S160" i="11" s="1"/>
  <c r="H64" i="13"/>
  <c r="Y7" i="13" s="1"/>
  <c r="C68" i="10" s="1"/>
  <c r="G56" i="13"/>
  <c r="X6" i="13" s="1"/>
  <c r="H56" i="13"/>
  <c r="W159" i="11" s="1"/>
  <c r="D252" i="10" s="1"/>
  <c r="G48" i="13"/>
  <c r="H48" i="13"/>
  <c r="G40" i="13"/>
  <c r="H40" i="13"/>
  <c r="G28" i="13"/>
  <c r="X5" i="13" s="1"/>
  <c r="B66" i="10" s="1"/>
  <c r="H28" i="13"/>
  <c r="W158" i="11" s="1"/>
  <c r="AO81" i="11"/>
  <c r="K166" i="10" s="1"/>
  <c r="AO80" i="11"/>
  <c r="K165" i="10" s="1"/>
  <c r="AO79" i="11"/>
  <c r="K164" i="10" s="1"/>
  <c r="AB78" i="11"/>
  <c r="H163" i="10" s="1"/>
  <c r="AO78" i="11"/>
  <c r="K163" i="10" s="1"/>
  <c r="AB77" i="11"/>
  <c r="H162" i="10" s="1"/>
  <c r="AB76" i="11"/>
  <c r="H161" i="10" s="1"/>
  <c r="D168" i="11"/>
  <c r="K178" i="10"/>
  <c r="K179" i="10"/>
  <c r="K180" i="10"/>
  <c r="K181" i="10"/>
  <c r="K182" i="10"/>
  <c r="K177" i="10"/>
  <c r="G182" i="10"/>
  <c r="G181" i="10"/>
  <c r="G180" i="10"/>
  <c r="G179" i="10"/>
  <c r="G178" i="10"/>
  <c r="G177" i="10"/>
  <c r="AF174" i="11"/>
  <c r="I182" i="10" s="1"/>
  <c r="AF173" i="11"/>
  <c r="I181" i="10" s="1"/>
  <c r="AF172" i="11"/>
  <c r="I180" i="10" s="1"/>
  <c r="AF171" i="11"/>
  <c r="I179" i="10" s="1"/>
  <c r="AF170" i="11"/>
  <c r="I178" i="10" s="1"/>
  <c r="E8" i="4"/>
  <c r="C8" i="12" s="1"/>
  <c r="D7" i="13"/>
  <c r="B2" i="10"/>
  <c r="C2" i="10"/>
  <c r="D2" i="10"/>
  <c r="E2" i="10"/>
  <c r="F2" i="10"/>
  <c r="G2" i="10"/>
  <c r="H2" i="10"/>
  <c r="FM2" i="10"/>
  <c r="FL2" i="10"/>
  <c r="FK2" i="10"/>
  <c r="FJ2" i="10"/>
  <c r="FI2" i="10"/>
  <c r="FH2" i="10"/>
  <c r="FG2" i="10"/>
  <c r="FF2" i="10"/>
  <c r="FC2" i="10"/>
  <c r="FB2" i="10"/>
  <c r="FA2" i="10"/>
  <c r="EZ2" i="10"/>
  <c r="EY2" i="10"/>
  <c r="EX2" i="10"/>
  <c r="EW2" i="10"/>
  <c r="EV2" i="10"/>
  <c r="ES2" i="10"/>
  <c r="ER2" i="10"/>
  <c r="EQ2" i="10"/>
  <c r="EP2" i="10"/>
  <c r="EO2" i="10"/>
  <c r="EN2" i="10"/>
  <c r="EM2" i="10"/>
  <c r="EL2" i="10"/>
  <c r="EK2" i="10"/>
  <c r="AB79" i="11"/>
  <c r="AK79" i="11" s="1"/>
  <c r="J164" i="10" s="1"/>
  <c r="AB80" i="11"/>
  <c r="H165" i="10" s="1"/>
  <c r="AB81" i="11"/>
  <c r="E136" i="10"/>
  <c r="J136" i="10"/>
  <c r="U2" i="10"/>
  <c r="R2" i="10"/>
  <c r="AJ88" i="11"/>
  <c r="AJ89" i="11"/>
  <c r="S170" i="10" s="1"/>
  <c r="AJ90" i="11"/>
  <c r="AJ91" i="11"/>
  <c r="S172" i="10" s="1"/>
  <c r="AJ92" i="11"/>
  <c r="S173" i="10" s="1"/>
  <c r="AJ93" i="11"/>
  <c r="S174" i="10" s="1"/>
  <c r="DO2" i="10"/>
  <c r="DM2" i="10"/>
  <c r="DL2" i="10"/>
  <c r="DK2" i="10"/>
  <c r="DJ2" i="10"/>
  <c r="DI2" i="10"/>
  <c r="B178" i="10"/>
  <c r="B179" i="10"/>
  <c r="B180" i="10"/>
  <c r="B181" i="10"/>
  <c r="B182" i="10"/>
  <c r="B177" i="10"/>
  <c r="V174" i="10"/>
  <c r="U174" i="10" s="1"/>
  <c r="V173" i="10"/>
  <c r="U173" i="10" s="1"/>
  <c r="V172" i="10"/>
  <c r="U172" i="10" s="1"/>
  <c r="V171" i="10"/>
  <c r="U171" i="10" s="1"/>
  <c r="V170" i="10"/>
  <c r="U170" i="10" s="1"/>
  <c r="V169" i="10"/>
  <c r="U169" i="10" s="1"/>
  <c r="Q174" i="10"/>
  <c r="R174" i="10" s="1"/>
  <c r="Q173" i="10"/>
  <c r="P173" i="10" s="1"/>
  <c r="Q172" i="10"/>
  <c r="Q171" i="10"/>
  <c r="P171" i="10" s="1"/>
  <c r="Q170" i="10"/>
  <c r="R170" i="10" s="1"/>
  <c r="Q169" i="10"/>
  <c r="K170" i="10"/>
  <c r="J170" i="10" s="1"/>
  <c r="K171" i="10"/>
  <c r="J171" i="10" s="1"/>
  <c r="K172" i="10"/>
  <c r="J172" i="10" s="1"/>
  <c r="K173" i="10"/>
  <c r="J173" i="10" s="1"/>
  <c r="K174" i="10"/>
  <c r="J174" i="10" s="1"/>
  <c r="K169" i="10"/>
  <c r="J169" i="10" s="1"/>
  <c r="I174" i="10"/>
  <c r="I173" i="10"/>
  <c r="I172" i="10"/>
  <c r="I171" i="10"/>
  <c r="I170" i="10"/>
  <c r="I169" i="10"/>
  <c r="F174" i="10"/>
  <c r="E174" i="10" s="1"/>
  <c r="F173" i="10"/>
  <c r="E173" i="10" s="1"/>
  <c r="F172" i="10"/>
  <c r="E172" i="10" s="1"/>
  <c r="F171" i="10"/>
  <c r="E171" i="10" s="1"/>
  <c r="F170" i="10"/>
  <c r="E170" i="10" s="1"/>
  <c r="F169" i="10"/>
  <c r="E169" i="10" s="1"/>
  <c r="Q88" i="11"/>
  <c r="AB85" i="11"/>
  <c r="W174" i="10" s="1"/>
  <c r="C174" i="10"/>
  <c r="C173" i="10"/>
  <c r="C172" i="10"/>
  <c r="C171" i="10"/>
  <c r="C170" i="10"/>
  <c r="C169" i="10"/>
  <c r="H223" i="10"/>
  <c r="I223" i="10"/>
  <c r="J223" i="10"/>
  <c r="K223" i="10"/>
  <c r="L223" i="10"/>
  <c r="M223" i="10"/>
  <c r="N223" i="10"/>
  <c r="O223" i="10"/>
  <c r="P223" i="10"/>
  <c r="Q223" i="10"/>
  <c r="R223" i="10"/>
  <c r="H224" i="10"/>
  <c r="I224" i="10"/>
  <c r="J224" i="10"/>
  <c r="K224" i="10"/>
  <c r="L224" i="10"/>
  <c r="M224" i="10"/>
  <c r="N224" i="10"/>
  <c r="O224" i="10"/>
  <c r="P224" i="10"/>
  <c r="Q224" i="10"/>
  <c r="R224" i="10"/>
  <c r="D178" i="10"/>
  <c r="L178" i="10" s="1"/>
  <c r="D179" i="10"/>
  <c r="M179" i="10" s="1"/>
  <c r="D180" i="10"/>
  <c r="M180" i="10" s="1"/>
  <c r="D181" i="10"/>
  <c r="L181" i="10" s="1"/>
  <c r="D182" i="10"/>
  <c r="L182" i="10" s="1"/>
  <c r="D177" i="10"/>
  <c r="L177" i="10" s="1"/>
  <c r="H222" i="10"/>
  <c r="H221" i="10"/>
  <c r="H220" i="10"/>
  <c r="H219" i="10"/>
  <c r="H218" i="10"/>
  <c r="H217" i="10"/>
  <c r="H216" i="10"/>
  <c r="H215" i="10"/>
  <c r="H214" i="10"/>
  <c r="H213" i="10"/>
  <c r="H212" i="10"/>
  <c r="H211" i="10"/>
  <c r="H210" i="10"/>
  <c r="H209" i="10"/>
  <c r="H208" i="10"/>
  <c r="H207" i="10"/>
  <c r="H206" i="10"/>
  <c r="H205" i="10"/>
  <c r="I214" i="10"/>
  <c r="O170" i="10"/>
  <c r="T170" i="10"/>
  <c r="O171" i="10"/>
  <c r="T171" i="10"/>
  <c r="O172" i="10"/>
  <c r="T172" i="10"/>
  <c r="O173" i="10"/>
  <c r="T173" i="10"/>
  <c r="O174" i="10"/>
  <c r="T174" i="10"/>
  <c r="T169" i="10"/>
  <c r="O169" i="10"/>
  <c r="Q89" i="11"/>
  <c r="H170" i="10" s="1"/>
  <c r="Q90" i="11"/>
  <c r="Q91" i="11"/>
  <c r="Q92" i="11"/>
  <c r="H173" i="10" s="1"/>
  <c r="Q93" i="11"/>
  <c r="H174" i="10" s="1"/>
  <c r="C51" i="10"/>
  <c r="D174" i="10"/>
  <c r="D173" i="10"/>
  <c r="D172" i="10"/>
  <c r="D171" i="10"/>
  <c r="D170" i="10"/>
  <c r="D169" i="10"/>
  <c r="B174" i="10"/>
  <c r="B173" i="10"/>
  <c r="B172" i="10"/>
  <c r="B171" i="10"/>
  <c r="B170" i="10"/>
  <c r="B169" i="10"/>
  <c r="AL94" i="11"/>
  <c r="S94" i="11"/>
  <c r="J178" i="10"/>
  <c r="J179" i="10"/>
  <c r="J180" i="10"/>
  <c r="J181" i="10"/>
  <c r="J182" i="10"/>
  <c r="J177" i="10"/>
  <c r="AF169" i="11"/>
  <c r="I177" i="10" s="1"/>
  <c r="H178" i="10"/>
  <c r="H179" i="10"/>
  <c r="H180" i="10"/>
  <c r="H181" i="10"/>
  <c r="H182" i="10"/>
  <c r="H177" i="10"/>
  <c r="EC2" i="10"/>
  <c r="EB2" i="10"/>
  <c r="DY2" i="10"/>
  <c r="I167" i="11"/>
  <c r="O222" i="10"/>
  <c r="O221" i="10"/>
  <c r="O220" i="10"/>
  <c r="O219" i="10"/>
  <c r="O218" i="10"/>
  <c r="O217" i="10"/>
  <c r="O216" i="10"/>
  <c r="O215" i="10"/>
  <c r="O214" i="10"/>
  <c r="O213" i="10"/>
  <c r="O212" i="10"/>
  <c r="O211" i="10"/>
  <c r="O210" i="10"/>
  <c r="O209" i="10"/>
  <c r="O208" i="10"/>
  <c r="O207" i="10"/>
  <c r="O206" i="10"/>
  <c r="O205" i="10"/>
  <c r="O204" i="10"/>
  <c r="O203" i="10"/>
  <c r="O202" i="10"/>
  <c r="O201" i="10"/>
  <c r="O200" i="10"/>
  <c r="O199" i="10"/>
  <c r="O198" i="10"/>
  <c r="O197" i="10"/>
  <c r="I197" i="10"/>
  <c r="J197" i="10"/>
  <c r="K197" i="10"/>
  <c r="L197" i="10"/>
  <c r="M197" i="10"/>
  <c r="N197" i="10"/>
  <c r="P197" i="10"/>
  <c r="Q197" i="10"/>
  <c r="R197" i="10"/>
  <c r="I198" i="10"/>
  <c r="J198" i="10"/>
  <c r="K198" i="10"/>
  <c r="L198" i="10"/>
  <c r="M198" i="10"/>
  <c r="N198" i="10"/>
  <c r="P198" i="10"/>
  <c r="Q198" i="10"/>
  <c r="R198" i="10"/>
  <c r="I199" i="10"/>
  <c r="J199" i="10"/>
  <c r="K199" i="10"/>
  <c r="L199" i="10"/>
  <c r="M199" i="10"/>
  <c r="N199" i="10"/>
  <c r="P199" i="10"/>
  <c r="Q199" i="10"/>
  <c r="R199" i="10"/>
  <c r="I200" i="10"/>
  <c r="J200" i="10"/>
  <c r="K200" i="10"/>
  <c r="L200" i="10"/>
  <c r="M200" i="10"/>
  <c r="N200" i="10"/>
  <c r="P200" i="10"/>
  <c r="Q200" i="10"/>
  <c r="R200" i="10"/>
  <c r="I201" i="10"/>
  <c r="J201" i="10"/>
  <c r="K201" i="10"/>
  <c r="L201" i="10"/>
  <c r="M201" i="10"/>
  <c r="N201" i="10"/>
  <c r="P201" i="10"/>
  <c r="Q201" i="10"/>
  <c r="R201" i="10"/>
  <c r="I202" i="10"/>
  <c r="J202" i="10"/>
  <c r="K202" i="10"/>
  <c r="L202" i="10"/>
  <c r="M202" i="10"/>
  <c r="N202" i="10"/>
  <c r="P202" i="10"/>
  <c r="Q202" i="10"/>
  <c r="R202" i="10"/>
  <c r="I203" i="10"/>
  <c r="J203" i="10"/>
  <c r="K203" i="10"/>
  <c r="L203" i="10"/>
  <c r="M203" i="10"/>
  <c r="N203" i="10"/>
  <c r="P203" i="10"/>
  <c r="Q203" i="10"/>
  <c r="R203" i="10"/>
  <c r="I204" i="10"/>
  <c r="J204" i="10"/>
  <c r="K204" i="10"/>
  <c r="L204" i="10"/>
  <c r="M204" i="10"/>
  <c r="N204" i="10"/>
  <c r="P204" i="10"/>
  <c r="Q204" i="10"/>
  <c r="R204" i="10"/>
  <c r="I205" i="10"/>
  <c r="J205" i="10"/>
  <c r="K205" i="10"/>
  <c r="L205" i="10"/>
  <c r="M205" i="10"/>
  <c r="N205" i="10"/>
  <c r="P205" i="10"/>
  <c r="Q205" i="10"/>
  <c r="R205" i="10"/>
  <c r="I206" i="10"/>
  <c r="J206" i="10"/>
  <c r="K206" i="10"/>
  <c r="L206" i="10"/>
  <c r="M206" i="10"/>
  <c r="N206" i="10"/>
  <c r="P206" i="10"/>
  <c r="Q206" i="10"/>
  <c r="R206" i="10"/>
  <c r="I207" i="10"/>
  <c r="J207" i="10"/>
  <c r="K207" i="10"/>
  <c r="L207" i="10"/>
  <c r="M207" i="10"/>
  <c r="N207" i="10"/>
  <c r="P207" i="10"/>
  <c r="Q207" i="10"/>
  <c r="R207" i="10"/>
  <c r="I208" i="10"/>
  <c r="J208" i="10"/>
  <c r="K208" i="10"/>
  <c r="L208" i="10"/>
  <c r="M208" i="10"/>
  <c r="N208" i="10"/>
  <c r="P208" i="10"/>
  <c r="Q208" i="10"/>
  <c r="R208" i="10"/>
  <c r="I209" i="10"/>
  <c r="J209" i="10"/>
  <c r="K209" i="10"/>
  <c r="L209" i="10"/>
  <c r="M209" i="10"/>
  <c r="N209" i="10"/>
  <c r="P209" i="10"/>
  <c r="Q209" i="10"/>
  <c r="R209" i="10"/>
  <c r="I210" i="10"/>
  <c r="J210" i="10"/>
  <c r="K210" i="10"/>
  <c r="L210" i="10"/>
  <c r="M210" i="10"/>
  <c r="N210" i="10"/>
  <c r="P210" i="10"/>
  <c r="Q210" i="10"/>
  <c r="R210" i="10"/>
  <c r="I211" i="10"/>
  <c r="J211" i="10"/>
  <c r="K211" i="10"/>
  <c r="L211" i="10"/>
  <c r="M211" i="10"/>
  <c r="N211" i="10"/>
  <c r="P211" i="10"/>
  <c r="Q211" i="10"/>
  <c r="R211" i="10"/>
  <c r="I212" i="10"/>
  <c r="J212" i="10"/>
  <c r="K212" i="10"/>
  <c r="L212" i="10"/>
  <c r="M212" i="10"/>
  <c r="N212" i="10"/>
  <c r="P212" i="10"/>
  <c r="Q212" i="10"/>
  <c r="R212" i="10"/>
  <c r="I213" i="10"/>
  <c r="J213" i="10"/>
  <c r="K213" i="10"/>
  <c r="L213" i="10"/>
  <c r="M213" i="10"/>
  <c r="N213" i="10"/>
  <c r="P213" i="10"/>
  <c r="Q213" i="10"/>
  <c r="R213" i="10"/>
  <c r="J214" i="10"/>
  <c r="K214" i="10"/>
  <c r="L214" i="10"/>
  <c r="M214" i="10"/>
  <c r="N214" i="10"/>
  <c r="P214" i="10"/>
  <c r="Q214" i="10"/>
  <c r="R214" i="10"/>
  <c r="I215" i="10"/>
  <c r="J215" i="10"/>
  <c r="K215" i="10"/>
  <c r="L215" i="10"/>
  <c r="M215" i="10"/>
  <c r="N215" i="10"/>
  <c r="P215" i="10"/>
  <c r="Q215" i="10"/>
  <c r="R215" i="10"/>
  <c r="I216" i="10"/>
  <c r="J216" i="10"/>
  <c r="K216" i="10"/>
  <c r="L216" i="10"/>
  <c r="M216" i="10"/>
  <c r="N216" i="10"/>
  <c r="P216" i="10"/>
  <c r="Q216" i="10"/>
  <c r="R216" i="10"/>
  <c r="I217" i="10"/>
  <c r="J217" i="10"/>
  <c r="K217" i="10"/>
  <c r="L217" i="10"/>
  <c r="M217" i="10"/>
  <c r="N217" i="10"/>
  <c r="P217" i="10"/>
  <c r="Q217" i="10"/>
  <c r="R217" i="10"/>
  <c r="I218" i="10"/>
  <c r="J218" i="10"/>
  <c r="K218" i="10"/>
  <c r="L218" i="10"/>
  <c r="M218" i="10"/>
  <c r="N218" i="10"/>
  <c r="P218" i="10"/>
  <c r="Q218" i="10"/>
  <c r="R218" i="10"/>
  <c r="I219" i="10"/>
  <c r="J219" i="10"/>
  <c r="K219" i="10"/>
  <c r="L219" i="10"/>
  <c r="M219" i="10"/>
  <c r="N219" i="10"/>
  <c r="P219" i="10"/>
  <c r="Q219" i="10"/>
  <c r="R219" i="10"/>
  <c r="I220" i="10"/>
  <c r="J220" i="10"/>
  <c r="K220" i="10"/>
  <c r="L220" i="10"/>
  <c r="M220" i="10"/>
  <c r="N220" i="10"/>
  <c r="P220" i="10"/>
  <c r="Q220" i="10"/>
  <c r="R220" i="10"/>
  <c r="I221" i="10"/>
  <c r="J221" i="10"/>
  <c r="K221" i="10"/>
  <c r="L221" i="10"/>
  <c r="M221" i="10"/>
  <c r="N221" i="10"/>
  <c r="P221" i="10"/>
  <c r="Q221" i="10"/>
  <c r="R221" i="10"/>
  <c r="I222" i="10"/>
  <c r="J222" i="10"/>
  <c r="K222" i="10"/>
  <c r="L222" i="10"/>
  <c r="M222" i="10"/>
  <c r="N222" i="10"/>
  <c r="P222" i="10"/>
  <c r="Q222" i="10"/>
  <c r="R222" i="10"/>
  <c r="N196" i="10"/>
  <c r="M196" i="10"/>
  <c r="L196" i="10"/>
  <c r="K196" i="10"/>
  <c r="J196" i="10"/>
  <c r="I196" i="10"/>
  <c r="H204" i="10"/>
  <c r="H203" i="10"/>
  <c r="H202" i="10"/>
  <c r="H201" i="10"/>
  <c r="H200" i="10"/>
  <c r="H199" i="10"/>
  <c r="H198" i="10"/>
  <c r="H197" i="10"/>
  <c r="H196" i="10"/>
  <c r="D91" i="11"/>
  <c r="D90" i="11"/>
  <c r="D89" i="11"/>
  <c r="D88" i="11"/>
  <c r="AF77" i="11"/>
  <c r="AF78" i="11"/>
  <c r="I163" i="10" s="1"/>
  <c r="AF79" i="11"/>
  <c r="I164" i="10" s="1"/>
  <c r="AF80" i="11"/>
  <c r="I165" i="10" s="1"/>
  <c r="AF81" i="11"/>
  <c r="I166" i="10" s="1"/>
  <c r="AF76" i="11"/>
  <c r="I161" i="10" s="1"/>
  <c r="G162" i="10"/>
  <c r="G163" i="10"/>
  <c r="G164" i="10"/>
  <c r="G165" i="10"/>
  <c r="G166" i="10"/>
  <c r="G161" i="10"/>
  <c r="F162" i="10"/>
  <c r="F163" i="10"/>
  <c r="F164" i="10"/>
  <c r="F165" i="10"/>
  <c r="F166" i="10"/>
  <c r="F161" i="10"/>
  <c r="E162" i="10"/>
  <c r="E163" i="10"/>
  <c r="E164" i="10"/>
  <c r="E165" i="10"/>
  <c r="E166" i="10"/>
  <c r="E161" i="10"/>
  <c r="K77" i="11"/>
  <c r="D162" i="10" s="1"/>
  <c r="K78" i="11"/>
  <c r="D163" i="10" s="1"/>
  <c r="K79" i="11"/>
  <c r="D164" i="10" s="1"/>
  <c r="K80" i="11"/>
  <c r="D165" i="10" s="1"/>
  <c r="K81" i="11"/>
  <c r="D166" i="10" s="1"/>
  <c r="K76" i="11"/>
  <c r="D161" i="10" s="1"/>
  <c r="C162" i="10"/>
  <c r="C163" i="10"/>
  <c r="C164" i="10"/>
  <c r="C165" i="10"/>
  <c r="C166" i="10"/>
  <c r="D81" i="11"/>
  <c r="B166" i="10" s="1"/>
  <c r="D80" i="11"/>
  <c r="B165" i="10" s="1"/>
  <c r="D79" i="11"/>
  <c r="B164" i="10" s="1"/>
  <c r="D78" i="11"/>
  <c r="B163" i="10" s="1"/>
  <c r="D77" i="11"/>
  <c r="B162" i="10" s="1"/>
  <c r="D76" i="11"/>
  <c r="B161" i="10" s="1"/>
  <c r="D182" i="11"/>
  <c r="B154" i="10" s="1"/>
  <c r="D183" i="11"/>
  <c r="B155" i="10" s="1"/>
  <c r="D184" i="11"/>
  <c r="B156" i="10" s="1"/>
  <c r="D185" i="11"/>
  <c r="B157" i="10" s="1"/>
  <c r="D186" i="11"/>
  <c r="B158" i="10" s="1"/>
  <c r="D180" i="11"/>
  <c r="B152" i="10" s="1"/>
  <c r="D152" i="11"/>
  <c r="D151" i="11"/>
  <c r="D150" i="11"/>
  <c r="D149" i="11"/>
  <c r="D148" i="11"/>
  <c r="D147" i="11"/>
  <c r="D146" i="11"/>
  <c r="C161" i="10"/>
  <c r="AO184" i="11"/>
  <c r="G156" i="10" s="1"/>
  <c r="AO185" i="11"/>
  <c r="G157" i="10" s="1"/>
  <c r="AO186" i="11"/>
  <c r="G158" i="10" s="1"/>
  <c r="F156" i="10"/>
  <c r="F157" i="10"/>
  <c r="F158" i="10"/>
  <c r="E153" i="10"/>
  <c r="E154" i="10"/>
  <c r="E155" i="10"/>
  <c r="E156" i="10"/>
  <c r="E157" i="10"/>
  <c r="E158" i="10"/>
  <c r="E152" i="10"/>
  <c r="D158" i="10"/>
  <c r="D157" i="10"/>
  <c r="D156" i="10"/>
  <c r="D155" i="10"/>
  <c r="D154" i="10"/>
  <c r="I181" i="11"/>
  <c r="D153" i="10" s="1"/>
  <c r="D152" i="10"/>
  <c r="C158" i="10"/>
  <c r="C157" i="10"/>
  <c r="C156" i="10"/>
  <c r="C155" i="10"/>
  <c r="C154" i="10"/>
  <c r="C152" i="10"/>
  <c r="I147" i="11"/>
  <c r="AE2" i="10"/>
  <c r="AD2" i="10"/>
  <c r="AC2" i="10"/>
  <c r="AB2" i="10"/>
  <c r="AA2" i="10"/>
  <c r="Z2" i="10"/>
  <c r="Y2" i="10"/>
  <c r="X2" i="10"/>
  <c r="W2" i="10"/>
  <c r="V2" i="10"/>
  <c r="T2" i="10"/>
  <c r="O2" i="10"/>
  <c r="N2" i="10"/>
  <c r="M2" i="10"/>
  <c r="L2" i="10"/>
  <c r="K2" i="10"/>
  <c r="J2" i="10"/>
  <c r="I2" i="10"/>
  <c r="S2" i="10"/>
  <c r="Q2" i="10"/>
  <c r="P2" i="10"/>
  <c r="FO2" i="10"/>
  <c r="AQ17" i="4"/>
  <c r="AQ18" i="4"/>
  <c r="AQ19" i="4"/>
  <c r="AQ20" i="4"/>
  <c r="AQ21" i="4"/>
  <c r="AQ22" i="4"/>
  <c r="AQ23" i="4"/>
  <c r="AQ24" i="4"/>
  <c r="AQ25" i="4"/>
  <c r="AQ26" i="4"/>
  <c r="AQ27" i="4"/>
  <c r="AQ28" i="4"/>
  <c r="AQ29" i="4"/>
  <c r="AQ30" i="4"/>
  <c r="AQ31" i="4"/>
  <c r="AQ32" i="4"/>
  <c r="AQ33" i="4"/>
  <c r="AQ34" i="4"/>
  <c r="AQ35" i="4"/>
  <c r="AQ36" i="4"/>
  <c r="AQ37" i="4"/>
  <c r="AQ38" i="4"/>
  <c r="AQ39" i="4"/>
  <c r="AQ40" i="4"/>
  <c r="AQ41" i="4"/>
  <c r="AQ42" i="4"/>
  <c r="AQ43" i="4"/>
  <c r="AQ44" i="4"/>
  <c r="AQ45" i="4"/>
  <c r="AQ46" i="4"/>
  <c r="AQ47" i="4"/>
  <c r="AQ48" i="4"/>
  <c r="AQ49" i="4"/>
  <c r="AQ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16" i="4"/>
  <c r="AO17" i="4"/>
  <c r="AO18" i="4"/>
  <c r="AO19" i="4"/>
  <c r="AO20" i="4"/>
  <c r="AO21" i="4"/>
  <c r="AO22" i="4"/>
  <c r="AO23" i="4"/>
  <c r="AO24" i="4"/>
  <c r="AO25" i="4"/>
  <c r="AO26" i="4"/>
  <c r="AO27" i="4"/>
  <c r="AO28" i="4"/>
  <c r="AO29" i="4"/>
  <c r="AO30" i="4"/>
  <c r="AO31" i="4"/>
  <c r="AO32" i="4"/>
  <c r="AO33" i="4"/>
  <c r="AO34" i="4"/>
  <c r="AO35" i="4"/>
  <c r="AO36" i="4"/>
  <c r="AO37" i="4"/>
  <c r="AO38" i="4"/>
  <c r="AO39" i="4"/>
  <c r="AO40" i="4"/>
  <c r="AO41" i="4"/>
  <c r="AO42" i="4"/>
  <c r="AO43" i="4"/>
  <c r="AO44" i="4"/>
  <c r="AO45" i="4"/>
  <c r="AO46" i="4"/>
  <c r="AO47" i="4"/>
  <c r="AO48" i="4"/>
  <c r="AO49" i="4"/>
  <c r="AO16" i="4"/>
  <c r="AL49" i="4"/>
  <c r="AL48" i="4"/>
  <c r="AL47" i="4"/>
  <c r="AL46" i="4"/>
  <c r="AL45" i="4"/>
  <c r="AL44" i="4"/>
  <c r="AL43" i="4"/>
  <c r="AL42" i="4"/>
  <c r="AL41" i="4"/>
  <c r="AL40" i="4"/>
  <c r="AL39" i="4"/>
  <c r="AL38" i="4"/>
  <c r="AL37" i="4"/>
  <c r="AL36" i="4"/>
  <c r="AL35" i="4"/>
  <c r="AL34" i="4"/>
  <c r="AL33" i="4"/>
  <c r="AL32" i="4"/>
  <c r="AL31" i="4"/>
  <c r="AL30" i="4"/>
  <c r="AL29" i="4"/>
  <c r="AL28" i="4"/>
  <c r="AL27" i="4"/>
  <c r="AL26" i="4"/>
  <c r="AL25" i="4"/>
  <c r="AL24" i="4"/>
  <c r="AL23" i="4"/>
  <c r="AL22" i="4"/>
  <c r="AL21" i="4"/>
  <c r="AL20" i="4"/>
  <c r="AL19" i="4"/>
  <c r="AL18" i="4"/>
  <c r="AL17" i="4"/>
  <c r="AL16" i="4"/>
  <c r="W5" i="13"/>
  <c r="A66" i="10" s="1"/>
  <c r="FP2" i="10"/>
  <c r="FN2" i="10"/>
  <c r="FD2" i="10"/>
  <c r="ET2" i="10"/>
  <c r="EE2" i="10"/>
  <c r="ED2" i="10"/>
  <c r="DF2" i="10"/>
  <c r="DE2" i="10"/>
  <c r="DD2" i="10"/>
  <c r="DC2" i="10"/>
  <c r="DB2" i="10"/>
  <c r="DA2" i="10"/>
  <c r="CZ2" i="10"/>
  <c r="CY2" i="10"/>
  <c r="CX2" i="10"/>
  <c r="CW2" i="10"/>
  <c r="CV2" i="10"/>
  <c r="CU2" i="10"/>
  <c r="CT2" i="10"/>
  <c r="CS2" i="10"/>
  <c r="CR2" i="10"/>
  <c r="CQ2" i="10"/>
  <c r="CM2" i="10"/>
  <c r="CL2" i="10"/>
  <c r="CK2" i="10"/>
  <c r="CJ2" i="10"/>
  <c r="CI2" i="10"/>
  <c r="CH2" i="10"/>
  <c r="CG2" i="10"/>
  <c r="CF2" i="10"/>
  <c r="CE2" i="10"/>
  <c r="CD2" i="10"/>
  <c r="CC2" i="10"/>
  <c r="CB2" i="10"/>
  <c r="CA2" i="10"/>
  <c r="BZ2" i="10"/>
  <c r="BY2" i="10"/>
  <c r="BX2" i="10"/>
  <c r="BJ2" i="10"/>
  <c r="AS2" i="10"/>
  <c r="BT2" i="10"/>
  <c r="BS2" i="10"/>
  <c r="BR2" i="10"/>
  <c r="BQ2" i="10"/>
  <c r="BP2" i="10"/>
  <c r="BO2" i="10"/>
  <c r="BN2" i="10"/>
  <c r="BM2" i="10"/>
  <c r="BL2" i="10"/>
  <c r="BK2" i="10"/>
  <c r="BI2" i="10"/>
  <c r="BH2" i="10"/>
  <c r="BG2" i="10"/>
  <c r="BC2" i="10"/>
  <c r="BB2" i="10"/>
  <c r="BA2" i="10"/>
  <c r="AZ2" i="10"/>
  <c r="AY2" i="10"/>
  <c r="AX2" i="10"/>
  <c r="AV2" i="10"/>
  <c r="AW2" i="10"/>
  <c r="AU2" i="10"/>
  <c r="AT2" i="10"/>
  <c r="AR2" i="10"/>
  <c r="AQ2" i="10"/>
  <c r="AP2" i="10"/>
  <c r="AM2" i="10"/>
  <c r="AL2" i="10"/>
  <c r="AK2" i="10"/>
  <c r="AJ2" i="10"/>
  <c r="AI2" i="10"/>
  <c r="AH2" i="10"/>
  <c r="AG2" i="10"/>
  <c r="AN135" i="11"/>
  <c r="AN140" i="11" s="1"/>
  <c r="AN139" i="11"/>
  <c r="AK139" i="11"/>
  <c r="AN138" i="11"/>
  <c r="AK138" i="11"/>
  <c r="AN137" i="11"/>
  <c r="AK137" i="11"/>
  <c r="AN136" i="11"/>
  <c r="AK136" i="11"/>
  <c r="C9"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AC49" i="12"/>
  <c r="AC48" i="12"/>
  <c r="AC47" i="12"/>
  <c r="AC46" i="12"/>
  <c r="AC45" i="12"/>
  <c r="AC44" i="12"/>
  <c r="AC43" i="12"/>
  <c r="AC42" i="12"/>
  <c r="AC41" i="12"/>
  <c r="AC40" i="12"/>
  <c r="AC39" i="12"/>
  <c r="AC38" i="12"/>
  <c r="AC37" i="12"/>
  <c r="AC36" i="12"/>
  <c r="AC35" i="12"/>
  <c r="AC34" i="12"/>
  <c r="AC33" i="12"/>
  <c r="AC32" i="12"/>
  <c r="AC31" i="12"/>
  <c r="AC30" i="12"/>
  <c r="AC29" i="12"/>
  <c r="AC28" i="12"/>
  <c r="AC27" i="12"/>
  <c r="AC26" i="12"/>
  <c r="AC25" i="12"/>
  <c r="AC24" i="12"/>
  <c r="AC23" i="12"/>
  <c r="AC22" i="12"/>
  <c r="AC21" i="12"/>
  <c r="AC20" i="12"/>
  <c r="AC19" i="12"/>
  <c r="AC18" i="12"/>
  <c r="AC17" i="12"/>
  <c r="AE49" i="12"/>
  <c r="AE48" i="12"/>
  <c r="AE47" i="12"/>
  <c r="AE46" i="12"/>
  <c r="AE45" i="12"/>
  <c r="AE44" i="12"/>
  <c r="AE43" i="12"/>
  <c r="AE42" i="12"/>
  <c r="AE41" i="12"/>
  <c r="AE40" i="12"/>
  <c r="AE39" i="12"/>
  <c r="AE38" i="12"/>
  <c r="AE37" i="12"/>
  <c r="AE36" i="12"/>
  <c r="AE35" i="12"/>
  <c r="AE34" i="12"/>
  <c r="AE33" i="12"/>
  <c r="AE32" i="12"/>
  <c r="AE31" i="12"/>
  <c r="AE30" i="12"/>
  <c r="AE29" i="12"/>
  <c r="AE28" i="12"/>
  <c r="AE27" i="12"/>
  <c r="AE26" i="12"/>
  <c r="AE25" i="12"/>
  <c r="AE24" i="12"/>
  <c r="AE23" i="12"/>
  <c r="AE22" i="12"/>
  <c r="AE21" i="12"/>
  <c r="AE20" i="12"/>
  <c r="AD19" i="12"/>
  <c r="AE19" i="12"/>
  <c r="AD18" i="12"/>
  <c r="AE18" i="12"/>
  <c r="AD17" i="12"/>
  <c r="AE17" i="12"/>
  <c r="AE16" i="12"/>
  <c r="AD49" i="12"/>
  <c r="AD48" i="12"/>
  <c r="AD47" i="12"/>
  <c r="AD46" i="12"/>
  <c r="AD45" i="12"/>
  <c r="AD44" i="12"/>
  <c r="AD43" i="12"/>
  <c r="AD42" i="12"/>
  <c r="AD41" i="12"/>
  <c r="AD40" i="12"/>
  <c r="AD39" i="12"/>
  <c r="AD38" i="12"/>
  <c r="AD37" i="12"/>
  <c r="AD36" i="12"/>
  <c r="AD35" i="12"/>
  <c r="AD34" i="12"/>
  <c r="AD33" i="12"/>
  <c r="AD32" i="12"/>
  <c r="AD31" i="12"/>
  <c r="AD30" i="12"/>
  <c r="AD29" i="12"/>
  <c r="AD28" i="12"/>
  <c r="AD27" i="12"/>
  <c r="AD26" i="12"/>
  <c r="AD25" i="12"/>
  <c r="AD24" i="12"/>
  <c r="AD23" i="12"/>
  <c r="AD22" i="12"/>
  <c r="AD21" i="12"/>
  <c r="AD20" i="12"/>
  <c r="U50" i="12"/>
  <c r="T50" i="12"/>
  <c r="S50" i="12"/>
  <c r="R50" i="12"/>
  <c r="Q50" i="12"/>
  <c r="N50" i="12"/>
  <c r="T50" i="4"/>
  <c r="W82" i="11"/>
  <c r="F214" i="11"/>
  <c r="N40" i="13"/>
  <c r="N28" i="13"/>
  <c r="N48" i="13"/>
  <c r="N56" i="13"/>
  <c r="N64" i="13"/>
  <c r="N71" i="13"/>
  <c r="M71" i="13"/>
  <c r="M64" i="13"/>
  <c r="M56" i="13"/>
  <c r="M48" i="13"/>
  <c r="M40" i="13"/>
  <c r="M28" i="13"/>
  <c r="T28" i="13"/>
  <c r="T40" i="13"/>
  <c r="T48" i="13"/>
  <c r="T56" i="13"/>
  <c r="T64" i="13"/>
  <c r="T71" i="13"/>
  <c r="Q28" i="13"/>
  <c r="Q40" i="13"/>
  <c r="Q48" i="13"/>
  <c r="Q56" i="13"/>
  <c r="Q64" i="13"/>
  <c r="Q71" i="13"/>
  <c r="V50" i="4"/>
  <c r="S50" i="4"/>
  <c r="EF2" i="10"/>
  <c r="EG2" i="10"/>
  <c r="EI2" i="10"/>
  <c r="EH2" i="10" s="1"/>
  <c r="L17" i="13"/>
  <c r="L67" i="13"/>
  <c r="K71" i="13"/>
  <c r="AB8" i="13" s="1"/>
  <c r="A172" i="10"/>
  <c r="A156" i="10"/>
  <c r="G218" i="10"/>
  <c r="G209" i="10"/>
  <c r="G210" i="10"/>
  <c r="A157" i="10"/>
  <c r="G206" i="10"/>
  <c r="G211" i="10"/>
  <c r="A161" i="10"/>
  <c r="A169" i="10"/>
  <c r="A153" i="10"/>
  <c r="G213" i="10"/>
  <c r="A174" i="10"/>
  <c r="A177" i="10"/>
  <c r="A173" i="10"/>
  <c r="G200" i="10"/>
  <c r="A155" i="10"/>
  <c r="G207" i="10"/>
  <c r="G212" i="10"/>
  <c r="G205" i="10"/>
  <c r="G216" i="10"/>
  <c r="G201" i="10"/>
  <c r="G208" i="10"/>
  <c r="G202" i="10"/>
  <c r="A256" i="10"/>
  <c r="G215" i="10"/>
  <c r="A154" i="10"/>
  <c r="A166" i="10"/>
  <c r="A179" i="10"/>
  <c r="A171" i="10"/>
  <c r="G204" i="10"/>
  <c r="A180" i="10"/>
  <c r="A162" i="10"/>
  <c r="G197" i="10"/>
  <c r="A182" i="10"/>
  <c r="G214" i="10"/>
  <c r="A255" i="10"/>
  <c r="A165" i="10"/>
  <c r="G198" i="10"/>
  <c r="A164" i="10"/>
  <c r="A163" i="10"/>
  <c r="A252" i="10"/>
  <c r="A170" i="10"/>
  <c r="A181" i="10"/>
  <c r="G199" i="10"/>
  <c r="G223" i="10"/>
  <c r="A251" i="10"/>
  <c r="G219" i="10"/>
  <c r="G217" i="10"/>
  <c r="A178" i="10"/>
  <c r="G222" i="10"/>
  <c r="G220" i="10"/>
  <c r="A136" i="10"/>
  <c r="G196" i="10"/>
  <c r="A253" i="10"/>
  <c r="A254" i="10"/>
  <c r="G224" i="10"/>
  <c r="G203" i="10"/>
  <c r="A152" i="10"/>
  <c r="I47" i="4"/>
  <c r="I31" i="4"/>
  <c r="I46" i="4"/>
  <c r="I30" i="4"/>
  <c r="I37" i="4"/>
  <c r="I48" i="4"/>
  <c r="I29" i="4"/>
  <c r="I36" i="4"/>
  <c r="I40" i="4"/>
  <c r="I35" i="4"/>
  <c r="I42" i="4"/>
  <c r="I26" i="4"/>
  <c r="I24" i="4"/>
  <c r="I41" i="4"/>
  <c r="I25" i="4"/>
  <c r="I23" i="4"/>
  <c r="I38" i="4"/>
  <c r="I22" i="4"/>
  <c r="I45" i="4"/>
  <c r="I44" i="4"/>
  <c r="I27" i="4"/>
  <c r="I33" i="4"/>
  <c r="I39" i="4"/>
  <c r="I21" i="4"/>
  <c r="I28" i="4"/>
  <c r="I43" i="4"/>
  <c r="I34" i="4"/>
  <c r="I49" i="4"/>
  <c r="I32" i="4"/>
  <c r="Q19" i="4"/>
  <c r="AU20" i="4"/>
  <c r="R19" i="4"/>
  <c r="AU19" i="4" s="1"/>
  <c r="Q18" i="4"/>
  <c r="R18" i="4"/>
  <c r="AY18" i="4" s="1"/>
  <c r="R17" i="4"/>
  <c r="AY17" i="4" s="1"/>
  <c r="Q17" i="4"/>
  <c r="AV18" i="4"/>
  <c r="Q20" i="4"/>
  <c r="R20" i="4"/>
  <c r="AY20" i="4" s="1"/>
  <c r="DU2" i="10"/>
  <c r="DW2" i="10" s="1"/>
  <c r="R233" i="31"/>
  <c r="Q16" i="4"/>
  <c r="R16" i="4"/>
  <c r="AY16" i="4" s="1"/>
  <c r="AO77" i="11"/>
  <c r="K162" i="10" s="1"/>
  <c r="AO76" i="11"/>
  <c r="K161" i="10" s="1"/>
  <c r="J90" i="31"/>
  <c r="R171" i="10"/>
  <c r="AG140" i="11"/>
  <c r="R173" i="10"/>
  <c r="M181" i="10"/>
  <c r="AA153" i="11"/>
  <c r="L171" i="10"/>
  <c r="M170" i="10"/>
  <c r="M172" i="10"/>
  <c r="L179" i="10"/>
  <c r="W170" i="10"/>
  <c r="L174" i="10"/>
  <c r="W173" i="10"/>
  <c r="M173" i="10"/>
  <c r="L169" i="10"/>
  <c r="E89" i="31" a="1"/>
  <c r="E89" i="31" s="1"/>
  <c r="E91" i="31" a="1"/>
  <c r="E91" i="31" s="1"/>
  <c r="S171" i="10"/>
  <c r="AL29" i="12"/>
  <c r="I17" i="4"/>
  <c r="AK28" i="4"/>
  <c r="AG16" i="12"/>
  <c r="AK18" i="4"/>
  <c r="AG23" i="12"/>
  <c r="AK16" i="4"/>
  <c r="AK27" i="4"/>
  <c r="AK30" i="4"/>
  <c r="AK33" i="4"/>
  <c r="AG32" i="12"/>
  <c r="AK23" i="4"/>
  <c r="AK34" i="4"/>
  <c r="AG17" i="12"/>
  <c r="AG20" i="12"/>
  <c r="AK45" i="4"/>
  <c r="AG34" i="12"/>
  <c r="AK31" i="4"/>
  <c r="AG42" i="12"/>
  <c r="AK26" i="4"/>
  <c r="AG18" i="12"/>
  <c r="AG36" i="12"/>
  <c r="AW19" i="4"/>
  <c r="AK20" i="4"/>
  <c r="AK40" i="4"/>
  <c r="AG21" i="12"/>
  <c r="AG27" i="12"/>
  <c r="AK36" i="4"/>
  <c r="AK37" i="4"/>
  <c r="AG19" i="12"/>
  <c r="AG48" i="12"/>
  <c r="AG29" i="12"/>
  <c r="AK39" i="4"/>
  <c r="G16" i="12"/>
  <c r="AG41" i="12"/>
  <c r="AK21" i="4"/>
  <c r="AG46" i="12"/>
  <c r="AK17" i="4"/>
  <c r="AG31" i="12"/>
  <c r="AG47" i="12"/>
  <c r="AG30" i="12"/>
  <c r="AG45" i="12"/>
  <c r="AG26" i="12"/>
  <c r="AG39" i="12"/>
  <c r="AW20" i="4"/>
  <c r="AK43" i="4"/>
  <c r="I16" i="4"/>
  <c r="AK46" i="4"/>
  <c r="AK38" i="4"/>
  <c r="AG35" i="12"/>
  <c r="AK42" i="4"/>
  <c r="AG44" i="12"/>
  <c r="AK44" i="4"/>
  <c r="AK47" i="4"/>
  <c r="AK19" i="4"/>
  <c r="I18" i="4"/>
  <c r="AK48" i="4"/>
  <c r="I19" i="4"/>
  <c r="AG38" i="12"/>
  <c r="AK25" i="4"/>
  <c r="AK29" i="4"/>
  <c r="AK41" i="4"/>
  <c r="AK24" i="4"/>
  <c r="AG43" i="12"/>
  <c r="AG37" i="12"/>
  <c r="AK22" i="4"/>
  <c r="AK35" i="4"/>
  <c r="G17" i="12"/>
  <c r="AG22" i="12"/>
  <c r="AK49" i="4"/>
  <c r="AG49" i="12"/>
  <c r="AG24" i="12"/>
  <c r="AG33" i="12"/>
  <c r="AK32" i="4"/>
  <c r="AG25" i="12"/>
  <c r="AG40" i="12"/>
  <c r="AG28" i="12"/>
  <c r="I20" i="4"/>
  <c r="L172" i="10" l="1"/>
  <c r="M171" i="10"/>
  <c r="X8" i="13"/>
  <c r="B69" i="10" s="1"/>
  <c r="AM17" i="12"/>
  <c r="AM45" i="12"/>
  <c r="AM19" i="12"/>
  <c r="AS29" i="4"/>
  <c r="Y88" i="11"/>
  <c r="N169" i="10" s="1"/>
  <c r="AL17" i="12"/>
  <c r="J89" i="31"/>
  <c r="AS27" i="4"/>
  <c r="M178" i="10"/>
  <c r="S158" i="11"/>
  <c r="AL42" i="12"/>
  <c r="AS39" i="4"/>
  <c r="L180" i="10"/>
  <c r="AK78" i="11"/>
  <c r="J163" i="10" s="1"/>
  <c r="J87" i="31"/>
  <c r="Y6" i="13"/>
  <c r="C67" i="10" s="1"/>
  <c r="AF175" i="11"/>
  <c r="H113" i="31" a="1"/>
  <c r="H113" i="31" s="1"/>
  <c r="M110" i="31"/>
  <c r="I113" i="31" a="1"/>
  <c r="I113" i="31" s="1"/>
  <c r="M109" i="31"/>
  <c r="W169" i="10"/>
  <c r="P174" i="10"/>
  <c r="L48" i="13"/>
  <c r="D94" i="31"/>
  <c r="AP90" i="29" s="1"/>
  <c r="AA7" i="13"/>
  <c r="D68" i="10" s="1"/>
  <c r="L40" i="13"/>
  <c r="AA5" i="13"/>
  <c r="L71" i="13"/>
  <c r="Y8" i="13"/>
  <c r="C69" i="10" s="1"/>
  <c r="AA8" i="13"/>
  <c r="D69" i="10" s="1"/>
  <c r="AB5" i="13"/>
  <c r="E66" i="10" s="1"/>
  <c r="B67" i="10"/>
  <c r="Z6" i="13"/>
  <c r="L56" i="13"/>
  <c r="AV50" i="4"/>
  <c r="AQ90" i="11"/>
  <c r="X171" i="10" s="1"/>
  <c r="AL27" i="12"/>
  <c r="AL41" i="12"/>
  <c r="S159" i="11"/>
  <c r="AM29" i="12"/>
  <c r="AM43" i="12"/>
  <c r="L28" i="13"/>
  <c r="M73" i="13"/>
  <c r="AK76" i="11"/>
  <c r="J161" i="10" s="1"/>
  <c r="M182" i="10"/>
  <c r="AL16" i="12"/>
  <c r="AL30" i="12"/>
  <c r="AL44" i="12"/>
  <c r="N7" i="13"/>
  <c r="AS25" i="4"/>
  <c r="E88" i="31" a="1"/>
  <c r="E88" i="31" s="1"/>
  <c r="J73" i="13"/>
  <c r="AR39" i="4"/>
  <c r="AM18" i="12"/>
  <c r="AM32" i="12"/>
  <c r="AL46" i="12"/>
  <c r="AK80" i="11"/>
  <c r="J165" i="10" s="1"/>
  <c r="F102" i="31"/>
  <c r="AA121" i="31" s="1"/>
  <c r="G169" i="10"/>
  <c r="Y91" i="11"/>
  <c r="N172" i="10" s="1"/>
  <c r="AM33" i="12"/>
  <c r="J91" i="31"/>
  <c r="T229" i="31"/>
  <c r="T228" i="31"/>
  <c r="E90" i="31" a="1"/>
  <c r="E90" i="31" s="1"/>
  <c r="P170" i="10"/>
  <c r="J84" i="31"/>
  <c r="J88" i="31"/>
  <c r="AU50" i="4"/>
  <c r="AS32" i="4"/>
  <c r="AL43" i="12"/>
  <c r="AM47" i="12"/>
  <c r="AL21" i="12"/>
  <c r="F182" i="10"/>
  <c r="AS31" i="4"/>
  <c r="AS19" i="4"/>
  <c r="F177" i="10"/>
  <c r="AM42" i="12"/>
  <c r="AS21" i="4"/>
  <c r="AL33" i="12"/>
  <c r="E69" i="10"/>
  <c r="AC8" i="13"/>
  <c r="AB161" i="11"/>
  <c r="E254" i="10" s="1"/>
  <c r="D251" i="10"/>
  <c r="C253" i="10"/>
  <c r="P50" i="4"/>
  <c r="C251" i="10"/>
  <c r="L20" i="37"/>
  <c r="AR42" i="4"/>
  <c r="AS42" i="4"/>
  <c r="AM20" i="12"/>
  <c r="AL20" i="12"/>
  <c r="AR41" i="4"/>
  <c r="AS41" i="4"/>
  <c r="AK161" i="11"/>
  <c r="K73" i="13"/>
  <c r="AQ88" i="11"/>
  <c r="X169" i="10" s="1"/>
  <c r="S169" i="10"/>
  <c r="AK159" i="11"/>
  <c r="G252" i="10" s="1"/>
  <c r="AM34" i="12"/>
  <c r="AL34" i="12"/>
  <c r="N73" i="13"/>
  <c r="AQ147" i="11"/>
  <c r="AQ148" i="11"/>
  <c r="AQ150" i="11"/>
  <c r="AQ151" i="11"/>
  <c r="AQ152" i="11"/>
  <c r="AQ149" i="11"/>
  <c r="M111" i="31"/>
  <c r="U50" i="4"/>
  <c r="P172" i="10"/>
  <c r="R172" i="10"/>
  <c r="T225" i="31"/>
  <c r="M112" i="31"/>
  <c r="G251" i="10"/>
  <c r="F251" i="10"/>
  <c r="AO158" i="11"/>
  <c r="AM48" i="12"/>
  <c r="AL48" i="12"/>
  <c r="AR28" i="4"/>
  <c r="AS28" i="4"/>
  <c r="Y90" i="11"/>
  <c r="N171" i="10" s="1"/>
  <c r="H171" i="10"/>
  <c r="P169" i="10"/>
  <c r="R169" i="10"/>
  <c r="H166" i="10"/>
  <c r="AK81" i="11"/>
  <c r="J166" i="10" s="1"/>
  <c r="H109" i="31" a="1"/>
  <c r="H109" i="31" s="1"/>
  <c r="H111" i="31" a="1"/>
  <c r="H111" i="31" s="1"/>
  <c r="M113" i="31"/>
  <c r="I111" i="31" a="1"/>
  <c r="I111" i="31" s="1"/>
  <c r="K111" i="31" s="1" a="1"/>
  <c r="K111" i="31" s="1"/>
  <c r="I112" i="31" a="1"/>
  <c r="I112" i="31" s="1"/>
  <c r="K112" i="31" s="1" a="1"/>
  <c r="K112" i="31" s="1"/>
  <c r="H110" i="31" a="1"/>
  <c r="H110" i="31" s="1"/>
  <c r="I110" i="31" a="1"/>
  <c r="I110" i="31" s="1"/>
  <c r="W129" i="31"/>
  <c r="V135" i="31" s="1" a="1"/>
  <c r="V135" i="31" s="1"/>
  <c r="H112" i="31" a="1"/>
  <c r="H112" i="31" s="1"/>
  <c r="I109" i="31" a="1"/>
  <c r="I109" i="31" s="1"/>
  <c r="AB158" i="11"/>
  <c r="W160" i="11"/>
  <c r="D253" i="10" s="1"/>
  <c r="H73" i="13"/>
  <c r="AB7" i="13"/>
  <c r="AK160" i="11"/>
  <c r="G253" i="10" s="1"/>
  <c r="L64" i="13"/>
  <c r="AS37" i="4"/>
  <c r="AM27" i="12"/>
  <c r="AS33" i="4"/>
  <c r="AM30" i="12"/>
  <c r="AS20" i="4"/>
  <c r="W172" i="10"/>
  <c r="AS17" i="4"/>
  <c r="G36" i="39"/>
  <c r="L45" i="39" s="1"/>
  <c r="AS34" i="4"/>
  <c r="AM28" i="12"/>
  <c r="AL19" i="12"/>
  <c r="AM44" i="12"/>
  <c r="H169" i="10"/>
  <c r="W171" i="10"/>
  <c r="Y92" i="11"/>
  <c r="N173" i="10" s="1"/>
  <c r="AQ89" i="11"/>
  <c r="X170" i="10" s="1"/>
  <c r="Y5" i="13"/>
  <c r="C66" i="10" s="1"/>
  <c r="C72" i="10" s="1"/>
  <c r="FR2" i="10" s="1"/>
  <c r="AS26" i="4"/>
  <c r="AF159" i="11"/>
  <c r="AF164" i="11" s="1"/>
  <c r="AS40" i="4"/>
  <c r="AL31" i="12"/>
  <c r="AM46" i="12"/>
  <c r="G73" i="13"/>
  <c r="O50" i="12"/>
  <c r="AS18" i="4"/>
  <c r="X7" i="13"/>
  <c r="AA6" i="13"/>
  <c r="AM23" i="12"/>
  <c r="AL37" i="12"/>
  <c r="F178" i="10"/>
  <c r="AL45" i="12"/>
  <c r="AM16" i="12"/>
  <c r="AL32" i="12"/>
  <c r="M174" i="10"/>
  <c r="L170" i="10"/>
  <c r="AS45" i="4"/>
  <c r="AL24" i="12"/>
  <c r="AL38" i="12"/>
  <c r="Y89" i="11"/>
  <c r="N170" i="10" s="1"/>
  <c r="AM41" i="12"/>
  <c r="AM31" i="12"/>
  <c r="AS43" i="4"/>
  <c r="AL28" i="12"/>
  <c r="L173" i="10"/>
  <c r="M169" i="10"/>
  <c r="AL25" i="12"/>
  <c r="AL39" i="12"/>
  <c r="T227" i="31"/>
  <c r="AM26" i="12"/>
  <c r="AL40" i="12"/>
  <c r="L44" i="39"/>
  <c r="T226" i="31"/>
  <c r="F180" i="10"/>
  <c r="AS47" i="4"/>
  <c r="AL18" i="12"/>
  <c r="AL47" i="12"/>
  <c r="AS22" i="4"/>
  <c r="H164" i="10"/>
  <c r="M177" i="10"/>
  <c r="AQ92" i="11"/>
  <c r="X173" i="10" s="1"/>
  <c r="F181" i="10"/>
  <c r="AS48" i="4"/>
  <c r="AS49" i="4"/>
  <c r="AQ93" i="11"/>
  <c r="X174" i="10" s="1"/>
  <c r="Y93" i="11"/>
  <c r="N174" i="10" s="1"/>
  <c r="AS16" i="4"/>
  <c r="AS38" i="4"/>
  <c r="AM40" i="12"/>
  <c r="AL23" i="12"/>
  <c r="AM35" i="12"/>
  <c r="AL49" i="12"/>
  <c r="AL26" i="12"/>
  <c r="AS36" i="4"/>
  <c r="AR17" i="4"/>
  <c r="AL22" i="12"/>
  <c r="AL36" i="12"/>
  <c r="P50" i="12"/>
  <c r="R50" i="4"/>
  <c r="AO105" i="11" s="1"/>
  <c r="AF82" i="11"/>
  <c r="AB82" i="11"/>
  <c r="AK82" i="11" s="1"/>
  <c r="AM25" i="12"/>
  <c r="AS30" i="4"/>
  <c r="Q50" i="4"/>
  <c r="AO104" i="11" s="1"/>
  <c r="AR45" i="4"/>
  <c r="AM39" i="12"/>
  <c r="AY50" i="4"/>
  <c r="AS23" i="4"/>
  <c r="AM38" i="12"/>
  <c r="AS35" i="4"/>
  <c r="AM37" i="12"/>
  <c r="AR16" i="4"/>
  <c r="AS24" i="4"/>
  <c r="I162" i="10"/>
  <c r="AQ91" i="11"/>
  <c r="X172" i="10" s="1"/>
  <c r="AR38" i="4"/>
  <c r="AM36" i="12"/>
  <c r="AM24" i="12"/>
  <c r="AM22" i="12"/>
  <c r="AS46" i="4"/>
  <c r="AM49" i="12"/>
  <c r="AR37" i="4"/>
  <c r="AM21" i="12"/>
  <c r="AL35" i="12"/>
  <c r="AK77" i="11"/>
  <c r="J162" i="10" s="1"/>
  <c r="AS44" i="4"/>
  <c r="H172" i="10"/>
  <c r="J113" i="31" l="1"/>
  <c r="M75" i="13"/>
  <c r="Z8" i="13"/>
  <c r="S164" i="11"/>
  <c r="G136" i="10" s="1"/>
  <c r="K113" i="31" a="1"/>
  <c r="K113" i="31" s="1"/>
  <c r="L113" i="31" s="1"/>
  <c r="C94" i="31"/>
  <c r="Q90" i="29" s="1"/>
  <c r="W17" i="4" s="1"/>
  <c r="D66" i="10"/>
  <c r="AC5" i="13"/>
  <c r="L46" i="39"/>
  <c r="J75" i="13"/>
  <c r="G75" i="13"/>
  <c r="AO160" i="11"/>
  <c r="H253" i="10" s="1"/>
  <c r="AB159" i="11"/>
  <c r="E252" i="10" s="1"/>
  <c r="C252" i="10"/>
  <c r="J112" i="31"/>
  <c r="L112" i="31" s="1"/>
  <c r="AK164" i="11"/>
  <c r="L73" i="13"/>
  <c r="L75" i="13" s="1"/>
  <c r="R114" i="31"/>
  <c r="AA122" i="31"/>
  <c r="R111" i="31"/>
  <c r="U116" i="31"/>
  <c r="R116" i="31"/>
  <c r="U110" i="31"/>
  <c r="U115" i="31"/>
  <c r="R113" i="31"/>
  <c r="R112" i="31"/>
  <c r="W128" i="31"/>
  <c r="X133" i="31" s="1" a="1"/>
  <c r="X133" i="31" s="1"/>
  <c r="U113" i="31"/>
  <c r="R109" i="31"/>
  <c r="R115" i="31"/>
  <c r="U114" i="31"/>
  <c r="U111" i="31"/>
  <c r="U109" i="31"/>
  <c r="X118" i="31"/>
  <c r="U112" i="31"/>
  <c r="R110" i="31"/>
  <c r="J111" i="31"/>
  <c r="L111" i="31" s="1"/>
  <c r="Z5" i="13"/>
  <c r="Y94" i="11"/>
  <c r="E68" i="10"/>
  <c r="E72" i="10" s="1"/>
  <c r="FU2" i="10" s="1"/>
  <c r="AC7" i="13"/>
  <c r="F252" i="10"/>
  <c r="AO159" i="11"/>
  <c r="H252" i="10" s="1"/>
  <c r="T133" i="31" a="1"/>
  <c r="T133" i="31" s="1"/>
  <c r="T135" i="31" a="1"/>
  <c r="T135" i="31" s="1"/>
  <c r="W135" i="31" s="1"/>
  <c r="U162" i="31"/>
  <c r="T136" i="31" a="1"/>
  <c r="T136" i="31" s="1"/>
  <c r="T134" i="31" a="1"/>
  <c r="T134" i="31" s="1"/>
  <c r="T137" i="31" a="1"/>
  <c r="T137" i="31" s="1"/>
  <c r="U135" i="31" a="1"/>
  <c r="U135" i="31" s="1"/>
  <c r="U136" i="31" a="1"/>
  <c r="U136" i="31" s="1"/>
  <c r="U134" i="31" a="1"/>
  <c r="U134" i="31" s="1"/>
  <c r="X136" i="31" a="1"/>
  <c r="X136" i="31" s="1"/>
  <c r="U133" i="31" a="1"/>
  <c r="U133" i="31" s="1"/>
  <c r="V137" i="31" a="1"/>
  <c r="V137" i="31" s="1"/>
  <c r="V136" i="31" a="1"/>
  <c r="V136" i="31" s="1"/>
  <c r="V133" i="31" a="1"/>
  <c r="V133" i="31" s="1"/>
  <c r="K110" i="31" a="1"/>
  <c r="K110" i="31" s="1"/>
  <c r="J110" i="31"/>
  <c r="E251" i="10"/>
  <c r="K109" i="31" a="1"/>
  <c r="K109" i="31" s="1"/>
  <c r="J109" i="31"/>
  <c r="AC6" i="13"/>
  <c r="D67" i="10"/>
  <c r="H36" i="39"/>
  <c r="B68" i="10"/>
  <c r="B72" i="10" s="1"/>
  <c r="FQ2" i="10" s="1"/>
  <c r="FS2" i="10" s="1"/>
  <c r="Z7" i="13"/>
  <c r="U137" i="31" a="1"/>
  <c r="U137" i="31" s="1"/>
  <c r="AB160" i="11"/>
  <c r="E253" i="10" s="1"/>
  <c r="H251" i="10"/>
  <c r="G254" i="10"/>
  <c r="AO161" i="11"/>
  <c r="H254" i="10" s="1"/>
  <c r="W164" i="11"/>
  <c r="H136" i="10" s="1"/>
  <c r="V134" i="31" a="1"/>
  <c r="V134" i="31" s="1"/>
  <c r="AQ94" i="11"/>
  <c r="AF183" i="11" l="1"/>
  <c r="AH90" i="29"/>
  <c r="AK183" i="11" s="1"/>
  <c r="Z90" i="29"/>
  <c r="D72" i="10"/>
  <c r="FT2" i="10" s="1"/>
  <c r="W136" i="31"/>
  <c r="L110" i="31"/>
  <c r="U161" i="31"/>
  <c r="X134" i="31" a="1"/>
  <c r="X134" i="31" s="1"/>
  <c r="Y134" i="31" s="1"/>
  <c r="Z134" i="31" s="1"/>
  <c r="X135" i="31" a="1"/>
  <c r="X135" i="31" s="1"/>
  <c r="W137" i="31"/>
  <c r="X137" i="31" a="1"/>
  <c r="X137" i="31" s="1"/>
  <c r="AB164" i="11"/>
  <c r="I136" i="10" s="1"/>
  <c r="W134" i="31"/>
  <c r="AA134" i="31" s="1"/>
  <c r="CD48" i="29" s="1"/>
  <c r="L109" i="31"/>
  <c r="U200" i="31" a="1"/>
  <c r="U200" i="31" s="1"/>
  <c r="W200" i="31" s="1"/>
  <c r="T170" i="31" a="1"/>
  <c r="T170" i="31" s="1"/>
  <c r="U201" i="31" a="1"/>
  <c r="U201" i="31" s="1"/>
  <c r="T203" i="31" a="1"/>
  <c r="T203" i="31" s="1"/>
  <c r="T167" i="31" a="1"/>
  <c r="T167" i="31" s="1"/>
  <c r="U226" i="31" a="1"/>
  <c r="U226" i="31" s="1"/>
  <c r="V168" i="31" a="1"/>
  <c r="V168" i="31" s="1"/>
  <c r="X168" i="31" s="1"/>
  <c r="S202" i="31" a="1"/>
  <c r="S202" i="31" s="1"/>
  <c r="S200" i="31" a="1"/>
  <c r="S200" i="31" s="1"/>
  <c r="U228" i="31" a="1"/>
  <c r="U228" i="31" s="1"/>
  <c r="S204" i="31" a="1"/>
  <c r="S204" i="31" s="1"/>
  <c r="S201" i="31" a="1"/>
  <c r="S201" i="31" s="1"/>
  <c r="T201" i="31" a="1"/>
  <c r="T201" i="31" s="1"/>
  <c r="U202" i="31" a="1"/>
  <c r="U202" i="31" s="1"/>
  <c r="V167" i="31" a="1"/>
  <c r="V167" i="31" s="1"/>
  <c r="X167" i="31" s="1"/>
  <c r="T200" i="31" a="1"/>
  <c r="T200" i="31" s="1"/>
  <c r="T171" i="31" a="1"/>
  <c r="T171" i="31" s="1"/>
  <c r="T202" i="31" a="1"/>
  <c r="T202" i="31" s="1"/>
  <c r="U227" i="31" a="1"/>
  <c r="U227" i="31" s="1"/>
  <c r="U169" i="31" a="1"/>
  <c r="U169" i="31" s="1"/>
  <c r="U204" i="31" a="1"/>
  <c r="U204" i="31" s="1"/>
  <c r="U168" i="31" a="1"/>
  <c r="U168" i="31" s="1"/>
  <c r="T204" i="31" a="1"/>
  <c r="T204" i="31" s="1"/>
  <c r="U203" i="31" a="1"/>
  <c r="U203" i="31" s="1"/>
  <c r="W203" i="31" s="1"/>
  <c r="U229" i="31" a="1"/>
  <c r="U229" i="31" s="1"/>
  <c r="U167" i="31" a="1"/>
  <c r="U167" i="31" s="1"/>
  <c r="T168" i="31" a="1"/>
  <c r="T168" i="31" s="1"/>
  <c r="T169" i="31" a="1"/>
  <c r="T169" i="31" s="1"/>
  <c r="U171" i="31" a="1"/>
  <c r="U171" i="31" s="1"/>
  <c r="S203" i="31" a="1"/>
  <c r="S203" i="31" s="1"/>
  <c r="U170" i="31" a="1"/>
  <c r="U170" i="31" s="1"/>
  <c r="V170" i="31" a="1"/>
  <c r="V170" i="31" s="1"/>
  <c r="X170" i="31" s="1"/>
  <c r="V171" i="31" a="1"/>
  <c r="V171" i="31" s="1"/>
  <c r="X171" i="31" s="1"/>
  <c r="U225" i="31" a="1"/>
  <c r="U225" i="31" s="1"/>
  <c r="V169" i="31" a="1"/>
  <c r="V169" i="31" s="1"/>
  <c r="X169" i="31" s="1"/>
  <c r="AA137" i="31"/>
  <c r="CD51" i="29" s="1"/>
  <c r="AO164" i="11"/>
  <c r="AA136" i="31"/>
  <c r="CD50" i="29" s="1"/>
  <c r="Y136" i="31"/>
  <c r="Z136" i="31" s="1"/>
  <c r="Y135" i="31"/>
  <c r="Z135" i="31" s="1"/>
  <c r="AA135" i="31"/>
  <c r="CD49" i="29" s="1"/>
  <c r="W133" i="31"/>
  <c r="FV2" i="10"/>
  <c r="W202" i="31" l="1"/>
  <c r="W204" i="31"/>
  <c r="F155" i="10"/>
  <c r="AO183" i="11"/>
  <c r="G155" i="10" s="1"/>
  <c r="Y137" i="31"/>
  <c r="Z137" i="31" s="1"/>
  <c r="W201" i="31"/>
  <c r="V204" i="31"/>
  <c r="X204" i="31" s="1"/>
  <c r="Y204" i="31" s="1"/>
  <c r="V200" i="31"/>
  <c r="Z200" i="31" s="1"/>
  <c r="CD63" i="29" s="1"/>
  <c r="V202" i="31"/>
  <c r="Z202" i="31" s="1"/>
  <c r="CD65" i="29" s="1"/>
  <c r="W167" i="31"/>
  <c r="Y167" i="31" s="1"/>
  <c r="Z167" i="31" s="1"/>
  <c r="W228" i="31"/>
  <c r="V228" i="31"/>
  <c r="W225" i="31"/>
  <c r="V225" i="31"/>
  <c r="W226" i="31"/>
  <c r="V226" i="31"/>
  <c r="W227" i="31"/>
  <c r="V227" i="31"/>
  <c r="W229" i="31"/>
  <c r="V229" i="31"/>
  <c r="V203" i="31"/>
  <c r="W169" i="31"/>
  <c r="W171" i="31"/>
  <c r="W170" i="31"/>
  <c r="AA133" i="31"/>
  <c r="CD47" i="29" s="1"/>
  <c r="Y133" i="31"/>
  <c r="Z133" i="31" s="1"/>
  <c r="W168" i="31"/>
  <c r="V201" i="31"/>
  <c r="D115" i="31" l="1"/>
  <c r="Z204" i="31"/>
  <c r="CD67" i="29" s="1"/>
  <c r="AA167" i="31"/>
  <c r="CD55" i="29" s="1"/>
  <c r="X202" i="31"/>
  <c r="Y202" i="31" s="1"/>
  <c r="X200" i="31"/>
  <c r="Y200" i="31" s="1"/>
  <c r="Z201" i="31"/>
  <c r="CD64" i="29" s="1"/>
  <c r="X201" i="31"/>
  <c r="Y201" i="31" s="1"/>
  <c r="Z229" i="31"/>
  <c r="CD75" i="29" s="1"/>
  <c r="X229" i="31"/>
  <c r="Y229" i="31" s="1"/>
  <c r="Z227" i="31"/>
  <c r="CD73" i="29" s="1"/>
  <c r="X227" i="31"/>
  <c r="Y227" i="31" s="1"/>
  <c r="AA170" i="31"/>
  <c r="CD58" i="29" s="1"/>
  <c r="Y170" i="31"/>
  <c r="Z170" i="31" s="1"/>
  <c r="X226" i="31"/>
  <c r="Y226" i="31" s="1"/>
  <c r="Z226" i="31"/>
  <c r="CD72" i="29" s="1"/>
  <c r="Z225" i="31"/>
  <c r="CD71" i="29" s="1"/>
  <c r="X225" i="31"/>
  <c r="Y225" i="31" s="1"/>
  <c r="Y169" i="31"/>
  <c r="Z169" i="31" s="1"/>
  <c r="AA169" i="31"/>
  <c r="CD57" i="29" s="1"/>
  <c r="X228" i="31"/>
  <c r="Y228" i="31" s="1"/>
  <c r="Z228" i="31"/>
  <c r="CD74" i="29" s="1"/>
  <c r="Z203" i="31"/>
  <c r="CD66" i="29" s="1"/>
  <c r="X203" i="31"/>
  <c r="Y203" i="31" s="1"/>
  <c r="AA168" i="31"/>
  <c r="CD56" i="29" s="1"/>
  <c r="Y168" i="31"/>
  <c r="Z168" i="31" s="1"/>
  <c r="Y171" i="31"/>
  <c r="Z171" i="31" s="1"/>
  <c r="AA171" i="31"/>
  <c r="CD59" i="29" s="1"/>
  <c r="D117" i="31" l="1"/>
  <c r="D116" i="31"/>
  <c r="D118" i="31"/>
  <c r="D121" i="31" s="1"/>
  <c r="Q92" i="29" s="1"/>
  <c r="AH92" i="29" l="1"/>
  <c r="AK182" i="11" s="1"/>
  <c r="AF182" i="11"/>
  <c r="AF180" i="11" s="1"/>
  <c r="Z92" i="29"/>
  <c r="W18" i="4"/>
  <c r="W16" i="4" s="1"/>
  <c r="W50" i="4" s="1"/>
  <c r="F154" i="10"/>
  <c r="AO182" i="11"/>
  <c r="G154" i="10" s="1"/>
  <c r="AZ16" i="4" l="1"/>
  <c r="AZ50" i="4" s="1"/>
  <c r="AO180" i="11"/>
  <c r="AK180" i="11"/>
  <c r="F152" i="10"/>
  <c r="AF181" i="11"/>
  <c r="F153" i="10" l="1"/>
  <c r="AO181" i="11"/>
  <c r="G153" i="10" s="1"/>
  <c r="AF187" i="11"/>
  <c r="AK187" i="11" s="1"/>
  <c r="AK181" i="11" s="1"/>
  <c r="G152" i="10"/>
  <c r="AO18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Légaré, Benoît (SITE)</author>
  </authors>
  <commentList>
    <comment ref="AF180" authorId="0" shapeId="0" xr:uid="{5A65A951-180D-4839-9E9E-F7E87A538E69}">
      <text>
        <r>
          <rPr>
            <sz val="8"/>
            <color indexed="81"/>
            <rFont val="Tahoma"/>
            <family val="2"/>
          </rPr>
          <t>À titre indicatif seulement. L'analyse de la demande pourrait faire varier cette valeur.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Rainville, Josiane (SITE)</author>
    <author>Légaré, Benoit</author>
  </authors>
  <commentList>
    <comment ref="C12" authorId="0" shapeId="0" xr:uid="{46A32776-B30D-48A4-BA91-F7F5C6270DA9}">
      <text>
        <r>
          <rPr>
            <sz val="8"/>
            <color indexed="81"/>
            <rFont val="Arial"/>
            <family val="2"/>
          </rPr>
          <t>Si, pour une même mesure, il y a des réductions ou des augmentations de la consommation énergétique ou que la mesure implique différentes  formes d'énergie, celles-ci doivent être présentées sur des lignes différentes.</t>
        </r>
      </text>
    </comment>
    <comment ref="G12" authorId="1" shapeId="0" xr:uid="{C917E980-B4C1-4FBC-94FE-BA9A31F6F700}">
      <text>
        <r>
          <rPr>
            <sz val="8"/>
            <color indexed="81"/>
            <rFont val="Arial"/>
            <family val="2"/>
          </rPr>
          <t>Énergie : Pour les émissions provenant de l'utilisation de la forme d'énergie.
Fugitive : Émissions liées aux fuites d'un procédé ou aux réactions chimiques en lien avec le procédé.</t>
        </r>
      </text>
    </comment>
    <comment ref="Y12" authorId="0" shapeId="0" xr:uid="{8D7CCCCD-CC13-4048-AE3E-5C013A7686AB}">
      <text>
        <r>
          <rPr>
            <sz val="8"/>
            <color indexed="81"/>
            <rFont val="Arial"/>
            <family val="2"/>
          </rPr>
          <t xml:space="preserve">La </t>
        </r>
        <r>
          <rPr>
            <b/>
            <sz val="8"/>
            <color indexed="81"/>
            <rFont val="Arial"/>
            <family val="2"/>
          </rPr>
          <t>PRI</t>
        </r>
        <r>
          <rPr>
            <sz val="8"/>
            <color indexed="81"/>
            <rFont val="Arial"/>
            <family val="2"/>
          </rPr>
          <t xml:space="preserve"> est définie comme étant le rapport : Coûts du projet/économies nettes liées à la consommation énergétique (différence entre réductions et augmentations).</t>
        </r>
      </text>
    </comment>
    <comment ref="AA12" authorId="0" shapeId="0" xr:uid="{50C6B1F5-3479-4E21-8CC9-66609EC3580C}">
      <text>
        <r>
          <rPr>
            <sz val="8"/>
            <color indexed="81"/>
            <rFont val="Arial"/>
            <family val="2"/>
          </rPr>
          <t>Volet Conversion seulement.</t>
        </r>
      </text>
    </comment>
    <comment ref="AC12" authorId="0" shapeId="0" xr:uid="{A6953C81-15A0-44C7-9A8C-9E06638174F6}">
      <text>
        <r>
          <rPr>
            <b/>
            <sz val="8"/>
            <color indexed="81"/>
            <rFont val="Arial"/>
            <family val="2"/>
          </rPr>
          <t xml:space="preserve">I-  </t>
        </r>
        <r>
          <rPr>
            <sz val="8"/>
            <color indexed="81"/>
            <rFont val="Arial"/>
            <family val="2"/>
          </rPr>
          <t xml:space="preserve">Implanter
</t>
        </r>
        <r>
          <rPr>
            <b/>
            <sz val="8"/>
            <color indexed="81"/>
            <rFont val="Arial"/>
            <family val="2"/>
          </rPr>
          <t xml:space="preserve">N- </t>
        </r>
        <r>
          <rPr>
            <sz val="8"/>
            <color indexed="81"/>
            <rFont val="Arial"/>
            <family val="2"/>
          </rPr>
          <t xml:space="preserve">Ne rien faire
</t>
        </r>
        <r>
          <rPr>
            <b/>
            <sz val="8"/>
            <color indexed="81"/>
            <rFont val="Arial"/>
            <family val="2"/>
          </rPr>
          <t xml:space="preserve">E- </t>
        </r>
        <r>
          <rPr>
            <sz val="8"/>
            <color indexed="81"/>
            <rFont val="Arial"/>
            <family val="2"/>
          </rPr>
          <t>Étude supplémentaire requise</t>
        </r>
      </text>
    </comment>
    <comment ref="AE12" authorId="0" shapeId="0" xr:uid="{5DE84013-2B98-4C93-8995-AAA2C819DC01}">
      <text>
        <r>
          <rPr>
            <sz val="8"/>
            <color indexed="81"/>
            <rFont val="Arial"/>
            <family val="2"/>
          </rPr>
          <t xml:space="preserve">1- Implantée
2- En cours d'implantation
3- Dans la prochaine année
4- D'ici deux ans
5- Ne sera pas implantée
</t>
        </r>
      </text>
    </comment>
    <comment ref="J13" authorId="1" shapeId="0" xr:uid="{2614557B-06D6-43C4-8D79-46CA244D6ED3}">
      <text>
        <r>
          <rPr>
            <sz val="8"/>
            <color indexed="81"/>
            <rFont val="Arial"/>
            <family val="2"/>
          </rPr>
          <t>Pour les combustibles provenant de biomasse, indiquer le pourcentage d'humidité du combustible.
Pour les biogaz, il s'agit du pourcentage de méthane.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Rainville, Josiane (SITE)</author>
    <author>Légaré, Benoit</author>
  </authors>
  <commentList>
    <comment ref="A12" authorId="0" shapeId="0" xr:uid="{0EB92778-B6EB-4F1F-88E8-50119C8EB25F}">
      <text>
        <r>
          <rPr>
            <sz val="8"/>
            <color indexed="81"/>
            <rFont val="Arial"/>
            <family val="2"/>
          </rPr>
          <t>Si, pour une même mesure, il y a des réductions ou des augmentations de la consommation énergétique ou que la mesure implique différentes  formes d'énergie, celles-ci doivent être présentées sur des lignes différentes.</t>
        </r>
      </text>
    </comment>
    <comment ref="E12" authorId="1" shapeId="0" xr:uid="{B7A04BBB-5587-4E3C-888B-610F633E62F9}">
      <text>
        <r>
          <rPr>
            <sz val="8"/>
            <color indexed="81"/>
            <rFont val="Arial"/>
            <family val="2"/>
          </rPr>
          <t xml:space="preserve">Énergie : Pour les émissions provenant de l'utilisation de la forme d'énergie.
Fugitive : Émissions liées aux fuites d'un procédé ou aux réactions chimiques en lien avec le procédé.
</t>
        </r>
      </text>
    </comment>
    <comment ref="W12" authorId="0" shapeId="0" xr:uid="{63F6F1AE-C10A-4A2C-A14C-1798D9E48A56}">
      <text>
        <r>
          <rPr>
            <sz val="8"/>
            <color indexed="81"/>
            <rFont val="Arial"/>
            <family val="2"/>
          </rPr>
          <t xml:space="preserve">La </t>
        </r>
        <r>
          <rPr>
            <b/>
            <sz val="8"/>
            <color indexed="81"/>
            <rFont val="Arial"/>
            <family val="2"/>
          </rPr>
          <t>PRI</t>
        </r>
        <r>
          <rPr>
            <sz val="8"/>
            <color indexed="81"/>
            <rFont val="Arial"/>
            <family val="2"/>
          </rPr>
          <t xml:space="preserve"> est définie comme étant le rapport : Coûts du projet/économies nettes liées à la consommation énergétique (différence entre réductions et augmentations).</t>
        </r>
        <r>
          <rPr>
            <sz val="9"/>
            <color indexed="81"/>
            <rFont val="Tahoma"/>
            <family val="2"/>
          </rPr>
          <t xml:space="preserve">
</t>
        </r>
      </text>
    </comment>
    <comment ref="Y12" authorId="0" shapeId="0" xr:uid="{EAAE4A80-7B0F-4FC9-8B8A-608ADEDFCDFC}">
      <text>
        <r>
          <rPr>
            <sz val="8"/>
            <color indexed="81"/>
            <rFont val="Arial"/>
            <family val="2"/>
          </rPr>
          <t>Volet Conversion seulement.</t>
        </r>
      </text>
    </comment>
    <comment ref="F13" authorId="0" shapeId="0" xr:uid="{81F2B0C6-CC76-4582-878C-E0D71355B47F}">
      <text>
        <r>
          <rPr>
            <sz val="8"/>
            <color indexed="81"/>
            <rFont val="Arial"/>
            <family val="2"/>
          </rPr>
          <t>Forme d'énergie/unités énergétiques ou potentiel de réchauffement planétaire (PRP)</t>
        </r>
      </text>
    </comment>
    <comment ref="H13" authorId="1" shapeId="0" xr:uid="{4CE81F79-777C-4E2E-90E2-7541178AC25A}">
      <text>
        <r>
          <rPr>
            <sz val="8"/>
            <color indexed="81"/>
            <rFont val="Tahoma"/>
            <family val="2"/>
          </rPr>
          <t>Pour les combustibles provenant de biomasse, indiquer le pourcentage d'humidité du combustible.
Pour les biogaz, il s'agit du pourcentage de méthane.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Vaillancourt Jean-Sébastien</author>
  </authors>
  <commentList>
    <comment ref="CD46" authorId="0" shapeId="0" xr:uid="{ED81121B-5735-4FA6-8C96-BF69441BCFB9}">
      <text>
        <r>
          <rPr>
            <b/>
            <sz val="9"/>
            <color indexed="81"/>
            <rFont val="Tahoma"/>
            <family val="2"/>
          </rPr>
          <t>Vaillancourt Jean-Sébastien:</t>
        </r>
        <r>
          <rPr>
            <sz val="9"/>
            <color indexed="81"/>
            <rFont val="Tahoma"/>
            <family val="2"/>
          </rPr>
          <t xml:space="preserve">
pour utilisation interne seulement à cacher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Claude Thériault</author>
    <author xml:space="preserve"> </author>
    <author>Utilisateur Microsoft Office</author>
  </authors>
  <commentList>
    <comment ref="B9" authorId="0" shapeId="0" xr:uid="{E4C2C045-4F87-4268-99E4-3D975D3FAFFF}">
      <text>
        <r>
          <rPr>
            <sz val="8"/>
            <color indexed="8"/>
            <rFont val="Tahoma"/>
            <family val="2"/>
          </rPr>
          <t>Inscrire le nom de la compagnie</t>
        </r>
      </text>
    </comment>
    <comment ref="B10" authorId="1" shapeId="0" xr:uid="{4CE7C026-EBB7-4369-A5EC-29CBE09BBE8C}">
      <text>
        <r>
          <rPr>
            <sz val="8"/>
            <color indexed="8"/>
            <rFont val="Tahoma"/>
            <family val="2"/>
          </rPr>
          <t xml:space="preserve">Inscrire le nom de la personne contact (comptabilité)
</t>
        </r>
      </text>
    </comment>
    <comment ref="F10" authorId="0" shapeId="0" xr:uid="{DD11D08D-57E1-4C4D-B9C5-E61899173242}">
      <text>
        <r>
          <rPr>
            <sz val="8"/>
            <color indexed="8"/>
            <rFont val="Tahoma"/>
            <family val="2"/>
          </rPr>
          <t xml:space="preserve">Inscrire le numéro de téléphone de la personne contact
</t>
        </r>
        <r>
          <rPr>
            <sz val="8"/>
            <color indexed="8"/>
            <rFont val="Tahoma"/>
            <family val="2"/>
          </rPr>
          <t>(Ex.: 514 598-3030)</t>
        </r>
      </text>
    </comment>
    <comment ref="B11" authorId="1" shapeId="0" xr:uid="{22563E31-D82E-4682-97EE-DE9BB42B648C}">
      <text>
        <r>
          <rPr>
            <sz val="8"/>
            <color indexed="8"/>
            <rFont val="Tahoma"/>
            <family val="2"/>
          </rPr>
          <t xml:space="preserve">Inscrire l'adresse de la compagnie.
</t>
        </r>
        <r>
          <rPr>
            <sz val="8"/>
            <color indexed="8"/>
            <rFont val="Tahoma"/>
            <family val="2"/>
          </rPr>
          <t>(Ex.: 1717, du Havre)</t>
        </r>
      </text>
    </comment>
    <comment ref="B12" authorId="1" shapeId="0" xr:uid="{97C613F2-2444-4112-A4DD-00CC5DA1A972}">
      <text>
        <r>
          <rPr>
            <sz val="8"/>
            <color indexed="8"/>
            <rFont val="Tahoma"/>
            <family val="2"/>
          </rPr>
          <t xml:space="preserve">Inscrire la ville et la province.
</t>
        </r>
        <r>
          <rPr>
            <sz val="8"/>
            <color indexed="8"/>
            <rFont val="Tahoma"/>
            <family val="2"/>
          </rPr>
          <t>(Ex.: Montréal, QC)</t>
        </r>
      </text>
    </comment>
    <comment ref="B13" authorId="1" shapeId="0" xr:uid="{BB29C20C-841C-4F1E-9B39-D4476C2A647E}">
      <text>
        <r>
          <rPr>
            <sz val="8"/>
            <color indexed="8"/>
            <rFont val="Tahoma"/>
            <family val="2"/>
          </rPr>
          <t xml:space="preserve">Inscrire le code postal.
</t>
        </r>
        <r>
          <rPr>
            <sz val="8"/>
            <color indexed="8"/>
            <rFont val="Tahoma"/>
            <family val="2"/>
          </rPr>
          <t>(Ex.: H2K 2X3)</t>
        </r>
      </text>
    </comment>
    <comment ref="D31" authorId="2" shapeId="0" xr:uid="{923D99AF-3DE4-4F32-AF79-E3597BA24C0E}">
      <text>
        <r>
          <rPr>
            <sz val="8"/>
            <color indexed="8"/>
            <rFont val="Arial"/>
            <family val="2"/>
          </rPr>
          <t>Indiquer le numéro d'OE</t>
        </r>
      </text>
    </comment>
    <comment ref="E42" authorId="2" shapeId="0" xr:uid="{39D25A66-EA53-41CB-9DC4-C271950A52F2}">
      <text>
        <r>
          <rPr>
            <sz val="8"/>
            <color indexed="8"/>
            <rFont val="Arial"/>
            <family val="2"/>
          </rPr>
          <t xml:space="preserve">À compléter </t>
        </r>
      </text>
    </comment>
    <comment ref="E43" authorId="2" shapeId="0" xr:uid="{E3F05E33-8429-438C-BB54-63CBD8286A39}">
      <text>
        <r>
          <rPr>
            <sz val="8"/>
            <color indexed="8"/>
            <rFont val="Arial"/>
            <family val="2"/>
          </rPr>
          <t xml:space="preserve">À compléter </t>
        </r>
      </text>
    </comment>
  </commentList>
</comments>
</file>

<file path=xl/sharedStrings.xml><?xml version="1.0" encoding="utf-8"?>
<sst xmlns="http://schemas.openxmlformats.org/spreadsheetml/2006/main" count="23062" uniqueCount="5668">
  <si>
    <t>R-415B</t>
  </si>
  <si>
    <t>0,25(HFC-22)+0,75(HFC-152a)</t>
  </si>
  <si>
    <t>R-416A</t>
  </si>
  <si>
    <t>0,59(HFC-134a)+0,395(HCFC-124)+0,015(600)</t>
  </si>
  <si>
    <t>R-417A</t>
  </si>
  <si>
    <t>R-419A</t>
  </si>
  <si>
    <t>R-421A</t>
  </si>
  <si>
    <t>0,58(HFC-125)+0,42(HFC-134a)</t>
  </si>
  <si>
    <t>R-421B</t>
  </si>
  <si>
    <t>0,85(HFC-125)+0,15(HFC-134a)</t>
  </si>
  <si>
    <t>R-422A</t>
  </si>
  <si>
    <t>0,851(HFC-125)+0,115(HFC-134a)+0,034*(600a)</t>
  </si>
  <si>
    <t>R-422B</t>
  </si>
  <si>
    <t>0,55(HFC-125)+0,42(HFC-134a)+0,03*(600a)</t>
  </si>
  <si>
    <t>R-422C</t>
  </si>
  <si>
    <t>0,82(HFC-125)+0,15(HFC-134a)+0,03*(600a)</t>
  </si>
  <si>
    <t>R-423A</t>
  </si>
  <si>
    <t>0,525(HFC-134a)+0,475(HFC-227ea)</t>
  </si>
  <si>
    <t>R-424A</t>
  </si>
  <si>
    <t>,505(125)+,47(134a)+0,09(600a)+,01(600)+,006(601a)</t>
  </si>
  <si>
    <t>Dans la prochaine année</t>
  </si>
  <si>
    <t>Gouvernement (Optimisation réfrigération)</t>
  </si>
  <si>
    <t>Privé (Industriel)</t>
  </si>
  <si>
    <t>Coûts liés à l'embauche d'une personne énergie</t>
  </si>
  <si>
    <t>Équipement de mesurage, sondes et programmation</t>
  </si>
  <si>
    <t xml:space="preserve">Production d'énergie renouvelable (cochez ci-dessous) </t>
  </si>
  <si>
    <t xml:space="preserve">Efficacité énergétique (cochez ci-dessous) </t>
  </si>
  <si>
    <t>K-Sommaire coûts projet</t>
  </si>
  <si>
    <t>Montage financier 
(inscrivez d'abord le nom des partenaires ici et remplirssez ensuite les onglets 3a à 3e)</t>
  </si>
  <si>
    <t>Bureau de l'efficacité et de l'innovation énergétiques</t>
  </si>
  <si>
    <t>I-Système de réfrigération</t>
  </si>
  <si>
    <t>Année de réalisation réelle</t>
  </si>
  <si>
    <t>A. Acquisition équipement/matériel</t>
  </si>
  <si>
    <t>B. Acquisition de l'équipement de mesurage</t>
  </si>
  <si>
    <t>R-427A</t>
  </si>
  <si>
    <t>0,15(HFC32)+,25(HFC125)+,1(HFC143a)+,5(HFC134a)</t>
  </si>
  <si>
    <t>R-438A</t>
  </si>
  <si>
    <t>,085(32)+,45(125)+,442(134a)+,017(600)+,006*(601a)</t>
  </si>
  <si>
    <t>0,735(CFC-12)+0,262(HFC-152a)</t>
  </si>
  <si>
    <t>0,75(HCFC-22)+0,25(CFC-12)</t>
  </si>
  <si>
    <t>0,488(HCFC-22)+0,512(CFC-115)</t>
  </si>
  <si>
    <t>0,401(HFC-23)+0,599(CFC-13)</t>
  </si>
  <si>
    <t>0,482(HFC-32)+0,518(CFC-115)</t>
  </si>
  <si>
    <t>0,39(HFC-23)+0,61(PFC-116)</t>
  </si>
  <si>
    <t>0,46(HFC-23)+0,54(PFC-116)</t>
  </si>
  <si>
    <t>R-509A</t>
  </si>
  <si>
    <t>0,44(HCFC-22)+0,56(PFC-218)</t>
  </si>
  <si>
    <t>Trifluorure d'azote</t>
  </si>
  <si>
    <t>NF3</t>
  </si>
  <si>
    <t>Degré jour de chauffe</t>
  </si>
  <si>
    <t>Superficie (pour bâtiment)</t>
  </si>
  <si>
    <t>DJChauffe</t>
  </si>
  <si>
    <t>Superficie</t>
  </si>
  <si>
    <t>UnitSuperficie</t>
  </si>
  <si>
    <t>UnitProd</t>
  </si>
  <si>
    <t>Code_Activité</t>
  </si>
  <si>
    <t>Activité</t>
  </si>
  <si>
    <t>Coût_Interne</t>
  </si>
  <si>
    <t>Coût_externe</t>
  </si>
  <si>
    <t>Aide_demande</t>
  </si>
  <si>
    <t>No</t>
  </si>
  <si>
    <t>Type</t>
  </si>
  <si>
    <t>BT</t>
  </si>
  <si>
    <t>HT</t>
  </si>
  <si>
    <t>1151210</t>
  </si>
  <si>
    <t>Privé (Optimisation réfrigération)</t>
  </si>
  <si>
    <t>OSBL (Optimisation réfrigération)</t>
  </si>
  <si>
    <t>Santé (Optimisation réfrigération)</t>
  </si>
  <si>
    <t>Éducation (Optimisation réfrigération)</t>
  </si>
  <si>
    <t>Municipal (Optimisation réfrigération)</t>
  </si>
  <si>
    <t>514</t>
  </si>
  <si>
    <t>Mazout lourd (nos 4, 5 et 6)</t>
  </si>
  <si>
    <t>GesAmont</t>
  </si>
  <si>
    <t>CodeMEE</t>
  </si>
  <si>
    <t>CatMEE</t>
  </si>
  <si>
    <t>Formation ISO 50001</t>
  </si>
  <si>
    <t>QTE</t>
  </si>
  <si>
    <t>GrandConsom</t>
  </si>
  <si>
    <t>Commercial institutionnel</t>
  </si>
  <si>
    <t>1151201</t>
  </si>
  <si>
    <t>1158180</t>
  </si>
  <si>
    <t>Capacité_Actuel</t>
  </si>
  <si>
    <t>Ref_actuel</t>
  </si>
  <si>
    <t>PRPActuel</t>
  </si>
  <si>
    <t>Charge_Actuel</t>
  </si>
  <si>
    <t>Unite_actuel</t>
  </si>
  <si>
    <t>GES_actuel</t>
  </si>
  <si>
    <t>Capacité_Prevu</t>
  </si>
  <si>
    <t>Ref_prevu</t>
  </si>
  <si>
    <t>PRPprevu</t>
  </si>
  <si>
    <t>Charge_prevu</t>
  </si>
  <si>
    <t>Unite_prevu</t>
  </si>
  <si>
    <t>GES_prevu</t>
  </si>
  <si>
    <t>Cas de référence</t>
  </si>
  <si>
    <t>Prévu</t>
  </si>
  <si>
    <t>Quantité/an</t>
  </si>
  <si>
    <t>Durée de vie</t>
  </si>
  <si>
    <t>Date prévue de mise en fonction</t>
  </si>
  <si>
    <t>Fonction</t>
  </si>
  <si>
    <t>Poste</t>
  </si>
  <si>
    <t>Adresse</t>
  </si>
  <si>
    <t>Téléphone</t>
  </si>
  <si>
    <t xml:space="preserve">  Code postal</t>
  </si>
  <si>
    <t>Date</t>
  </si>
  <si>
    <t>Période du</t>
  </si>
  <si>
    <t>au</t>
  </si>
  <si>
    <t>Unité</t>
  </si>
  <si>
    <t>kWh</t>
  </si>
  <si>
    <t>Gaz naturel</t>
  </si>
  <si>
    <t>Propane</t>
  </si>
  <si>
    <t>Date prévue de début du projet</t>
  </si>
  <si>
    <t>Nom du fournisseur</t>
  </si>
  <si>
    <t>Description des biens/services achetés</t>
  </si>
  <si>
    <t>Total</t>
  </si>
  <si>
    <t>Facture</t>
  </si>
  <si>
    <t>Bons de commande</t>
  </si>
  <si>
    <t xml:space="preserve">Date </t>
  </si>
  <si>
    <t>Coûts (A)</t>
  </si>
  <si>
    <t>Coûts (B)</t>
  </si>
  <si>
    <t>Justification des écarts (B-A)</t>
  </si>
  <si>
    <t>Tableau sommaire des résultats</t>
  </si>
  <si>
    <t>Description</t>
  </si>
  <si>
    <t>Investissement</t>
  </si>
  <si>
    <t>Remarques</t>
  </si>
  <si>
    <t>Année de réalisation prévue</t>
  </si>
  <si>
    <t>$/an</t>
  </si>
  <si>
    <t>Sans aide ($)</t>
  </si>
  <si>
    <t>Avec aide ($)</t>
  </si>
  <si>
    <t>($)</t>
  </si>
  <si>
    <t>Sans aide (an)</t>
  </si>
  <si>
    <t>Avec aide (an)</t>
  </si>
  <si>
    <t>Titre du projet</t>
  </si>
  <si>
    <t>Entreprise</t>
  </si>
  <si>
    <t>Charge</t>
  </si>
  <si>
    <t>ConsDateDeb</t>
  </si>
  <si>
    <t>ConsDateFin</t>
  </si>
  <si>
    <t>TitreProj</t>
  </si>
  <si>
    <t>DateDebProj</t>
  </si>
  <si>
    <t>DateFinProj</t>
  </si>
  <si>
    <t>DateMER</t>
  </si>
  <si>
    <t>13-1943-00</t>
  </si>
  <si>
    <t>Objectif du projet</t>
  </si>
  <si>
    <t>Nom du requérant :</t>
  </si>
  <si>
    <t xml:space="preserve"> Personne-ressource  :    </t>
  </si>
  <si>
    <t>Tableau sommaire du plan d'implantation</t>
  </si>
  <si>
    <t>Analyse</t>
  </si>
  <si>
    <t>Implantation</t>
  </si>
  <si>
    <t>Externes</t>
  </si>
  <si>
    <t>Internes</t>
  </si>
  <si>
    <t>Code SCIAN</t>
  </si>
  <si>
    <t>Potentiel de réduction</t>
  </si>
  <si>
    <t>Plan d'action et suivi par le requérant</t>
  </si>
  <si>
    <t>Prix unitaire</t>
  </si>
  <si>
    <t>Coûts réels (B)</t>
  </si>
  <si>
    <t>COÛTS RÉELS</t>
  </si>
  <si>
    <t>TOTAL</t>
  </si>
  <si>
    <t xml:space="preserve">SUIVI DES COÛTS </t>
  </si>
  <si>
    <t>ESTIMATION DES COÛTS</t>
  </si>
  <si>
    <t>Engagement</t>
  </si>
  <si>
    <t>FORMULAIRE DE DEMANDE D'AIDE FINANCIÈRE</t>
  </si>
  <si>
    <t>Municipalité</t>
  </si>
  <si>
    <t>Échéancier :</t>
  </si>
  <si>
    <t>N° facture</t>
  </si>
  <si>
    <t>N°</t>
  </si>
  <si>
    <t>Nature de la contribution</t>
  </si>
  <si>
    <t>Potentiel de réduction de la consommation d'énergie annuelle attribuable au projet (GJ/an)</t>
  </si>
  <si>
    <t>Appel</t>
  </si>
  <si>
    <t>Nom</t>
  </si>
  <si>
    <t>Code appel</t>
  </si>
  <si>
    <t>Madame</t>
  </si>
  <si>
    <t>Monsieur</t>
  </si>
  <si>
    <t xml:space="preserve"> Prénom</t>
  </si>
  <si>
    <t xml:space="preserve"> Courriel</t>
  </si>
  <si>
    <t>Choisir…</t>
  </si>
  <si>
    <t>Type entreprise</t>
  </si>
  <si>
    <r>
      <t>Potentiel de réduction des émissions de GES annuelle attribuable au projet (tCO</t>
    </r>
    <r>
      <rPr>
        <vertAlign val="subscript"/>
        <sz val="8"/>
        <rFont val="Arial"/>
        <family val="2"/>
      </rPr>
      <t>2equiv</t>
    </r>
    <r>
      <rPr>
        <sz val="8"/>
        <rFont val="Arial"/>
        <family val="2"/>
      </rPr>
      <t>)</t>
    </r>
  </si>
  <si>
    <t>CC</t>
  </si>
  <si>
    <t>DescriptionCC</t>
  </si>
  <si>
    <t>00</t>
  </si>
  <si>
    <t>Gouvernement</t>
  </si>
  <si>
    <t>10</t>
  </si>
  <si>
    <t>20</t>
  </si>
  <si>
    <t>Santé</t>
  </si>
  <si>
    <t>30</t>
  </si>
  <si>
    <t>Éducation</t>
  </si>
  <si>
    <t>QteObj</t>
  </si>
  <si>
    <t>GESObj</t>
  </si>
  <si>
    <t>EcartQteObj</t>
  </si>
  <si>
    <t>PourcentEcartObj</t>
  </si>
  <si>
    <t>CoutNRJ</t>
  </si>
  <si>
    <t>40</t>
  </si>
  <si>
    <t>Municipal</t>
  </si>
  <si>
    <t>50</t>
  </si>
  <si>
    <t>Prêt</t>
  </si>
  <si>
    <t>Équité</t>
  </si>
  <si>
    <t>Montant d'aide financière demandé (voir note)</t>
  </si>
  <si>
    <t>Description sommaire du projet</t>
  </si>
  <si>
    <t>Hydro-Québec</t>
  </si>
  <si>
    <t>Investissement Québec</t>
  </si>
  <si>
    <t>Banque/Caisse</t>
  </si>
  <si>
    <t>TDDC</t>
  </si>
  <si>
    <t>BDC</t>
  </si>
  <si>
    <t>CDE</t>
  </si>
  <si>
    <t>Autre…</t>
  </si>
  <si>
    <t>(précisez si nécessaire)</t>
  </si>
  <si>
    <t>Type de dépenses</t>
  </si>
  <si>
    <t>Potentiel énergétique et GES  (remplir l'onglet plan d'implantation si applicable)</t>
  </si>
  <si>
    <t>Interne</t>
  </si>
  <si>
    <t>Externe</t>
  </si>
  <si>
    <t xml:space="preserve">Total des contributions  </t>
  </si>
  <si>
    <t xml:space="preserve">Total des coûts </t>
  </si>
  <si>
    <t>BEIE</t>
  </si>
  <si>
    <t>C. Mesurage, quantification et vérification</t>
  </si>
  <si>
    <r>
      <t xml:space="preserve">Durée d'engagement </t>
    </r>
    <r>
      <rPr>
        <sz val="7"/>
        <rFont val="Arial"/>
        <family val="2"/>
      </rPr>
      <t>(maximum 10 ans, volet 4 seulement)</t>
    </r>
  </si>
  <si>
    <t>NEQ</t>
  </si>
  <si>
    <t>OIQ</t>
  </si>
  <si>
    <t>OIFQ</t>
  </si>
  <si>
    <t>OAQ</t>
  </si>
  <si>
    <r>
      <t>N</t>
    </r>
    <r>
      <rPr>
        <vertAlign val="superscript"/>
        <sz val="8"/>
        <rFont val="Arial"/>
        <family val="2"/>
      </rPr>
      <t xml:space="preserve">o </t>
    </r>
  </si>
  <si>
    <t>Cellulaire</t>
  </si>
  <si>
    <t>MAPAQ</t>
  </si>
  <si>
    <t>MSSS</t>
  </si>
  <si>
    <t>MTQ</t>
  </si>
  <si>
    <t>Innovation</t>
  </si>
  <si>
    <t>Conversion</t>
  </si>
  <si>
    <t>Gestion</t>
  </si>
  <si>
    <t>Connaissances</t>
  </si>
  <si>
    <t>OPTER</t>
  </si>
  <si>
    <t xml:space="preserve">Coûts estimés Projet (A) </t>
  </si>
  <si>
    <t>Scénario de référence Coûts estimés (si applicable)</t>
  </si>
  <si>
    <t>COÛTS ESTIMÉS PROJET</t>
  </si>
  <si>
    <t>COÛTS ESTIMÉS RÉFÉRENCE</t>
  </si>
  <si>
    <t xml:space="preserve"> Personne-ressource  :</t>
  </si>
  <si>
    <t>Référence</t>
  </si>
  <si>
    <t>Projet</t>
  </si>
  <si>
    <t>Coûts additionnels</t>
  </si>
  <si>
    <t>*</t>
  </si>
  <si>
    <t>Nom site</t>
  </si>
  <si>
    <t>Production</t>
  </si>
  <si>
    <t>Quantité</t>
  </si>
  <si>
    <t>Coût</t>
  </si>
  <si>
    <t>GJ</t>
  </si>
  <si>
    <t>GES (t)</t>
  </si>
  <si>
    <t>$/GJ</t>
  </si>
  <si>
    <t>GJ/production</t>
  </si>
  <si>
    <t>Consommation de référence</t>
  </si>
  <si>
    <t>Énergie</t>
  </si>
  <si>
    <t>Aide potentielle
(si applicable)</t>
  </si>
  <si>
    <t>Coûts
internes</t>
  </si>
  <si>
    <t>Coûts
externes</t>
  </si>
  <si>
    <t>Coûts
totaux</t>
  </si>
  <si>
    <t>Volet</t>
  </si>
  <si>
    <t>Composante</t>
  </si>
  <si>
    <t>PRP</t>
  </si>
  <si>
    <t>Aucun</t>
  </si>
  <si>
    <t>Type
d'émission</t>
  </si>
  <si>
    <t>Energie_SEQ</t>
  </si>
  <si>
    <t>Energie_Forme</t>
  </si>
  <si>
    <t>Energie_Unite</t>
  </si>
  <si>
    <t>Energie_MJU</t>
  </si>
  <si>
    <t>Energie_kWhU</t>
  </si>
  <si>
    <t>Energie_BtuU</t>
  </si>
  <si>
    <t>Energie_Commentaire</t>
  </si>
  <si>
    <t>Code_Etape</t>
  </si>
  <si>
    <t>ABR</t>
  </si>
  <si>
    <t>CO2</t>
  </si>
  <si>
    <t>CH4</t>
  </si>
  <si>
    <t>N2O</t>
  </si>
  <si>
    <t>CO2equiv</t>
  </si>
  <si>
    <t>Type_NRJ</t>
  </si>
  <si>
    <t>CodeCompileMaz</t>
  </si>
  <si>
    <t>PCGIECdef</t>
  </si>
  <si>
    <t>PCGIECmin</t>
  </si>
  <si>
    <t>PCGIECmax</t>
  </si>
  <si>
    <t>FEGIECdef</t>
  </si>
  <si>
    <t>FEGIECmin</t>
  </si>
  <si>
    <t>FEGIECmax</t>
  </si>
  <si>
    <t>%CO2Prod</t>
  </si>
  <si>
    <t>CO2prod</t>
  </si>
  <si>
    <t>Électricité</t>
  </si>
  <si>
    <t/>
  </si>
  <si>
    <t>m³</t>
  </si>
  <si>
    <t>L</t>
  </si>
  <si>
    <t>Diesel</t>
  </si>
  <si>
    <t>Essence (automobile)</t>
  </si>
  <si>
    <t>Essence (aviation)</t>
  </si>
  <si>
    <t>Kérosène</t>
  </si>
  <si>
    <t>Bitume</t>
  </si>
  <si>
    <t>kg</t>
  </si>
  <si>
    <t>Lignite</t>
  </si>
  <si>
    <t>Butane</t>
  </si>
  <si>
    <t>Éthane</t>
  </si>
  <si>
    <t>Bi-énergie chauffage électrique</t>
  </si>
  <si>
    <t>Autre</t>
  </si>
  <si>
    <t>Vapeur</t>
  </si>
  <si>
    <t>Lbs</t>
  </si>
  <si>
    <t>CRD</t>
  </si>
  <si>
    <t>Mazout léger no 2</t>
  </si>
  <si>
    <t>Règlement sur la déclaration obligatoire de certaines émission de contaminants dans l'atmosphère, Loi sur la qualité de l'environnement, Q-2, a.2.2, 109.1 et 124.1
Utilisation des données pour usages industriels.</t>
  </si>
  <si>
    <t>Règlement sur la déclaration obligatoire de certaines émission de contaminants dans l'atmosphère, Loi sur la qualité de l'environnement, Q-2, a.2.2, 109.1 et 124.1</t>
  </si>
  <si>
    <t>Carburéacteur</t>
  </si>
  <si>
    <t>Solaires</t>
  </si>
  <si>
    <t>Anal_IP_Prelim</t>
  </si>
  <si>
    <t>Conv_Sol</t>
  </si>
  <si>
    <t>Implantations</t>
  </si>
  <si>
    <t>221</t>
  </si>
  <si>
    <t>222</t>
  </si>
  <si>
    <t>Étude IP préliminaire</t>
  </si>
  <si>
    <t>50.4</t>
  </si>
  <si>
    <t>ConnaissanceC</t>
  </si>
  <si>
    <t>Gaz de distillation (du raffinage)</t>
  </si>
  <si>
    <t>Enlever</t>
  </si>
  <si>
    <t>Coke de charbon</t>
  </si>
  <si>
    <t>Coke de pétrole (raffinage)</t>
  </si>
  <si>
    <t>Liqueur usée de cuisson base sèche</t>
  </si>
  <si>
    <t>Gaz de distillation (de valorisation)</t>
  </si>
  <si>
    <t>Lubrifiants (huiles usées)</t>
  </si>
  <si>
    <t>Mazout léger no 1</t>
  </si>
  <si>
    <t>Coke de pétrole (de valorisation)</t>
  </si>
  <si>
    <t>Éthanol (100%)</t>
  </si>
  <si>
    <t>Biodiésel</t>
  </si>
  <si>
    <t>Gras animal fondu</t>
  </si>
  <si>
    <t>Huile végétale</t>
  </si>
  <si>
    <t>Charbon bitumineux étranger</t>
  </si>
  <si>
    <t>Matières résiduelles collectés par une municipalité</t>
  </si>
  <si>
    <t>Règlement sur la déclaration obligatoire de certaines émission de contaminants dans l'atmosphère, Loi sur la qualité de l'environnement, Q-2, a.2.2, 109.1 et 124.1.z</t>
  </si>
  <si>
    <t>Tourbe</t>
  </si>
  <si>
    <t>Règlement sur la déclaration obligatoire de certaines émission de contaminants dans l'atmosphère, Loi sur la qualité de l'environnement, Q-2, a.2.2, 109.1 et 124.1
1 kg donne 11,57 MJ</t>
  </si>
  <si>
    <t>Pneus</t>
  </si>
  <si>
    <t>Sous-produits agricoles (qui ne sont pas destinés à la consommation)</t>
  </si>
  <si>
    <t>Section</t>
  </si>
  <si>
    <t>No_Projet_Sagir_Abrev</t>
  </si>
  <si>
    <t>Cinterne_Prevu</t>
  </si>
  <si>
    <t>Cexterne_Prevu</t>
  </si>
  <si>
    <t>Cinterne_Reel</t>
  </si>
  <si>
    <t>Cexterne_reel</t>
  </si>
  <si>
    <t>Ctotaux_Prevu</t>
  </si>
  <si>
    <t>Ctotaux_Reel</t>
  </si>
  <si>
    <t>Sous-produits de la biomasse (résidus animaux et végétaux, excluant les résidus de bois et la liqueur de cuisson)</t>
  </si>
  <si>
    <t>Gaz de cokerie</t>
  </si>
  <si>
    <t>Biogaz (portion méthane)</t>
  </si>
  <si>
    <t>Gaz d'enfouissement (portion méthane)</t>
  </si>
  <si>
    <t>PRP_SEQ</t>
  </si>
  <si>
    <t>PRP_GAZ</t>
  </si>
  <si>
    <t>PRP_FORMULE</t>
  </si>
  <si>
    <t>PRP_PRP</t>
  </si>
  <si>
    <t>Source donnees</t>
  </si>
  <si>
    <t>HFC-23</t>
  </si>
  <si>
    <t>taux participation</t>
  </si>
  <si>
    <t>litre/an</t>
  </si>
  <si>
    <t>CHF3</t>
  </si>
  <si>
    <t>HFC-32</t>
  </si>
  <si>
    <t>CH2F2</t>
  </si>
  <si>
    <t>HFC-41</t>
  </si>
  <si>
    <t>CH3F</t>
  </si>
  <si>
    <t>HFC-134</t>
  </si>
  <si>
    <t>CHF2CHF2</t>
  </si>
  <si>
    <t>HFC-143</t>
  </si>
  <si>
    <t>HFC-143a</t>
  </si>
  <si>
    <t>HFC-152a</t>
  </si>
  <si>
    <t>HFC-227ea</t>
  </si>
  <si>
    <t>HFC-236fa</t>
  </si>
  <si>
    <t>HFC-245ca</t>
  </si>
  <si>
    <t>CF4</t>
  </si>
  <si>
    <t>C2F6</t>
  </si>
  <si>
    <t>C3F8</t>
  </si>
  <si>
    <t>C4F10</t>
  </si>
  <si>
    <t>c-C4F8</t>
  </si>
  <si>
    <t>Hexafluorure de soufre</t>
  </si>
  <si>
    <t>SF6</t>
  </si>
  <si>
    <t>CFC-11</t>
  </si>
  <si>
    <t>CFC-12</t>
  </si>
  <si>
    <t>CFC-13</t>
  </si>
  <si>
    <t>CFC-113</t>
  </si>
  <si>
    <t>CFC-114</t>
  </si>
  <si>
    <t>CFC-115</t>
  </si>
  <si>
    <t>HCFC-123</t>
  </si>
  <si>
    <t>HCFC-124</t>
  </si>
  <si>
    <t>HCFC-141b</t>
  </si>
  <si>
    <t>HCFC-142b</t>
  </si>
  <si>
    <t>HCFC-225ca</t>
  </si>
  <si>
    <t>HCFC-225cb</t>
  </si>
  <si>
    <t>Halon 1301</t>
  </si>
  <si>
    <t>R-401A</t>
  </si>
  <si>
    <t>R-401B</t>
  </si>
  <si>
    <t>R-401C</t>
  </si>
  <si>
    <t>R-402A</t>
  </si>
  <si>
    <t>R-402B</t>
  </si>
  <si>
    <t>R-403A</t>
  </si>
  <si>
    <t>R-403B</t>
  </si>
  <si>
    <t>R-404A</t>
  </si>
  <si>
    <t>R-405A</t>
  </si>
  <si>
    <t>R-407B</t>
  </si>
  <si>
    <t>R-408A</t>
  </si>
  <si>
    <t>R-412A</t>
  </si>
  <si>
    <t>R-500</t>
  </si>
  <si>
    <t>R-501</t>
  </si>
  <si>
    <t>R-502</t>
  </si>
  <si>
    <t>R-503</t>
  </si>
  <si>
    <t>R-504</t>
  </si>
  <si>
    <t>R-508A</t>
  </si>
  <si>
    <t>R-508B</t>
  </si>
  <si>
    <t>Oxyfume 88/12</t>
  </si>
  <si>
    <t>Bromure de méthyle</t>
  </si>
  <si>
    <t>HFC-161</t>
  </si>
  <si>
    <t>HFC-236cb</t>
  </si>
  <si>
    <t>HFC-245fa</t>
  </si>
  <si>
    <t>HFC-365mfc</t>
  </si>
  <si>
    <t>Démonstration</t>
  </si>
  <si>
    <t>Mesurage</t>
  </si>
  <si>
    <t>Précommercialisation</t>
  </si>
  <si>
    <t>Diffusion</t>
  </si>
  <si>
    <t>Étude</t>
  </si>
  <si>
    <t>Étude IP</t>
  </si>
  <si>
    <t>Écoconduite</t>
  </si>
  <si>
    <t>Agriculture</t>
  </si>
  <si>
    <t>Efficacité</t>
  </si>
  <si>
    <t>%</t>
  </si>
  <si>
    <t>Approvisionnement</t>
  </si>
  <si>
    <t xml:space="preserve">Date du plan :    </t>
  </si>
  <si>
    <t>Requérant</t>
  </si>
  <si>
    <t>ProjStratTrans</t>
  </si>
  <si>
    <t>Montage financier</t>
  </si>
  <si>
    <t>511</t>
  </si>
  <si>
    <t>512</t>
  </si>
  <si>
    <t>513</t>
  </si>
  <si>
    <t>Formule_actuel</t>
  </si>
  <si>
    <t>Code_Refrig_Actuel</t>
  </si>
  <si>
    <t>Code_unite_Actuel</t>
  </si>
  <si>
    <t>Taux_Fuite</t>
  </si>
  <si>
    <t>Code_Refrig_Prevu</t>
  </si>
  <si>
    <t>Formule_prevu</t>
  </si>
  <si>
    <t>Code_unite_prevu</t>
  </si>
  <si>
    <t>Sommaire des coûts de projet</t>
  </si>
  <si>
    <t>Matériel</t>
  </si>
  <si>
    <t>Bureau</t>
  </si>
  <si>
    <t>Contribution</t>
  </si>
  <si>
    <t>Contributions</t>
  </si>
  <si>
    <t>Coûts</t>
  </si>
  <si>
    <t>T externe</t>
  </si>
  <si>
    <t>T interne</t>
  </si>
  <si>
    <t>Nature</t>
  </si>
  <si>
    <t>Subvention</t>
  </si>
  <si>
    <t>Description sommaire de la nouvelle technologie ou du nouveau procédé</t>
  </si>
  <si>
    <t xml:space="preserve">Domaine d'application </t>
  </si>
  <si>
    <t>Résidentiel</t>
  </si>
  <si>
    <t>Commercial</t>
  </si>
  <si>
    <t>Institutionnel</t>
  </si>
  <si>
    <t>Transport</t>
  </si>
  <si>
    <t>Industriel</t>
  </si>
  <si>
    <t>Agricole</t>
  </si>
  <si>
    <t>Autre (précisez)</t>
  </si>
  <si>
    <t>Type de nouvelle technologie ou de procédé</t>
  </si>
  <si>
    <t>Bioénergie</t>
  </si>
  <si>
    <t>Éolienne</t>
  </si>
  <si>
    <t>Géothermie</t>
  </si>
  <si>
    <t>Hydrolienne</t>
  </si>
  <si>
    <t>Hydrogène</t>
  </si>
  <si>
    <t>Marémotrice</t>
  </si>
  <si>
    <t>Solaire</t>
  </si>
  <si>
    <t>Mazout léger</t>
  </si>
  <si>
    <t>Mazout lourd</t>
  </si>
  <si>
    <t>Essence</t>
  </si>
  <si>
    <t>CO2equivNeutralite</t>
  </si>
  <si>
    <t>Annexe 13 du Rapport d'inventaire national du Canada 1990-2010 partie 3</t>
  </si>
  <si>
    <t>02</t>
  </si>
  <si>
    <t xml:space="preserve">Règlement sur la déclaration obligatoire de certaines émission de contaminants dans l'atmosphère, Loi sur la qualité de l'environnement, Q-2, a.2.2, 109.1 et 124.1
Utilisation des données pour usages industriels, ciment, secteur manufacturier et secteurs </t>
  </si>
  <si>
    <t>03</t>
  </si>
  <si>
    <t>G</t>
  </si>
  <si>
    <t>33,6</t>
  </si>
  <si>
    <t>32,55</t>
  </si>
  <si>
    <t>35,28</t>
  </si>
  <si>
    <t>56,1</t>
  </si>
  <si>
    <t>54,3</t>
  </si>
  <si>
    <t>58,3</t>
  </si>
  <si>
    <t>04</t>
  </si>
  <si>
    <t>MA2</t>
  </si>
  <si>
    <t>MA6</t>
  </si>
  <si>
    <t>07</t>
  </si>
  <si>
    <t>P</t>
  </si>
  <si>
    <t>25,542</t>
  </si>
  <si>
    <t>24,192</t>
  </si>
  <si>
    <t>28,188</t>
  </si>
  <si>
    <t>63,1</t>
  </si>
  <si>
    <t>61,6</t>
  </si>
  <si>
    <t>65,6</t>
  </si>
  <si>
    <t>06</t>
  </si>
  <si>
    <t>36,55</t>
  </si>
  <si>
    <t>35,19</t>
  </si>
  <si>
    <t>36,805</t>
  </si>
  <si>
    <t>74,1</t>
  </si>
  <si>
    <t>72,6</t>
  </si>
  <si>
    <t>74,8</t>
  </si>
  <si>
    <t>05</t>
  </si>
  <si>
    <t>31,453</t>
  </si>
  <si>
    <t>30,175</t>
  </si>
  <si>
    <t>31,808</t>
  </si>
  <si>
    <t>70</t>
  </si>
  <si>
    <t>67,5</t>
  </si>
  <si>
    <t>73</t>
  </si>
  <si>
    <t>Règlement sur la déclaration obligatoire de certaines émission de contaminants dans l'atmosphère, Loi sur la qualité de l'environnement, Q-2, a.2.2, 109.1 et 124.1.  Facteur d’émission du guid des facteurs d’émissions de l’ADEME version 5.0.</t>
  </si>
  <si>
    <t>40,2</t>
  </si>
  <si>
    <t>33,5</t>
  </si>
  <si>
    <t>41,2</t>
  </si>
  <si>
    <t>80,7</t>
  </si>
  <si>
    <t>89,9</t>
  </si>
  <si>
    <t>49,9</t>
  </si>
  <si>
    <t>47,5</t>
  </si>
  <si>
    <t>50,6</t>
  </si>
  <si>
    <t>57,6</t>
  </si>
  <si>
    <t>48,2</t>
  </si>
  <si>
    <t>69</t>
  </si>
  <si>
    <t>11,9</t>
  </si>
  <si>
    <t>5,5</t>
  </si>
  <si>
    <t>21,6</t>
  </si>
  <si>
    <t>101</t>
  </si>
  <si>
    <t>90,9</t>
  </si>
  <si>
    <t>115</t>
  </si>
  <si>
    <t>Règlement sur la déclaration obligatoire de certaines émission de contaminants dans l'atmosphère, Loi sur la qualité de l'environnement, Q-2, a.2.2, 109.1 et 124.1.
Utilisation des données CH4 et N2O pour le secteur industriel, centrales thermiques à vape</t>
  </si>
  <si>
    <t>28,2</t>
  </si>
  <si>
    <t>25,1</t>
  </si>
  <si>
    <t>30,2</t>
  </si>
  <si>
    <t>107</t>
  </si>
  <si>
    <t>95,7</t>
  </si>
  <si>
    <t>119</t>
  </si>
  <si>
    <t>32,5</t>
  </si>
  <si>
    <t>29,7</t>
  </si>
  <si>
    <t>41,9</t>
  </si>
  <si>
    <t>97,5</t>
  </si>
  <si>
    <t>82,9</t>
  </si>
  <si>
    <t>Charbon de bois</t>
  </si>
  <si>
    <t>29,5</t>
  </si>
  <si>
    <t>14,9</t>
  </si>
  <si>
    <t>58</t>
  </si>
  <si>
    <t>112</t>
  </si>
  <si>
    <t>95</t>
  </si>
  <si>
    <t>132</t>
  </si>
  <si>
    <t>85,3</t>
  </si>
  <si>
    <t>110</t>
  </si>
  <si>
    <t>15,6</t>
  </si>
  <si>
    <t>7,9</t>
  </si>
  <si>
    <t>note: rebus de construction</t>
  </si>
  <si>
    <t>42,76</t>
  </si>
  <si>
    <t>Règlement sur la déclaration obligatoire de certaines émission de contaminants dans l'atmosphère, Loi sur la qualité de l'environnement, Q-2, a.2.2, 109.1 et 124.1
Utilisation des données pour autoconsommation</t>
  </si>
  <si>
    <t>Règlement sur la déclaration obligatoire de certaines émission de contaminants dans l'atmosphère, Loi sur la qualité de l'environnement, Q-2, a.2.2, 109.1 et 124.1.
Utilisation du charbon américain.
Utilisation des données CH4 et N2O pour le secteur indus</t>
  </si>
  <si>
    <t>Inno</t>
  </si>
  <si>
    <t>Version</t>
  </si>
  <si>
    <t>ORGreq</t>
  </si>
  <si>
    <t>ORGAdr</t>
  </si>
  <si>
    <t>ORGVil</t>
  </si>
  <si>
    <t>ORGCP</t>
  </si>
  <si>
    <t>ORGStatLeg</t>
  </si>
  <si>
    <t>ORGNEQ</t>
  </si>
  <si>
    <t>ORGNbreEmplois</t>
  </si>
  <si>
    <t>SignAppel</t>
  </si>
  <si>
    <t>SignNom</t>
  </si>
  <si>
    <t>SignPrenom</t>
  </si>
  <si>
    <t>SignFonc</t>
  </si>
  <si>
    <t>SignEMail</t>
  </si>
  <si>
    <t>SignEnt</t>
  </si>
  <si>
    <t>SignNEQ</t>
  </si>
  <si>
    <t>SignAdr</t>
  </si>
  <si>
    <t>SignVil</t>
  </si>
  <si>
    <t>SignCP</t>
  </si>
  <si>
    <t>SignPhone</t>
  </si>
  <si>
    <t>SignPoste</t>
  </si>
  <si>
    <t>SignCell</t>
  </si>
  <si>
    <t>Signcc</t>
  </si>
  <si>
    <t>RepAdmAppel</t>
  </si>
  <si>
    <t>RepAdmNom</t>
  </si>
  <si>
    <t>RepAdmPrenom</t>
  </si>
  <si>
    <t>RepAdmFonc</t>
  </si>
  <si>
    <t>RepAdmEMail</t>
  </si>
  <si>
    <t>RepAdmEnt</t>
  </si>
  <si>
    <t>RepAdmAdr</t>
  </si>
  <si>
    <t>RepAdmVil</t>
  </si>
  <si>
    <t>RepAdmCP</t>
  </si>
  <si>
    <t>RepAdmNEQ</t>
  </si>
  <si>
    <t>RepAdmPhone</t>
  </si>
  <si>
    <t>RepAdmPoste</t>
  </si>
  <si>
    <t>RepAdmCell</t>
  </si>
  <si>
    <t>RepAdmcc</t>
  </si>
  <si>
    <t>RepTechAppel</t>
  </si>
  <si>
    <t>RepTechNom</t>
  </si>
  <si>
    <t>RepTechPrenom</t>
  </si>
  <si>
    <t>RepTechFonc</t>
  </si>
  <si>
    <t>RepTechEMail</t>
  </si>
  <si>
    <t>RepTechEnt</t>
  </si>
  <si>
    <t>CintProj</t>
  </si>
  <si>
    <t>CextProj</t>
  </si>
  <si>
    <t>CtotProj</t>
  </si>
  <si>
    <t>RepTechAdr</t>
  </si>
  <si>
    <t>RepTechVil</t>
  </si>
  <si>
    <t>RepTechCP</t>
  </si>
  <si>
    <t>RepTechNEQ</t>
  </si>
  <si>
    <t>RepTechPhone</t>
  </si>
  <si>
    <t>RepTechPoste</t>
  </si>
  <si>
    <t>RepTechcc</t>
  </si>
  <si>
    <t>SignSuffixe</t>
  </si>
  <si>
    <t>RepAdmSuffixe</t>
  </si>
  <si>
    <t>RepTechSuffixe</t>
  </si>
  <si>
    <t>RepTechCell</t>
  </si>
  <si>
    <t>RepTechOrdre</t>
  </si>
  <si>
    <t>RepTechNoMbre</t>
  </si>
  <si>
    <t>ConsultAppel</t>
  </si>
  <si>
    <t>ConsultNom</t>
  </si>
  <si>
    <t>ConsultPrenom</t>
  </si>
  <si>
    <t>ConsultSuffixe</t>
  </si>
  <si>
    <t>ConsultFonc</t>
  </si>
  <si>
    <t>ConsultEMail</t>
  </si>
  <si>
    <t>ConsultEnt</t>
  </si>
  <si>
    <t>ConsultAdr</t>
  </si>
  <si>
    <t>ConsultVil</t>
  </si>
  <si>
    <t>ConsultCP</t>
  </si>
  <si>
    <t>ConsultNEQ</t>
  </si>
  <si>
    <t>ConsultPhone</t>
  </si>
  <si>
    <t>ConsultPoste</t>
  </si>
  <si>
    <t>ConsultCell</t>
  </si>
  <si>
    <t>ConsultOrdre</t>
  </si>
  <si>
    <t>ConsultNoMbre</t>
  </si>
  <si>
    <t>Consultcc</t>
  </si>
  <si>
    <t>SitePrinc</t>
  </si>
  <si>
    <t>SiteAdr</t>
  </si>
  <si>
    <t>SiteVil</t>
  </si>
  <si>
    <t>SiteCP</t>
  </si>
  <si>
    <t>SiteNEQ</t>
  </si>
  <si>
    <t>SiteSCIAN</t>
  </si>
  <si>
    <t>SiteTypeENT</t>
  </si>
  <si>
    <t>SiteGJNel</t>
  </si>
  <si>
    <t>SIte36TJ</t>
  </si>
  <si>
    <t>Site36TJCode</t>
  </si>
  <si>
    <t>Réfrigérant</t>
  </si>
  <si>
    <t>lbs</t>
  </si>
  <si>
    <t>L-Données financières</t>
  </si>
  <si>
    <t>ORGRDrec</t>
  </si>
  <si>
    <t>Taux de fuites</t>
  </si>
  <si>
    <t>Residentiel</t>
  </si>
  <si>
    <t>DomaineAutre</t>
  </si>
  <si>
    <t>ProdER</t>
  </si>
  <si>
    <t>Eolienne</t>
  </si>
  <si>
    <t>Geothermie</t>
  </si>
  <si>
    <t>Hydrogene</t>
  </si>
  <si>
    <t>AutreER</t>
  </si>
  <si>
    <t>ERAutre</t>
  </si>
  <si>
    <t>EEInno</t>
  </si>
  <si>
    <t>Electricite</t>
  </si>
  <si>
    <t>MazoutLeger</t>
  </si>
  <si>
    <t>MazoutLourd</t>
  </si>
  <si>
    <t>GazNaturel</t>
  </si>
  <si>
    <t>AutreEE</t>
  </si>
  <si>
    <t>EEAutre</t>
  </si>
  <si>
    <t>DateDemande</t>
  </si>
  <si>
    <t>Maremotrice</t>
  </si>
  <si>
    <t>NbreMes</t>
  </si>
  <si>
    <t>int</t>
  </si>
  <si>
    <t>ext</t>
  </si>
  <si>
    <t>tot</t>
  </si>
  <si>
    <t>Ref</t>
  </si>
  <si>
    <t>Proj</t>
  </si>
  <si>
    <t>I</t>
  </si>
  <si>
    <t>N</t>
  </si>
  <si>
    <t>E</t>
  </si>
  <si>
    <t>Implantée</t>
  </si>
  <si>
    <t>En cours d'implantation</t>
  </si>
  <si>
    <t>D'ici deux ans</t>
  </si>
  <si>
    <t>Ne sera pas implantée</t>
  </si>
  <si>
    <t>Implanter</t>
  </si>
  <si>
    <t>Ne rien faire</t>
  </si>
  <si>
    <t>Étude supplémentaire requise</t>
  </si>
  <si>
    <t>C</t>
  </si>
  <si>
    <t>R&amp;D (reconnu)</t>
  </si>
  <si>
    <t>R&amp;D (Autre)</t>
  </si>
  <si>
    <t>Montantdem</t>
  </si>
  <si>
    <t>Privé (Commercial)</t>
  </si>
  <si>
    <t>OSBL (Institutionnel)</t>
  </si>
  <si>
    <t>OSBL (Commercial)</t>
  </si>
  <si>
    <t>OSBL (Industriel)</t>
  </si>
  <si>
    <t>Secteur</t>
  </si>
  <si>
    <t>Privé (Agriculture)</t>
  </si>
  <si>
    <t>OSBL (Agriculture)</t>
  </si>
  <si>
    <t>Code</t>
  </si>
  <si>
    <t>Partenaires</t>
  </si>
  <si>
    <t>Anal_Etu</t>
  </si>
  <si>
    <t>Anal_IP</t>
  </si>
  <si>
    <t>Anal_Approv</t>
  </si>
  <si>
    <t>Conv_Bio</t>
  </si>
  <si>
    <t>Conv_ER</t>
  </si>
  <si>
    <t>Conv_Conv</t>
  </si>
  <si>
    <t>Gestion_Agri</t>
  </si>
  <si>
    <t>Gestion_Ind</t>
  </si>
  <si>
    <t>DEV_Conduite</t>
  </si>
  <si>
    <t>DEV_Agri</t>
  </si>
  <si>
    <t>DEV_Ind</t>
  </si>
  <si>
    <t>OPTER_Arena</t>
  </si>
  <si>
    <t>OPTER_Super</t>
  </si>
  <si>
    <t>OPTER_Agro</t>
  </si>
  <si>
    <t>InnoC</t>
  </si>
  <si>
    <t>AnalyseC</t>
  </si>
  <si>
    <t>ImplantationC</t>
  </si>
  <si>
    <t>ConversionC</t>
  </si>
  <si>
    <t>GestionC</t>
  </si>
  <si>
    <t>OPTERC</t>
  </si>
  <si>
    <t>RepTechcorprinc</t>
  </si>
  <si>
    <t>Signcorprinc</t>
  </si>
  <si>
    <t>RepAdmcorprinc</t>
  </si>
  <si>
    <t>Consultcorprinc</t>
  </si>
  <si>
    <t>1</t>
  </si>
  <si>
    <t>11</t>
  </si>
  <si>
    <t>12</t>
  </si>
  <si>
    <t>13</t>
  </si>
  <si>
    <t>14</t>
  </si>
  <si>
    <t>15</t>
  </si>
  <si>
    <t>16</t>
  </si>
  <si>
    <t>2</t>
  </si>
  <si>
    <t>21</t>
  </si>
  <si>
    <t>23</t>
  </si>
  <si>
    <t>3</t>
  </si>
  <si>
    <t>31</t>
  </si>
  <si>
    <t>4</t>
  </si>
  <si>
    <t>42</t>
  </si>
  <si>
    <t>43</t>
  </si>
  <si>
    <t>5</t>
  </si>
  <si>
    <t>51</t>
  </si>
  <si>
    <t>52</t>
  </si>
  <si>
    <t>6</t>
  </si>
  <si>
    <t>61</t>
  </si>
  <si>
    <t>62</t>
  </si>
  <si>
    <t>Type_Emission</t>
  </si>
  <si>
    <t>No_Mesure</t>
  </si>
  <si>
    <t>NRJ/PRP</t>
  </si>
  <si>
    <t>UNITE</t>
  </si>
  <si>
    <t>Cons_Spec</t>
  </si>
  <si>
    <t>UNiteProd</t>
  </si>
  <si>
    <t>QteRef</t>
  </si>
  <si>
    <t>QteProj</t>
  </si>
  <si>
    <t>Coutunit</t>
  </si>
  <si>
    <t>GES</t>
  </si>
  <si>
    <t>Cint</t>
  </si>
  <si>
    <t>Cext</t>
  </si>
  <si>
    <t>Ctot</t>
  </si>
  <si>
    <t>Iaa</t>
  </si>
  <si>
    <t>S</t>
  </si>
  <si>
    <t>Aideref</t>
  </si>
  <si>
    <t>PRIsa</t>
  </si>
  <si>
    <t>PRIaa</t>
  </si>
  <si>
    <t>Vie</t>
  </si>
  <si>
    <t>Recommandation (6)</t>
  </si>
  <si>
    <t>Action (7)</t>
  </si>
  <si>
    <t>Aidedem</t>
  </si>
  <si>
    <t>Anprev</t>
  </si>
  <si>
    <t>Anreel</t>
  </si>
  <si>
    <t>Code_Volet</t>
  </si>
  <si>
    <t>Code_composante</t>
  </si>
  <si>
    <t>Type_Emisison</t>
  </si>
  <si>
    <t>Code_NRJ/PRP</t>
  </si>
  <si>
    <t>Code_Fin_Autre</t>
  </si>
  <si>
    <t>Code_recom</t>
  </si>
  <si>
    <t>Code_Action</t>
  </si>
  <si>
    <t>Code_entreprise</t>
  </si>
  <si>
    <t>Regr_Entreprise</t>
  </si>
  <si>
    <t>Type_Depense</t>
  </si>
  <si>
    <t>Pourcent</t>
  </si>
  <si>
    <t>Partenaire</t>
  </si>
  <si>
    <t>Connaissance</t>
  </si>
  <si>
    <t>Tonne min</t>
  </si>
  <si>
    <t>Aide max</t>
  </si>
  <si>
    <t>Detail</t>
  </si>
  <si>
    <t>Type_aide</t>
  </si>
  <si>
    <t>Code_Org</t>
  </si>
  <si>
    <t>Code_FrmNRJ</t>
  </si>
  <si>
    <t>Coût Énergie</t>
  </si>
  <si>
    <t>Coûts de projet</t>
  </si>
  <si>
    <t>der</t>
  </si>
  <si>
    <t>Tjatteint</t>
  </si>
  <si>
    <t>Code postal</t>
  </si>
  <si>
    <t>K-Activités</t>
  </si>
  <si>
    <t xml:space="preserve">Coûts </t>
  </si>
  <si>
    <t>50.1</t>
  </si>
  <si>
    <t>50.2</t>
  </si>
  <si>
    <t>50.3</t>
  </si>
  <si>
    <t>CodeCAt</t>
  </si>
  <si>
    <t>Activités</t>
  </si>
  <si>
    <t>Aide demandée</t>
  </si>
  <si>
    <t>Code_Req</t>
  </si>
  <si>
    <t>Code_Sign</t>
  </si>
  <si>
    <t>Code_Repadm</t>
  </si>
  <si>
    <t>Code_RepTech</t>
  </si>
  <si>
    <t>Code_Consultant</t>
  </si>
  <si>
    <t>NouveauExistant</t>
  </si>
  <si>
    <t>Aide combine max</t>
  </si>
  <si>
    <t>0,04(HFC-134a)+0,44(HFC-125)+0,52(HFC-143a)</t>
  </si>
  <si>
    <t>R-507a</t>
  </si>
  <si>
    <t>0,5(HFC-125)+0,5(HFC-143a)</t>
  </si>
  <si>
    <t>NH3</t>
  </si>
  <si>
    <t>Internation Institute of Ammonia Refrigeration  (IIAR) www.iiar.org</t>
  </si>
  <si>
    <t>R-422D</t>
  </si>
  <si>
    <t>0,651(HFC-125)+0,315(HFC-134a)+0,034*(600a)</t>
  </si>
  <si>
    <t>CH3Br</t>
  </si>
  <si>
    <t>CCl3F</t>
  </si>
  <si>
    <t>CCl2FCClF2</t>
  </si>
  <si>
    <t>CClF2CClF2</t>
  </si>
  <si>
    <t>CClF2CF3</t>
  </si>
  <si>
    <t>CCl2F2</t>
  </si>
  <si>
    <t>CClF3</t>
  </si>
  <si>
    <t>CBrF3</t>
  </si>
  <si>
    <t>CHCl2CF3</t>
  </si>
  <si>
    <t>CHClFCF3</t>
  </si>
  <si>
    <t>CH3CCl2F</t>
  </si>
  <si>
    <t>CH3CClF2</t>
  </si>
  <si>
    <t>CHCl2CF2CF3</t>
  </si>
  <si>
    <t>CHClFCF2CClF2</t>
  </si>
  <si>
    <t>HFC-125</t>
  </si>
  <si>
    <t>Méthane (R-50)</t>
  </si>
  <si>
    <t>CH3CCl3</t>
  </si>
  <si>
    <t>Oxyde nitreux (R-744a)</t>
  </si>
  <si>
    <t>0,914(HCFC-124)+0,086(ethylene oxyde)</t>
  </si>
  <si>
    <t>Sterilant product. U.S. Clean Air Act regulations will ban the sale and use of most HCFC-based products like Oxyfume in the United States as of Dec. 31, 2014. This registered mark will not be manufactured after december 31, 2013,</t>
  </si>
  <si>
    <t>Perfluorocyclobutane (PFC-318)</t>
  </si>
  <si>
    <t>Perfluoroéthane (PFC-116)</t>
  </si>
  <si>
    <t>Perfluorométhane (PFC-14)</t>
  </si>
  <si>
    <t>Privé (Industriel optimisation réfrigération)</t>
  </si>
  <si>
    <t>Perfluoropropane (PFC-218)</t>
  </si>
  <si>
    <t>R-400</t>
  </si>
  <si>
    <t>0,5(CFC-12)+0,5(CFC-114)</t>
  </si>
  <si>
    <t>0,53(HCFC-22)+0,34(HCFC-124)+0,13(HFC-152a)</t>
  </si>
  <si>
    <t>0,61(HCFC-22)+0,28(HCFC-124)+0,11(HFC-152a)</t>
  </si>
  <si>
    <t>0,33(HCFC-22)+0,15(HFC-152a)+0,52(HCFC-124)</t>
  </si>
  <si>
    <t>0,6(HFC-125)+0,38(HCFC-22)+0,02(C3H8)</t>
  </si>
  <si>
    <t>0,38(HFC-125)+0,60(HCFC-22)+0,02(C3H8)</t>
  </si>
  <si>
    <t>0,05(C3H8)+0,56(HCFC-22)+0,39(C3F8)</t>
  </si>
  <si>
    <t>0,1(HFC-32)+0,7(HFC-125)+0,2(HFC-134a)</t>
  </si>
  <si>
    <t>0,47(HCFC-22)+0,46(HFC-143a)+0,07(HFC-125)</t>
  </si>
  <si>
    <t>Caractéristique des systèmes de réfrigération</t>
  </si>
  <si>
    <t>Description sommaire des activités du site</t>
  </si>
  <si>
    <t>0,7(HCFC-22)+0,05(PFC-218)+0,25(HCFC-142b)</t>
  </si>
  <si>
    <t>Émissions Fugitives</t>
  </si>
  <si>
    <t>Autres procédés</t>
  </si>
  <si>
    <t>Forintek avec valeur de la biomasse pour les émissions</t>
  </si>
  <si>
    <t>Écorces</t>
  </si>
  <si>
    <t>Biomasse résiduelle</t>
  </si>
  <si>
    <t>Fugitive</t>
  </si>
  <si>
    <t>m²</t>
  </si>
  <si>
    <t>pi²</t>
  </si>
  <si>
    <t>GJ/an</t>
  </si>
  <si>
    <t>GES (t/an)</t>
  </si>
  <si>
    <t>Teneur
Humidité
%</t>
  </si>
  <si>
    <t>TH</t>
  </si>
  <si>
    <t>AidedemR</t>
  </si>
  <si>
    <t>Oui</t>
  </si>
  <si>
    <t>Non</t>
  </si>
  <si>
    <t>Gestion d'énergie</t>
  </si>
  <si>
    <t>Traditionnelles</t>
  </si>
  <si>
    <t>Énergies émergentes</t>
  </si>
  <si>
    <t>Technologies du Développement Durables Canada</t>
  </si>
  <si>
    <t>Banque de développement du Canada</t>
  </si>
  <si>
    <t>Centre de développement économique</t>
  </si>
  <si>
    <t>Accompagnement, audits, certification</t>
  </si>
  <si>
    <t xml:space="preserve">Date du rapport : </t>
  </si>
  <si>
    <t>Unité prod.</t>
  </si>
  <si>
    <t>Sous-total</t>
  </si>
  <si>
    <t>Emprunt</t>
  </si>
  <si>
    <t>Biocharbon</t>
  </si>
  <si>
    <t>Recom</t>
  </si>
  <si>
    <t>RecomC</t>
  </si>
  <si>
    <t>R-290</t>
  </si>
  <si>
    <t>Énergir</t>
  </si>
  <si>
    <t>Fédéral</t>
  </si>
  <si>
    <t>MEI</t>
  </si>
  <si>
    <t>Ministére de la Santé et des Services Sociaux</t>
  </si>
  <si>
    <t>Ministère de l'Agriculture, des Pêcheries et de l'Alimentation du Québec</t>
  </si>
  <si>
    <t>HQ</t>
  </si>
  <si>
    <t>Ministère des Transports du Québec</t>
  </si>
  <si>
    <t>Ministère de l'Économie et de l'Innovation</t>
  </si>
  <si>
    <t>Ministère de l'Éducation</t>
  </si>
  <si>
    <t>ME</t>
  </si>
  <si>
    <t>Développement</t>
  </si>
  <si>
    <t>IQ</t>
  </si>
  <si>
    <t>Eff_énergétique</t>
  </si>
  <si>
    <t>Résultats du projet</t>
  </si>
  <si>
    <t>Consommation annuelle d'énergie de référence du site</t>
  </si>
  <si>
    <t>A-Volet</t>
  </si>
  <si>
    <t>Nom du site</t>
  </si>
  <si>
    <r>
      <t xml:space="preserve">aaaa-mm-jj </t>
    </r>
    <r>
      <rPr>
        <sz val="8"/>
        <rFont val="Wingdings 3"/>
        <family val="1"/>
        <charset val="2"/>
      </rPr>
      <t>Ú</t>
    </r>
  </si>
  <si>
    <t xml:space="preserve">    (aaaa-mm-jj)</t>
  </si>
  <si>
    <t xml:space="preserve">     (aaaa-mm-jj)</t>
  </si>
  <si>
    <r>
      <rPr>
        <b/>
        <sz val="10"/>
        <rFont val="Arial"/>
        <family val="2"/>
      </rPr>
      <t xml:space="preserve">Note : </t>
    </r>
    <r>
      <rPr>
        <sz val="10"/>
        <rFont val="Arial"/>
        <family val="2"/>
      </rPr>
      <t>Veuillez vous assurer que cette section est correctement remplie puisqu'elle sert à déterminer la consommation du site ainsi que l'aide financière.</t>
    </r>
  </si>
  <si>
    <t>MELCCFP</t>
  </si>
  <si>
    <t>Ministère de l’Environnement, de la Lutte contre les changements climatiques, de la Faune et des Parcs</t>
  </si>
  <si>
    <t>Date (aaaa-mm-jj)</t>
  </si>
  <si>
    <t>Documents obligatoires à fournir</t>
  </si>
  <si>
    <t>Documents facultatifs à fournir</t>
  </si>
  <si>
    <r>
      <t xml:space="preserve">   </t>
    </r>
    <r>
      <rPr>
        <b/>
        <sz val="8"/>
        <color indexed="9"/>
        <rFont val="Arial"/>
        <family val="2"/>
      </rPr>
      <t>Tout autre document pertinent</t>
    </r>
    <r>
      <rPr>
        <i/>
        <sz val="8"/>
        <color indexed="9"/>
        <rFont val="Arial"/>
        <family val="2"/>
      </rPr>
      <t xml:space="preserve"> (précisez)</t>
    </r>
  </si>
  <si>
    <t>Précisez si nécessaire</t>
  </si>
  <si>
    <t>Mesure n°</t>
  </si>
  <si>
    <t>PRI</t>
  </si>
  <si>
    <t>Engagement 
(maximum 10 ans)</t>
  </si>
  <si>
    <t>Recommandation</t>
  </si>
  <si>
    <t>Action</t>
  </si>
  <si>
    <t>Aide financière demandée au MELCCFP</t>
  </si>
  <si>
    <t>Quantité/unité    de production           (si applicable)</t>
  </si>
  <si>
    <t>Écart par rapport
à l'objectif (+/-)</t>
  </si>
  <si>
    <t>Source
de l'aide</t>
  </si>
  <si>
    <t>N° de soumission
ou heures main-
d’œuvre interne</t>
  </si>
  <si>
    <r>
      <t>N</t>
    </r>
    <r>
      <rPr>
        <sz val="8"/>
        <rFont val="Arial"/>
        <family val="2"/>
      </rPr>
      <t xml:space="preserve">° </t>
    </r>
    <r>
      <rPr>
        <sz val="8"/>
        <rFont val="Arial"/>
        <family val="2"/>
      </rPr>
      <t xml:space="preserve">de l'entente : </t>
    </r>
  </si>
  <si>
    <r>
      <t xml:space="preserve">Montant d'aide financière MAXIMALE demandé
</t>
    </r>
    <r>
      <rPr>
        <sz val="7"/>
        <rFont val="Arial"/>
        <family val="2"/>
      </rPr>
      <t>Si aucun montant n'est inscrit, l'aide financière maximale sera accordée.</t>
    </r>
  </si>
  <si>
    <t>Coûts du scénario de référence</t>
  </si>
  <si>
    <t>Coûts du scénario de projet</t>
  </si>
  <si>
    <t>GJ/Production</t>
  </si>
  <si>
    <t xml:space="preserve">                         </t>
  </si>
  <si>
    <t>Nom de l'entreprise</t>
  </si>
  <si>
    <t>fuites_Actuel</t>
  </si>
  <si>
    <t>fuites_prevu</t>
  </si>
  <si>
    <t>Émissions_fugitives</t>
  </si>
  <si>
    <r>
      <rPr>
        <b/>
        <sz val="10"/>
        <rFont val="Arial"/>
        <family val="2"/>
      </rPr>
      <t xml:space="preserve">Note : </t>
    </r>
    <r>
      <rPr>
        <sz val="10"/>
        <rFont val="Arial"/>
        <family val="2"/>
      </rPr>
      <t>Cette section est seulement à titre indicatif. Les données seront recalculées après l'analyse du dossier.</t>
    </r>
  </si>
  <si>
    <t>Capacité (t)</t>
  </si>
  <si>
    <t>B-Signataire autorisé</t>
  </si>
  <si>
    <t>C-Rep. administratif</t>
  </si>
  <si>
    <t>D-Rep. technique</t>
  </si>
  <si>
    <t>B. Ingénierie ou services professionnels</t>
  </si>
  <si>
    <t>C. Installation et mise en fonction</t>
  </si>
  <si>
    <t>D. Contingences</t>
  </si>
  <si>
    <t>Forme d'énergie</t>
  </si>
  <si>
    <t>Note : il faudra peut-etre modifié le contenu des colonnes masquées C, D et E.</t>
  </si>
  <si>
    <t>FO_BIENER_V1</t>
  </si>
  <si>
    <t>Description_Petit_Segment</t>
  </si>
  <si>
    <t>Description_Grand_Segment</t>
  </si>
  <si>
    <t>CAE</t>
  </si>
  <si>
    <t>0100</t>
  </si>
  <si>
    <t>SCIAN</t>
  </si>
  <si>
    <t>Cultures agricoles</t>
  </si>
  <si>
    <t>Agriculture et forêt</t>
  </si>
  <si>
    <t>0110</t>
  </si>
  <si>
    <t xml:space="preserve">Élevage du bétail et de la volaille </t>
  </si>
  <si>
    <t>Autres types d'élevage</t>
  </si>
  <si>
    <t>0111</t>
  </si>
  <si>
    <t>Élevage de vaches laitières</t>
  </si>
  <si>
    <t>112120</t>
  </si>
  <si>
    <t>Élevage de bovins laitiers et production laitière</t>
  </si>
  <si>
    <t>0112</t>
  </si>
  <si>
    <t>Élevage de bovins de boucherie</t>
  </si>
  <si>
    <t>112110</t>
  </si>
  <si>
    <t>Élevage de bovins de boucherie, y compris l'exploitation de parcs d'engraissement</t>
  </si>
  <si>
    <t>0113</t>
  </si>
  <si>
    <t>Élevage de porcs</t>
  </si>
  <si>
    <t>112210</t>
  </si>
  <si>
    <t>0114</t>
  </si>
  <si>
    <t>Élevage de la volaille</t>
  </si>
  <si>
    <t>112391</t>
  </si>
  <si>
    <t>Élevage de volailles combiné à la production d'oeufs</t>
  </si>
  <si>
    <t>0115</t>
  </si>
  <si>
    <t>Élevage de moutons et de chèvres</t>
  </si>
  <si>
    <t>112410</t>
  </si>
  <si>
    <t>Élevage de moutons</t>
  </si>
  <si>
    <t>0119</t>
  </si>
  <si>
    <t>Élevage mixte du bétail et de la volaille</t>
  </si>
  <si>
    <t>112991</t>
  </si>
  <si>
    <t>Élevage mixte d'animaux</t>
  </si>
  <si>
    <t>0120</t>
  </si>
  <si>
    <t xml:space="preserve">Autres élevages </t>
  </si>
  <si>
    <t>0121</t>
  </si>
  <si>
    <t>Apiculture</t>
  </si>
  <si>
    <t>112910</t>
  </si>
  <si>
    <t>0122</t>
  </si>
  <si>
    <t>Élevage d'animaux à fourrure</t>
  </si>
  <si>
    <t>112930</t>
  </si>
  <si>
    <t>Élevage d'animaux à fourrure et de lapins</t>
  </si>
  <si>
    <t>0129</t>
  </si>
  <si>
    <t>Autres élevages</t>
  </si>
  <si>
    <t>112999</t>
  </si>
  <si>
    <t>Tous les autres types d'élevage divers</t>
  </si>
  <si>
    <t>0130</t>
  </si>
  <si>
    <t xml:space="preserve">Grandes cultures </t>
  </si>
  <si>
    <t>Autres cultures agricoles</t>
  </si>
  <si>
    <t>0131</t>
  </si>
  <si>
    <t>Culture des céréales</t>
  </si>
  <si>
    <t>111190</t>
  </si>
  <si>
    <t>Autres cultures céréalières</t>
  </si>
  <si>
    <t>0134</t>
  </si>
  <si>
    <t>Culture du maïs (sauf le maïs fourrager et le maïs sucré)</t>
  </si>
  <si>
    <t>111150</t>
  </si>
  <si>
    <t>Culture du maïs</t>
  </si>
  <si>
    <t>0135</t>
  </si>
  <si>
    <t>Culture de plantes fourragères</t>
  </si>
  <si>
    <t>0137</t>
  </si>
  <si>
    <t>Culture du tabac</t>
  </si>
  <si>
    <t>111910</t>
  </si>
  <si>
    <t>0138</t>
  </si>
  <si>
    <t>Culture de la pomme de terre</t>
  </si>
  <si>
    <t>111211</t>
  </si>
  <si>
    <t>Culture de pommes de terre</t>
  </si>
  <si>
    <t>0139</t>
  </si>
  <si>
    <t>Autres grandes cultures</t>
  </si>
  <si>
    <t>111999</t>
  </si>
  <si>
    <t>Toutes les autres cultures agricoles diverses</t>
  </si>
  <si>
    <t>0150</t>
  </si>
  <si>
    <t xml:space="preserve">Culture des fruits et des légumes </t>
  </si>
  <si>
    <t>0151</t>
  </si>
  <si>
    <t>Culture des fruits</t>
  </si>
  <si>
    <t>Culture de fruits et de noix</t>
  </si>
  <si>
    <t>0152</t>
  </si>
  <si>
    <t>Culture des légumes</t>
  </si>
  <si>
    <t>111219</t>
  </si>
  <si>
    <t>Autres cultures de légumes et de melons (sauf de pommes de terre)</t>
  </si>
  <si>
    <t>0159</t>
  </si>
  <si>
    <t>Culture mixte des fruits et des légumes</t>
  </si>
  <si>
    <t>111993</t>
  </si>
  <si>
    <t>Culture mixte de fruits et de légumes</t>
  </si>
  <si>
    <t>0160</t>
  </si>
  <si>
    <t xml:space="preserve">Horticulture (sauf la culture des fruits et des légumes) </t>
  </si>
  <si>
    <t>0161</t>
  </si>
  <si>
    <t>Culture des champignons</t>
  </si>
  <si>
    <t>111411</t>
  </si>
  <si>
    <t>Culture de champignons</t>
  </si>
  <si>
    <t>0162</t>
  </si>
  <si>
    <t>Culture en serre</t>
  </si>
  <si>
    <t>111419</t>
  </si>
  <si>
    <t>Autres cultures vivrières en serre</t>
  </si>
  <si>
    <t>0163</t>
  </si>
  <si>
    <t>Exploitation d'une pépinière ou d'une gazonnière</t>
  </si>
  <si>
    <t>111421</t>
  </si>
  <si>
    <t>Culture en pépinière et arboriculture</t>
  </si>
  <si>
    <t>0164</t>
  </si>
  <si>
    <t>Érablière</t>
  </si>
  <si>
    <t>0169</t>
  </si>
  <si>
    <t>Autres spécialités horticoles</t>
  </si>
  <si>
    <t>0170</t>
  </si>
  <si>
    <t xml:space="preserve">Élevages, grandes cultures et productions horticoles </t>
  </si>
  <si>
    <t>0171</t>
  </si>
  <si>
    <t>Élevages, grandes cultures et productions horticoles</t>
  </si>
  <si>
    <t>0200</t>
  </si>
  <si>
    <t>Services relatifs à l'agriculture</t>
  </si>
  <si>
    <t>115110</t>
  </si>
  <si>
    <t>Activités de soutien aux cultures agricoles</t>
  </si>
  <si>
    <t>0210</t>
  </si>
  <si>
    <t xml:space="preserve">Services relatifs à l'élevage </t>
  </si>
  <si>
    <t>115210</t>
  </si>
  <si>
    <t>Activités de soutien à l'élevage</t>
  </si>
  <si>
    <t>0211</t>
  </si>
  <si>
    <t>Services vétérinaires</t>
  </si>
  <si>
    <t>541940</t>
  </si>
  <si>
    <t>Services professionnels</t>
  </si>
  <si>
    <t>0212</t>
  </si>
  <si>
    <t>Services de reproduction des animaux de ferme (sauf la volaille)</t>
  </si>
  <si>
    <t>0213</t>
  </si>
  <si>
    <t>Services relatifs à l'élevage de la volaille</t>
  </si>
  <si>
    <t>0219</t>
  </si>
  <si>
    <t>Autres services relatifs à l'élevage (sauf à l'élevage de la volaille)</t>
  </si>
  <si>
    <t>0220</t>
  </si>
  <si>
    <t xml:space="preserve">Services relatifs aux cultures </t>
  </si>
  <si>
    <t>0221</t>
  </si>
  <si>
    <t>Services de préparation, d'ensemencement et de travail des sols</t>
  </si>
  <si>
    <t>0222</t>
  </si>
  <si>
    <t>Services de poudrage et de pulvérisation des cultures (sauf par aéronef)</t>
  </si>
  <si>
    <t>0223</t>
  </si>
  <si>
    <t>Services de moissonnage, de pressage et de battage</t>
  </si>
  <si>
    <t>0229</t>
  </si>
  <si>
    <t>Autres services relatifs aux cultures</t>
  </si>
  <si>
    <t>0230</t>
  </si>
  <si>
    <t xml:space="preserve">Autres services relatifs à l'agriculture </t>
  </si>
  <si>
    <t>0231</t>
  </si>
  <si>
    <t>Services de gestion agricole et d'experts-conseils</t>
  </si>
  <si>
    <t>0232</t>
  </si>
  <si>
    <t>Services de recherche en agriculture</t>
  </si>
  <si>
    <t>541710</t>
  </si>
  <si>
    <t>Recherche et développement en sciences physiques, en génie et en sciences de la vie</t>
  </si>
  <si>
    <t>0300</t>
  </si>
  <si>
    <t>Pêche et piégeage</t>
  </si>
  <si>
    <t>Pêche, chasse et piégeage</t>
  </si>
  <si>
    <t>Chasse et pêche</t>
  </si>
  <si>
    <t>0310</t>
  </si>
  <si>
    <t xml:space="preserve">Pêche </t>
  </si>
  <si>
    <t>Pêche</t>
  </si>
  <si>
    <t>0311</t>
  </si>
  <si>
    <t>Pêche en eau salée</t>
  </si>
  <si>
    <t>114113</t>
  </si>
  <si>
    <t>0312</t>
  </si>
  <si>
    <t>Pêche en eau douce</t>
  </si>
  <si>
    <t>114114</t>
  </si>
  <si>
    <t>0313</t>
  </si>
  <si>
    <t>Pisciculture, conchyliculture et élevage de grenouilles</t>
  </si>
  <si>
    <t>112510</t>
  </si>
  <si>
    <t>Aquaculture</t>
  </si>
  <si>
    <t>0320</t>
  </si>
  <si>
    <t xml:space="preserve">Services relatifs à la pêche </t>
  </si>
  <si>
    <t>0321</t>
  </si>
  <si>
    <t>Services relatifs à la pêche</t>
  </si>
  <si>
    <t>0330</t>
  </si>
  <si>
    <t xml:space="preserve">Piégeage </t>
  </si>
  <si>
    <t>114210</t>
  </si>
  <si>
    <t>Chasse et piégeage</t>
  </si>
  <si>
    <t>0331</t>
  </si>
  <si>
    <t>Fourrures et peaux d'animaux sauvages</t>
  </si>
  <si>
    <t>0339</t>
  </si>
  <si>
    <t>Autres activités de piégeage</t>
  </si>
  <si>
    <t>0400</t>
  </si>
  <si>
    <t>Exploitation forestière</t>
  </si>
  <si>
    <t>Foresterie et exploitation forestière</t>
  </si>
  <si>
    <t>0410</t>
  </si>
  <si>
    <t xml:space="preserve">Exploitation forestière </t>
  </si>
  <si>
    <t>0411</t>
  </si>
  <si>
    <t>Exploitation forestière (sauf à contrat)</t>
  </si>
  <si>
    <t>113311</t>
  </si>
  <si>
    <t>Exploitation forestière (sauf à forfait)</t>
  </si>
  <si>
    <t>0412</t>
  </si>
  <si>
    <t>Exploitation forestière à contrat</t>
  </si>
  <si>
    <t>113312</t>
  </si>
  <si>
    <t>Exploitation forestière à forfait</t>
  </si>
  <si>
    <t>0500</t>
  </si>
  <si>
    <t>Services forestiers</t>
  </si>
  <si>
    <t>0510</t>
  </si>
  <si>
    <t xml:space="preserve">Services forestiers </t>
  </si>
  <si>
    <t>113110</t>
  </si>
  <si>
    <t>Exploitation de terres à bois</t>
  </si>
  <si>
    <t>0511</t>
  </si>
  <si>
    <t>0600</t>
  </si>
  <si>
    <t xml:space="preserve">Mines </t>
  </si>
  <si>
    <t>Extraction minière et exploitation en carrière (sauf l'extraction de pétrole et de gaz)</t>
  </si>
  <si>
    <t>Mines</t>
  </si>
  <si>
    <t>0610</t>
  </si>
  <si>
    <t xml:space="preserve">Mines de métaux </t>
  </si>
  <si>
    <t>Extraction de minerais métalliques</t>
  </si>
  <si>
    <t>0611</t>
  </si>
  <si>
    <t>Mines d'or</t>
  </si>
  <si>
    <t>212220</t>
  </si>
  <si>
    <t>Extraction de minerais d'or et d'argent</t>
  </si>
  <si>
    <t>0612</t>
  </si>
  <si>
    <t>Mines de cuivre</t>
  </si>
  <si>
    <t>212233</t>
  </si>
  <si>
    <t>Extraction de minerais de cuivre-zinc</t>
  </si>
  <si>
    <t>0614</t>
  </si>
  <si>
    <t>Mines de zinc</t>
  </si>
  <si>
    <t>212231</t>
  </si>
  <si>
    <t>Extraction de minerais de plomb-zinc</t>
  </si>
  <si>
    <t>0617</t>
  </si>
  <si>
    <t>Mines de fer</t>
  </si>
  <si>
    <t>212210</t>
  </si>
  <si>
    <t>Extraction de minerais de fer</t>
  </si>
  <si>
    <t>0619</t>
  </si>
  <si>
    <t>Autres mines de métaux</t>
  </si>
  <si>
    <t>212299</t>
  </si>
  <si>
    <t>Extraction de tous les autres minerais métalliques</t>
  </si>
  <si>
    <t>0620</t>
  </si>
  <si>
    <t xml:space="preserve">Mines de minerais non métalliques (sauf le charbon) </t>
  </si>
  <si>
    <t>Extraction de minerais non métalliques</t>
  </si>
  <si>
    <t>0621</t>
  </si>
  <si>
    <t>Mines d'amiante</t>
  </si>
  <si>
    <t>212394</t>
  </si>
  <si>
    <t>Extraction d'amiante</t>
  </si>
  <si>
    <t>0622</t>
  </si>
  <si>
    <t>Tourbières</t>
  </si>
  <si>
    <t>212397</t>
  </si>
  <si>
    <t>Extraction de tourbe</t>
  </si>
  <si>
    <t>0623</t>
  </si>
  <si>
    <t>Mines de feldspath et quartz</t>
  </si>
  <si>
    <t>212398</t>
  </si>
  <si>
    <t>Extraction de tous les autres minerais non métalliques</t>
  </si>
  <si>
    <t>0625</t>
  </si>
  <si>
    <t>Mines de sel</t>
  </si>
  <si>
    <t>212393</t>
  </si>
  <si>
    <t>Extraction de sel</t>
  </si>
  <si>
    <t>0627</t>
  </si>
  <si>
    <t>Mines de talc</t>
  </si>
  <si>
    <t>0629</t>
  </si>
  <si>
    <t>Autres mines de minerais non métalliques (sauf le charbon)</t>
  </si>
  <si>
    <t>0700</t>
  </si>
  <si>
    <t>Extraction du pétrole et du gaz naturel</t>
  </si>
  <si>
    <t>Extraction de pétrole et de gaz</t>
  </si>
  <si>
    <t>0710</t>
  </si>
  <si>
    <t xml:space="preserve">Extraction du pétrole et du gaz naturel </t>
  </si>
  <si>
    <t>0711</t>
  </si>
  <si>
    <t>Extraction de pétrole et de gaz (à l'exeption des sables bitumineux)</t>
  </si>
  <si>
    <t>0800</t>
  </si>
  <si>
    <t>Carrières et gravières</t>
  </si>
  <si>
    <t>0810</t>
  </si>
  <si>
    <t xml:space="preserve">Carrières </t>
  </si>
  <si>
    <t>0811</t>
  </si>
  <si>
    <t>Carrières de granite</t>
  </si>
  <si>
    <t>212314</t>
  </si>
  <si>
    <t>Extraction de granite</t>
  </si>
  <si>
    <t>0812</t>
  </si>
  <si>
    <t>Carrières de calcaire</t>
  </si>
  <si>
    <t>212315</t>
  </si>
  <si>
    <t>Extraction de calcaire</t>
  </si>
  <si>
    <t>0813</t>
  </si>
  <si>
    <t>Carrières de marbre</t>
  </si>
  <si>
    <t>212316</t>
  </si>
  <si>
    <t>Extraction de marbre</t>
  </si>
  <si>
    <t>0814</t>
  </si>
  <si>
    <t>Carrières de grès</t>
  </si>
  <si>
    <t>212317</t>
  </si>
  <si>
    <t>Extraction de grès</t>
  </si>
  <si>
    <t>0815</t>
  </si>
  <si>
    <t>Carrières de schiste</t>
  </si>
  <si>
    <t>212326</t>
  </si>
  <si>
    <t>Extraction de schiste, d'argile et de minerais réfractaires</t>
  </si>
  <si>
    <t>0820</t>
  </si>
  <si>
    <t xml:space="preserve">Sablières et gravières </t>
  </si>
  <si>
    <t>0821</t>
  </si>
  <si>
    <t>Sablières et gravières</t>
  </si>
  <si>
    <t>212323</t>
  </si>
  <si>
    <t>Extraction de sable et de gravier</t>
  </si>
  <si>
    <t>0900</t>
  </si>
  <si>
    <t>Services miniers</t>
  </si>
  <si>
    <t>Activités de soutien à l'extraction minière, pétrolière et gazière</t>
  </si>
  <si>
    <t>0910</t>
  </si>
  <si>
    <t xml:space="preserve">Services relatifs à l'extraction du pétrole et du gaz naturel </t>
  </si>
  <si>
    <t>0911</t>
  </si>
  <si>
    <t>Forage à forfait de puits de pétrole et de gaz naturel</t>
  </si>
  <si>
    <t>213111</t>
  </si>
  <si>
    <t>Forage à forfait de puits de pétrole et de gaz</t>
  </si>
  <si>
    <t>0919</t>
  </si>
  <si>
    <t>Autres services relatifs à l'extraction du pétrole et du gaz naturel</t>
  </si>
  <si>
    <t>213118</t>
  </si>
  <si>
    <t>Services relatifs à l'extraction de pétrole et de gaz</t>
  </si>
  <si>
    <t>0920</t>
  </si>
  <si>
    <t xml:space="preserve">Services relatifs à l'extraction minière </t>
  </si>
  <si>
    <t>0921</t>
  </si>
  <si>
    <t>Forage à forfait (sauf pétrole et gaz)</t>
  </si>
  <si>
    <t>213117</t>
  </si>
  <si>
    <t>Forage à forfait (sauf de puits de pétrole et de gaz)</t>
  </si>
  <si>
    <t>0929</t>
  </si>
  <si>
    <t>Autres services relatifs à l'extraction minière</t>
  </si>
  <si>
    <t>213119</t>
  </si>
  <si>
    <t>Autres activités de soutien à l'extraction minière</t>
  </si>
  <si>
    <t>1000</t>
  </si>
  <si>
    <t>Industries des aliments</t>
  </si>
  <si>
    <t>Fabrication d'aliments</t>
  </si>
  <si>
    <t>Aliments et boissons</t>
  </si>
  <si>
    <t>1010</t>
  </si>
  <si>
    <t xml:space="preserve">Industries de l'abattage et du conditionnement de la viande </t>
  </si>
  <si>
    <t>Fabrication de produits de viande</t>
  </si>
  <si>
    <t>1011</t>
  </si>
  <si>
    <t>Industrie de l'abattage et du conditionnement de la viande (sauf la volaille)</t>
  </si>
  <si>
    <t>311611</t>
  </si>
  <si>
    <t>Abattage d'animaux (sauf les volailles)</t>
  </si>
  <si>
    <t>1012</t>
  </si>
  <si>
    <t>Industrie de l'abattage et du conditionnement de la volaille</t>
  </si>
  <si>
    <t>311615</t>
  </si>
  <si>
    <t>Transformation de la volaille</t>
  </si>
  <si>
    <t>1019</t>
  </si>
  <si>
    <t>Industrie des boyaux à saucisses naturels</t>
  </si>
  <si>
    <t>1020</t>
  </si>
  <si>
    <t xml:space="preserve">Industrie de la transformation du poisson </t>
  </si>
  <si>
    <t>311710</t>
  </si>
  <si>
    <t>Préparation et conditionnement de poissons et de fruits de mer</t>
  </si>
  <si>
    <t>1021</t>
  </si>
  <si>
    <t>Industrie de la transformation du poisson</t>
  </si>
  <si>
    <t>1030</t>
  </si>
  <si>
    <t xml:space="preserve">Industries de la préparation des fruits et légumes </t>
  </si>
  <si>
    <t>Mise en conserve de fruits et de légumes et fabrication de spécialités alimentaires</t>
  </si>
  <si>
    <t>1031</t>
  </si>
  <si>
    <t>Conserveries de fruits et légumes</t>
  </si>
  <si>
    <t>311420</t>
  </si>
  <si>
    <t>Mise en conserve, marinage et séchage de fruits et de légumes</t>
  </si>
  <si>
    <t>1032</t>
  </si>
  <si>
    <t>Industrie des fruits et légumes congelés</t>
  </si>
  <si>
    <t>311410</t>
  </si>
  <si>
    <t>Fabrication d'aliments congelés</t>
  </si>
  <si>
    <t>1039</t>
  </si>
  <si>
    <t>Industrie des produits alimentaires à base de fruits et légumes</t>
  </si>
  <si>
    <t>1040</t>
  </si>
  <si>
    <t xml:space="preserve">Industries des produits laitiers </t>
  </si>
  <si>
    <t>Fabrication de produits laitiers</t>
  </si>
  <si>
    <t>1041</t>
  </si>
  <si>
    <t>Industrie du lait de consommation</t>
  </si>
  <si>
    <t>311511</t>
  </si>
  <si>
    <t>Fabrication de lait de consommation</t>
  </si>
  <si>
    <t>1049</t>
  </si>
  <si>
    <t>Autres industries de produits laitiers</t>
  </si>
  <si>
    <t>311515</t>
  </si>
  <si>
    <t>Fabrication de beurre, de fromage et de produits laitiers secs et concentrés</t>
  </si>
  <si>
    <t>1050</t>
  </si>
  <si>
    <t xml:space="preserve">Industries de la farine et des céréales de table préparées </t>
  </si>
  <si>
    <t>Mouture de grains céréaliers et de graines oléagineuses</t>
  </si>
  <si>
    <t>1051</t>
  </si>
  <si>
    <t>Meuneries</t>
  </si>
  <si>
    <t>311211</t>
  </si>
  <si>
    <t>Minoterie</t>
  </si>
  <si>
    <t>1052</t>
  </si>
  <si>
    <t>Industrie des mélanges à base de farine et des céréales de table préparées</t>
  </si>
  <si>
    <t>311824</t>
  </si>
  <si>
    <t>Fabrication de pâtes alimentaires sèches, de pâte et de mélanges de farine à partir farine achetée</t>
  </si>
  <si>
    <t>1060</t>
  </si>
  <si>
    <t xml:space="preserve">Industrie des aliments pour animaux </t>
  </si>
  <si>
    <t>Amidonnerie et fabrication de graisses et d'huiles végétales</t>
  </si>
  <si>
    <t>1061</t>
  </si>
  <si>
    <t>Industrie des aliments pour animaux</t>
  </si>
  <si>
    <t>311119</t>
  </si>
  <si>
    <t>Fabrication d'aliments pour autres animaux</t>
  </si>
  <si>
    <t>1070</t>
  </si>
  <si>
    <t xml:space="preserve">Industries des produits de boulangerie et de pâtisserie </t>
  </si>
  <si>
    <t>Boulangeries et fabrication de tortillas</t>
  </si>
  <si>
    <t>1071</t>
  </si>
  <si>
    <t>Industrie des biscuits</t>
  </si>
  <si>
    <t>311821</t>
  </si>
  <si>
    <t>Fabrication de biscuits et de craquelins</t>
  </si>
  <si>
    <t>1072</t>
  </si>
  <si>
    <t>Industrie du pain et des autres produits de boulangerie-pâtisserie</t>
  </si>
  <si>
    <t>311814</t>
  </si>
  <si>
    <t>Boulangeries commerciales et fabrication de produits de boulangerie congelés</t>
  </si>
  <si>
    <t>1080</t>
  </si>
  <si>
    <t xml:space="preserve">Industries du sucre et des confiseries </t>
  </si>
  <si>
    <t>Fabrication de sucre et de confiseries</t>
  </si>
  <si>
    <t>1081</t>
  </si>
  <si>
    <t>Industrie du sucre de canne et de betterave</t>
  </si>
  <si>
    <t>311310</t>
  </si>
  <si>
    <t>Fabrication de sucre</t>
  </si>
  <si>
    <t>1083</t>
  </si>
  <si>
    <t>Industrie des confiseries et du chocolat</t>
  </si>
  <si>
    <t>311351</t>
  </si>
  <si>
    <t>Fabrication de chocolat et de confiseries chocolatées à partir de fèves de cacao</t>
  </si>
  <si>
    <t>1090</t>
  </si>
  <si>
    <t xml:space="preserve">Autres industries de produits alimentaires </t>
  </si>
  <si>
    <t>Fabrication d'autres aliments</t>
  </si>
  <si>
    <t>1091</t>
  </si>
  <si>
    <t>Industrie du thé et du café</t>
  </si>
  <si>
    <t>311920</t>
  </si>
  <si>
    <t>Fabrication de café et de thé</t>
  </si>
  <si>
    <t>1092</t>
  </si>
  <si>
    <t>Industrie des pâtes alimentaires</t>
  </si>
  <si>
    <t>1093</t>
  </si>
  <si>
    <t>Industrie des croustilles, des bretzels et du maïs soufflé</t>
  </si>
  <si>
    <t>311919</t>
  </si>
  <si>
    <t>Fabrication d'autres aliments à grignoter</t>
  </si>
  <si>
    <t>1099</t>
  </si>
  <si>
    <t>Autres industries de produits alimentaires</t>
  </si>
  <si>
    <t>311990</t>
  </si>
  <si>
    <t>Fabrication de tous les autres aliments</t>
  </si>
  <si>
    <t>1100</t>
  </si>
  <si>
    <t>Industries des boissons</t>
  </si>
  <si>
    <t>Fabrication de boissons et de produits du tabac</t>
  </si>
  <si>
    <t>1110</t>
  </si>
  <si>
    <t xml:space="preserve">Industrie des boissons gazeuses </t>
  </si>
  <si>
    <t>Fabrication de boissons</t>
  </si>
  <si>
    <t>1111</t>
  </si>
  <si>
    <t>Industrie des boissons gazeuses</t>
  </si>
  <si>
    <t>312110</t>
  </si>
  <si>
    <t>Fabrication de boissons gazeuses et de glace</t>
  </si>
  <si>
    <t>1120</t>
  </si>
  <si>
    <t xml:space="preserve">Industrie des alcools destinés à la consommation </t>
  </si>
  <si>
    <t>1121</t>
  </si>
  <si>
    <t>Industrie des alcools destinés à la consommation</t>
  </si>
  <si>
    <t>312140</t>
  </si>
  <si>
    <t>Distilleries</t>
  </si>
  <si>
    <t>1130</t>
  </si>
  <si>
    <t xml:space="preserve">Industrie de la bière </t>
  </si>
  <si>
    <t>1131</t>
  </si>
  <si>
    <t>Industrie de la bière</t>
  </si>
  <si>
    <t>312120</t>
  </si>
  <si>
    <t>Brasseries</t>
  </si>
  <si>
    <t>1140</t>
  </si>
  <si>
    <t xml:space="preserve">Industrie du vin et du cidre </t>
  </si>
  <si>
    <t>1141</t>
  </si>
  <si>
    <t>Industrie du vin et du cidre</t>
  </si>
  <si>
    <t>312130</t>
  </si>
  <si>
    <t>Vineries</t>
  </si>
  <si>
    <t>1200</t>
  </si>
  <si>
    <t>Industries du tabac</t>
  </si>
  <si>
    <t>1210</t>
  </si>
  <si>
    <t xml:space="preserve">Industrie du tabac en feuilles </t>
  </si>
  <si>
    <t>Fabrication du tabac</t>
  </si>
  <si>
    <t>1211</t>
  </si>
  <si>
    <t>Industrie du tabac en feuilles</t>
  </si>
  <si>
    <t>312210</t>
  </si>
  <si>
    <t>Écôtage et resséchage des feuilles de tabac</t>
  </si>
  <si>
    <t>1220</t>
  </si>
  <si>
    <t xml:space="preserve">Industrie des produits du tabac </t>
  </si>
  <si>
    <t>1221</t>
  </si>
  <si>
    <t>Industrie des produits du tabac</t>
  </si>
  <si>
    <t>312220</t>
  </si>
  <si>
    <t>Fabrication de produits du tabac</t>
  </si>
  <si>
    <t>1500</t>
  </si>
  <si>
    <t>Industries des produits du caoutchouc</t>
  </si>
  <si>
    <t>Fabrication de produits en plastique et en caoutchouc</t>
  </si>
  <si>
    <t>Chimie et pétrochimie</t>
  </si>
  <si>
    <t>1510</t>
  </si>
  <si>
    <t xml:space="preserve">Industrie des pneus et chambres à air </t>
  </si>
  <si>
    <t>Fabrication de produits en caoutchouc</t>
  </si>
  <si>
    <t>1511</t>
  </si>
  <si>
    <t>Industrie des pneus et chambres à air</t>
  </si>
  <si>
    <t>326210</t>
  </si>
  <si>
    <t>Fabrication de pneus</t>
  </si>
  <si>
    <t>1520</t>
  </si>
  <si>
    <t xml:space="preserve">Industrie des boyaux et courroies en caoutchouc </t>
  </si>
  <si>
    <t>1521</t>
  </si>
  <si>
    <t>Industrie des boyaux et courroies en caoutchouc</t>
  </si>
  <si>
    <t>326220</t>
  </si>
  <si>
    <t>Fabrication de tuyaux souples et de courroies en caoutchouc et en plastique</t>
  </si>
  <si>
    <t>1590</t>
  </si>
  <si>
    <t xml:space="preserve">Autres industries de produits en caoutchouc </t>
  </si>
  <si>
    <t>1599</t>
  </si>
  <si>
    <t>Autres industries de produits en caoutchouc</t>
  </si>
  <si>
    <t>326290</t>
  </si>
  <si>
    <t>Fabrication d'autres produits en caoutchouc</t>
  </si>
  <si>
    <t>1600</t>
  </si>
  <si>
    <t>Industries des produits en matière plastique</t>
  </si>
  <si>
    <t>1610</t>
  </si>
  <si>
    <t xml:space="preserve">Industrie des produits en matière plastique en mousse et soufflée </t>
  </si>
  <si>
    <t>Fabrication de produits en plastique</t>
  </si>
  <si>
    <t>1611</t>
  </si>
  <si>
    <t>Industrie des produits en matière plastique en mousse et soufflée</t>
  </si>
  <si>
    <t>326150</t>
  </si>
  <si>
    <t>Fabrication de produits en mousse d'uréthane et en d'autres mousses plastiques (sauf de polystyrène)</t>
  </si>
  <si>
    <t>1620</t>
  </si>
  <si>
    <t xml:space="preserve">Industrie des tuyaux et raccords de tuyauterie en matière plastique </t>
  </si>
  <si>
    <t>1621</t>
  </si>
  <si>
    <t>Industrie des tuyaux et raccords de tuyauterie en matière plastique</t>
  </si>
  <si>
    <t>326122</t>
  </si>
  <si>
    <t>Fabrication de tuyaux et de raccords de tuyauterie en plastique</t>
  </si>
  <si>
    <t>1630</t>
  </si>
  <si>
    <t xml:space="preserve">Industrie des pellicules et feuilles en matière plastique </t>
  </si>
  <si>
    <t>1631</t>
  </si>
  <si>
    <t>Industrie des pellicules et feuilles en matière plastique</t>
  </si>
  <si>
    <t>326114</t>
  </si>
  <si>
    <t>Fabrication de pellicules et de feuilles en plastique</t>
  </si>
  <si>
    <t>1640</t>
  </si>
  <si>
    <t xml:space="preserve">Industrie des produits en matière plastique stratifiée sous pression ou renforcée </t>
  </si>
  <si>
    <t>1641</t>
  </si>
  <si>
    <t>Industrie des produits en matière plastique stratifiée sous pression ou renforcée</t>
  </si>
  <si>
    <t>326198</t>
  </si>
  <si>
    <t>Fabrication de tous les autres produits en plastique</t>
  </si>
  <si>
    <t>1650</t>
  </si>
  <si>
    <t xml:space="preserve">Industrie des produits d'architecture en matière plastique </t>
  </si>
  <si>
    <t>1651</t>
  </si>
  <si>
    <t>Industrie des produits d'architecture en matière plastique</t>
  </si>
  <si>
    <t>1660</t>
  </si>
  <si>
    <t xml:space="preserve">Industrie des contenants en matière en plastique (sauf en mousse) </t>
  </si>
  <si>
    <t>1661</t>
  </si>
  <si>
    <t>Industrie des contenants en matière plastique (sauf en mousse)</t>
  </si>
  <si>
    <t>1690</t>
  </si>
  <si>
    <t xml:space="preserve">Autres industries de produits en matière plastique </t>
  </si>
  <si>
    <t>1691</t>
  </si>
  <si>
    <t>Autres industries de sacs en matière plastique</t>
  </si>
  <si>
    <t>326111</t>
  </si>
  <si>
    <t>Fabrication de sacs et de sachets en plastique</t>
  </si>
  <si>
    <t>1699</t>
  </si>
  <si>
    <t>Autres industries de produits en matière plastique</t>
  </si>
  <si>
    <t>1700</t>
  </si>
  <si>
    <t>Industries du cuir et des produits connexes</t>
  </si>
  <si>
    <t>316990</t>
  </si>
  <si>
    <t>Fabrication d'autres produits en cuir et produits analogues</t>
  </si>
  <si>
    <t>Textiles et vêtements</t>
  </si>
  <si>
    <t>1710</t>
  </si>
  <si>
    <t xml:space="preserve">Industries du cuir et des produits connexes </t>
  </si>
  <si>
    <t>1711</t>
  </si>
  <si>
    <t>Tanneries</t>
  </si>
  <si>
    <t>316110</t>
  </si>
  <si>
    <t>Tannage et finissage du cuir et des peaux</t>
  </si>
  <si>
    <t>1712</t>
  </si>
  <si>
    <t>Industrie de la chaussure</t>
  </si>
  <si>
    <t>316210</t>
  </si>
  <si>
    <t>Fabrication de chaussures</t>
  </si>
  <si>
    <t>1713</t>
  </si>
  <si>
    <t>Industrie des valises, bourses et sacs à main</t>
  </si>
  <si>
    <t>1714</t>
  </si>
  <si>
    <t>Industrie des accessoires pour bottes et chaussures</t>
  </si>
  <si>
    <t>1719</t>
  </si>
  <si>
    <t>Autres industries du cuir et des produits connexes</t>
  </si>
  <si>
    <t>1800</t>
  </si>
  <si>
    <t>Industries textiles de première transformation</t>
  </si>
  <si>
    <t>Usines de textiles</t>
  </si>
  <si>
    <t>1810</t>
  </si>
  <si>
    <t xml:space="preserve">Industrie des fibres synthétiques et des filés de filaments </t>
  </si>
  <si>
    <t>313110</t>
  </si>
  <si>
    <t>Usines de fibres, de filés et de fils</t>
  </si>
  <si>
    <t>1811</t>
  </si>
  <si>
    <t>Industrie des fibres synthétiques et des filés de filaments</t>
  </si>
  <si>
    <t>1820</t>
  </si>
  <si>
    <t xml:space="preserve">Industries des filés et tissus tissés </t>
  </si>
  <si>
    <t>1821</t>
  </si>
  <si>
    <t>Industrie de la filature et du tissage de la laine</t>
  </si>
  <si>
    <t>1822</t>
  </si>
  <si>
    <t>Industrie de la filature et du tissage du coton</t>
  </si>
  <si>
    <t>1824</t>
  </si>
  <si>
    <t>Industrie du tissage de fibres synthétiques</t>
  </si>
  <si>
    <t>1829</t>
  </si>
  <si>
    <t>Autres industries des filés et tissus tissés</t>
  </si>
  <si>
    <t>1830</t>
  </si>
  <si>
    <t xml:space="preserve">Industrie des tissus tricotés </t>
  </si>
  <si>
    <t>Finissage de textiles et de tissus et revêtement de tissus</t>
  </si>
  <si>
    <t>1831</t>
  </si>
  <si>
    <t>Industrie des tissus tricotés</t>
  </si>
  <si>
    <t>313310</t>
  </si>
  <si>
    <t>Finissage de textiles et de tissus</t>
  </si>
  <si>
    <t>1900</t>
  </si>
  <si>
    <t>Industries des produits textiles</t>
  </si>
  <si>
    <t>Usines de produits textiles</t>
  </si>
  <si>
    <t>1910</t>
  </si>
  <si>
    <t xml:space="preserve">Industrie du feutre et du traitement des fibres naturelles </t>
  </si>
  <si>
    <t>Autres activités diverses de fabrication</t>
  </si>
  <si>
    <t>Activités manufacturières (autres)</t>
  </si>
  <si>
    <t>1911</t>
  </si>
  <si>
    <t>Industrie du feutre et du traitement des fibres naturelles</t>
  </si>
  <si>
    <t>339990</t>
  </si>
  <si>
    <t>Toutes les autres activités diverses de fabrication</t>
  </si>
  <si>
    <t>1920</t>
  </si>
  <si>
    <t xml:space="preserve">Industrie des tapis, carpettes et moquettes </t>
  </si>
  <si>
    <t>Usines de textiles domestiques</t>
  </si>
  <si>
    <t>1921</t>
  </si>
  <si>
    <t>Industrie des tapis, carpettes et moquettes</t>
  </si>
  <si>
    <t>314110</t>
  </si>
  <si>
    <t>Usines de tapis et de carpettes</t>
  </si>
  <si>
    <t>1930</t>
  </si>
  <si>
    <t xml:space="preserve">Industries des articles en grosse toile </t>
  </si>
  <si>
    <t>Usines d'autres produits textiles</t>
  </si>
  <si>
    <t>1931</t>
  </si>
  <si>
    <t>Industrie des articles en grosse toile</t>
  </si>
  <si>
    <t>314910</t>
  </si>
  <si>
    <t>Usines de sacs en textile et de grosse toile</t>
  </si>
  <si>
    <t>1932</t>
  </si>
  <si>
    <t>Industrie des sacs et poches en matière textile</t>
  </si>
  <si>
    <t>314990</t>
  </si>
  <si>
    <t>Usines de tous les autres produits textiles</t>
  </si>
  <si>
    <t>1990</t>
  </si>
  <si>
    <t xml:space="preserve">Autres industries des produits textiles </t>
  </si>
  <si>
    <t>1991</t>
  </si>
  <si>
    <t>Industrie des tissus étroits</t>
  </si>
  <si>
    <t>313220</t>
  </si>
  <si>
    <t>Usines de tissus étroits et de broderies Schiffli</t>
  </si>
  <si>
    <t>1992</t>
  </si>
  <si>
    <t>Industrie de la teinture et du finissage à façon de produits textiles</t>
  </si>
  <si>
    <t>1993</t>
  </si>
  <si>
    <t>Industrie des articles de maison en textile</t>
  </si>
  <si>
    <t>314120</t>
  </si>
  <si>
    <t>Usines de rideaux et de linge de maison</t>
  </si>
  <si>
    <t>1994</t>
  </si>
  <si>
    <t>Industrie des articles d'hygiène en textile</t>
  </si>
  <si>
    <t>1995</t>
  </si>
  <si>
    <t>Industrie des tissus pour armature de pneus</t>
  </si>
  <si>
    <t>1996</t>
  </si>
  <si>
    <t>Industrie du fil</t>
  </si>
  <si>
    <t>1999</t>
  </si>
  <si>
    <t>Autres industries de produits textiles</t>
  </si>
  <si>
    <t>2400</t>
  </si>
  <si>
    <t>Industries de l'habillement</t>
  </si>
  <si>
    <t>Fabrication de vêtements</t>
  </si>
  <si>
    <t>2430</t>
  </si>
  <si>
    <t xml:space="preserve">Industries des vêtements pour hommes </t>
  </si>
  <si>
    <t>Fabrication de vêtements coupés-cousus</t>
  </si>
  <si>
    <t>2431</t>
  </si>
  <si>
    <t>Industrie des manteaux pour hommes</t>
  </si>
  <si>
    <t>315220</t>
  </si>
  <si>
    <t>Fabrication de vêtements coupés-cousus pour hommes et garçons</t>
  </si>
  <si>
    <t>2432</t>
  </si>
  <si>
    <t>Industrie des complets et vestons pour hommes</t>
  </si>
  <si>
    <t>2433</t>
  </si>
  <si>
    <t>Industrie des pantalons pour hommes</t>
  </si>
  <si>
    <t>2434</t>
  </si>
  <si>
    <t>Industrie des chemises, vêtements de nuit et sous-vêtements pour hommes</t>
  </si>
  <si>
    <t>2435</t>
  </si>
  <si>
    <t>Industrie de la confection à forfait de vêtements pour hommes</t>
  </si>
  <si>
    <t>315210</t>
  </si>
  <si>
    <t>Fabrication à forfait de vêtements coupés-cousus</t>
  </si>
  <si>
    <t>2440</t>
  </si>
  <si>
    <t xml:space="preserve">Industries des vêtements pour femmes </t>
  </si>
  <si>
    <t>2441</t>
  </si>
  <si>
    <t>Industrie des manteaux et vestes pour femmes</t>
  </si>
  <si>
    <t>315249</t>
  </si>
  <si>
    <t>Fabrication de vêtements coupés-cousus pour dames et filles</t>
  </si>
  <si>
    <t>2442</t>
  </si>
  <si>
    <t>Industrie des vêtements de sport pour femmes</t>
  </si>
  <si>
    <t>2443</t>
  </si>
  <si>
    <t>Industrie des robes pour femmes</t>
  </si>
  <si>
    <t>2444</t>
  </si>
  <si>
    <t>Industrie des blouses et chemisiers pour femmes</t>
  </si>
  <si>
    <t>2445</t>
  </si>
  <si>
    <t>Industrie des sous-vêtements et vêtements de nuit pour femmes</t>
  </si>
  <si>
    <t>2446</t>
  </si>
  <si>
    <t>Industrie de la confection à forfait de vêtements pour femmes</t>
  </si>
  <si>
    <t>2450</t>
  </si>
  <si>
    <t xml:space="preserve">Industries des vêtements pour enfants </t>
  </si>
  <si>
    <t>2451</t>
  </si>
  <si>
    <t>Industrie des vêtements pour enfants</t>
  </si>
  <si>
    <t>315241</t>
  </si>
  <si>
    <t>Fabrication de vêtements coupés-cousus pour bébés</t>
  </si>
  <si>
    <t>2453</t>
  </si>
  <si>
    <t>Industrie des sous-vêtements et vêtements de nuit pour enfants</t>
  </si>
  <si>
    <t>2454</t>
  </si>
  <si>
    <t>Industrie de la confection à forfait pour enfants</t>
  </si>
  <si>
    <t>2490</t>
  </si>
  <si>
    <t xml:space="preserve">Autres industries de l'habillement </t>
  </si>
  <si>
    <t>315990</t>
  </si>
  <si>
    <t>Fabrication d'accessoires vestimentaires et d'autres vêtements</t>
  </si>
  <si>
    <t>2491</t>
  </si>
  <si>
    <t>Industrie des chandails</t>
  </si>
  <si>
    <t>315190</t>
  </si>
  <si>
    <t>Usines de tricotage d'autres vêtements</t>
  </si>
  <si>
    <t>2492</t>
  </si>
  <si>
    <t>Industrie des vêtements professionnels</t>
  </si>
  <si>
    <t>315289</t>
  </si>
  <si>
    <t>Fabrication de tous les autres vêtements coupés-cousus</t>
  </si>
  <si>
    <t>2493</t>
  </si>
  <si>
    <t>Industrie des gants</t>
  </si>
  <si>
    <t>2494</t>
  </si>
  <si>
    <t>Industrie des bas et chaussettes</t>
  </si>
  <si>
    <t>315110</t>
  </si>
  <si>
    <t>Usines de bas et de chaussettes</t>
  </si>
  <si>
    <t>2495</t>
  </si>
  <si>
    <t>Industrie des articles en fourrure</t>
  </si>
  <si>
    <t>315281</t>
  </si>
  <si>
    <t>Fabrication de vêtements en fourrure et en cuir</t>
  </si>
  <si>
    <t>2496</t>
  </si>
  <si>
    <t>Industrie des vêtements de base</t>
  </si>
  <si>
    <t>2497</t>
  </si>
  <si>
    <t>Industrie des chapeaux (sauf en fourrure)</t>
  </si>
  <si>
    <t>2499</t>
  </si>
  <si>
    <t>Autres industries de l'habillement</t>
  </si>
  <si>
    <t>2500</t>
  </si>
  <si>
    <t>Industries du bois</t>
  </si>
  <si>
    <t>Fabrication de produits en bois</t>
  </si>
  <si>
    <t>Transformation du bois</t>
  </si>
  <si>
    <t>2510</t>
  </si>
  <si>
    <t xml:space="preserve">Industries du bois de sciage et des bardeaux </t>
  </si>
  <si>
    <t>Scieries et préservation du bois</t>
  </si>
  <si>
    <t>2511</t>
  </si>
  <si>
    <t>Industrie du bardeau et du bardeau fendu</t>
  </si>
  <si>
    <t>321112</t>
  </si>
  <si>
    <t>Usines de bardeaux et de bardeaux de fente</t>
  </si>
  <si>
    <t>2512</t>
  </si>
  <si>
    <t>Industrie des produits de scieries et d'ateliers de rabotage (sauf bardeaux et les bardeaux fendus)</t>
  </si>
  <si>
    <t>321111</t>
  </si>
  <si>
    <t>Scieries (sauf les usines de bardeaux et de bardeaux de fente)</t>
  </si>
  <si>
    <t>2520</t>
  </si>
  <si>
    <t xml:space="preserve">Industries des placages et contre-plaqués </t>
  </si>
  <si>
    <t>Fabrication de placages, de contreplaqués et de produits en bois reconstitué</t>
  </si>
  <si>
    <t>2521</t>
  </si>
  <si>
    <t>Industrie des placages en bois de feuillus et de résineux</t>
  </si>
  <si>
    <t>321211</t>
  </si>
  <si>
    <t>Usines de placages et de contreplaqués de feuillus</t>
  </si>
  <si>
    <t>2522</t>
  </si>
  <si>
    <t>Industrie des contre-plaqués de feuillus et de résineux</t>
  </si>
  <si>
    <t>321212</t>
  </si>
  <si>
    <t>Usines de placages et de contreplaqués de résineux</t>
  </si>
  <si>
    <t>2540</t>
  </si>
  <si>
    <t xml:space="preserve">Industries des portes, châssis et autres bois travaillés </t>
  </si>
  <si>
    <t>Fabrication d'autres produits en bois</t>
  </si>
  <si>
    <t>2541</t>
  </si>
  <si>
    <t>Industrie des bâtiments préfabriqués à charpente de bois</t>
  </si>
  <si>
    <t>321992</t>
  </si>
  <si>
    <t>Préfabrication de bâtiments en bois</t>
  </si>
  <si>
    <t>2542</t>
  </si>
  <si>
    <t>Industrie des armoires et placards de cuisine et des coiffeuses de salle de bain  en bois</t>
  </si>
  <si>
    <t>337110</t>
  </si>
  <si>
    <t>Fabrication d'armoires et de comptoirs de cuisine en bois</t>
  </si>
  <si>
    <t>2543</t>
  </si>
  <si>
    <t>Industrie des portes et fenêtres en bois</t>
  </si>
  <si>
    <t>321911</t>
  </si>
  <si>
    <t>Fabrication de fenêtres et de portes en bois</t>
  </si>
  <si>
    <t>2544</t>
  </si>
  <si>
    <t>Industrie d'éléments de charpente en bois</t>
  </si>
  <si>
    <t>2545</t>
  </si>
  <si>
    <t>Industrie des parquets en bois dur</t>
  </si>
  <si>
    <t>321919</t>
  </si>
  <si>
    <t>Fabrication d'autres menuiseries préfabriquées</t>
  </si>
  <si>
    <t>2549</t>
  </si>
  <si>
    <t>Autres industries du bois travaillé</t>
  </si>
  <si>
    <t>2560</t>
  </si>
  <si>
    <t xml:space="preserve">Industrie des boîtes et palettes en bois </t>
  </si>
  <si>
    <t>2561</t>
  </si>
  <si>
    <t>Industrie des boîtes et palettes en bois</t>
  </si>
  <si>
    <t>321920</t>
  </si>
  <si>
    <t>Fabrication de contenants et de palettes en bois</t>
  </si>
  <si>
    <t>2580</t>
  </si>
  <si>
    <t xml:space="preserve">Industrie des cercueils </t>
  </si>
  <si>
    <t>2581</t>
  </si>
  <si>
    <t>Industrie des cercueils</t>
  </si>
  <si>
    <t>2590</t>
  </si>
  <si>
    <t xml:space="preserve">Autres industries du bois </t>
  </si>
  <si>
    <t>2591</t>
  </si>
  <si>
    <t xml:space="preserve">Industrie de la préservation du bois 2592 </t>
  </si>
  <si>
    <t>321114</t>
  </si>
  <si>
    <t>Préservation du bois</t>
  </si>
  <si>
    <t>2592</t>
  </si>
  <si>
    <t>Industrie du bois tourné et façonné</t>
  </si>
  <si>
    <t>321999</t>
  </si>
  <si>
    <t>Fabrication de tous les autres produits divers en bois</t>
  </si>
  <si>
    <t>2593</t>
  </si>
  <si>
    <t>Industrie des panneaux agglomérés</t>
  </si>
  <si>
    <t>321217</t>
  </si>
  <si>
    <t>Usines de panneaux de copeaux</t>
  </si>
  <si>
    <t>2599</t>
  </si>
  <si>
    <t>Autres industries du bois</t>
  </si>
  <si>
    <t>2600</t>
  </si>
  <si>
    <t>Industries du meuble et des articles d'ameublement</t>
  </si>
  <si>
    <t>Fabrication de meubles et de produits connexes</t>
  </si>
  <si>
    <t>2610</t>
  </si>
  <si>
    <t xml:space="preserve">Industries des meubles de maison </t>
  </si>
  <si>
    <t>Fabrication de meubles de maison et d'établissement institutionnel et d'armoires de cuisine</t>
  </si>
  <si>
    <t>2611</t>
  </si>
  <si>
    <t>Industrie des meubles de maison en bois</t>
  </si>
  <si>
    <t>337123</t>
  </si>
  <si>
    <t>Fabrication d'autres meubles de maison en bois</t>
  </si>
  <si>
    <t>2612</t>
  </si>
  <si>
    <t>Industrie des meubles de maison rembourrés</t>
  </si>
  <si>
    <t>337121</t>
  </si>
  <si>
    <t>Fabrication de meubles de maison rembourrés</t>
  </si>
  <si>
    <t>2619</t>
  </si>
  <si>
    <t>Autres industries des meubles de maison</t>
  </si>
  <si>
    <t>337126</t>
  </si>
  <si>
    <t>Fabrication de meubles de maison (sauf en bois et rembourrés)</t>
  </si>
  <si>
    <t>2640</t>
  </si>
  <si>
    <t xml:space="preserve">Industries des meubles de bureau </t>
  </si>
  <si>
    <t>Fabrication de meubles de bureau (y compris les articles d'ameublement)</t>
  </si>
  <si>
    <t>2641</t>
  </si>
  <si>
    <t>Industrie des meubles de bureau en métal</t>
  </si>
  <si>
    <t>337214</t>
  </si>
  <si>
    <t>Fabrication de meubles de bureau (sauf en bois)</t>
  </si>
  <si>
    <t>2642</t>
  </si>
  <si>
    <t>Industrie des meubles de bureau en bois</t>
  </si>
  <si>
    <t>2649</t>
  </si>
  <si>
    <t>Autres industries des meubles de bureau</t>
  </si>
  <si>
    <t>2690</t>
  </si>
  <si>
    <t xml:space="preserve">Autres industries du meuble et des articles d'ameublement </t>
  </si>
  <si>
    <t>Fabrication d'autres produits connexes aux meubles</t>
  </si>
  <si>
    <t>2691</t>
  </si>
  <si>
    <t>Industrie des sommiers et matelas</t>
  </si>
  <si>
    <t>337910</t>
  </si>
  <si>
    <t>Fabrication de matelas</t>
  </si>
  <si>
    <t>2692</t>
  </si>
  <si>
    <t>Industrie des meubles et articles d'ameublement pour hôtels, restaurants et institutions</t>
  </si>
  <si>
    <t>337127</t>
  </si>
  <si>
    <t>Fabrication de meubles d'établissement institutionnel</t>
  </si>
  <si>
    <t>2693</t>
  </si>
  <si>
    <t>Industrie des meubles de jardin</t>
  </si>
  <si>
    <t>2694</t>
  </si>
  <si>
    <t>Industrie des rayonnages et des armoires de sûreté</t>
  </si>
  <si>
    <t>337215</t>
  </si>
  <si>
    <t>Fabrication de vitrines d'exposition, de cloisons, de rayonnages et de casiers</t>
  </si>
  <si>
    <t>2695</t>
  </si>
  <si>
    <t>Industrie des cadres</t>
  </si>
  <si>
    <t>2699</t>
  </si>
  <si>
    <t>Autres industries du meuble et des articles d'ameublement</t>
  </si>
  <si>
    <t>2700</t>
  </si>
  <si>
    <t>Industries du papier et des produits en papier</t>
  </si>
  <si>
    <t>Fabrication du papier</t>
  </si>
  <si>
    <t>Pâtes et papiers</t>
  </si>
  <si>
    <t>2710</t>
  </si>
  <si>
    <t xml:space="preserve">Industries des pâtes et papiers </t>
  </si>
  <si>
    <t>Usines de pâte à papier, de papier et de carton</t>
  </si>
  <si>
    <t>2711</t>
  </si>
  <si>
    <t>Industrie des pâtes à papier</t>
  </si>
  <si>
    <t>322111</t>
  </si>
  <si>
    <t>Usines de pâte mécanique</t>
  </si>
  <si>
    <t>2712</t>
  </si>
  <si>
    <t>Industrie du papier journal</t>
  </si>
  <si>
    <t>322122</t>
  </si>
  <si>
    <t>Usines de papier journal</t>
  </si>
  <si>
    <t>2713</t>
  </si>
  <si>
    <t>Industrie du carton</t>
  </si>
  <si>
    <t>322130</t>
  </si>
  <si>
    <t>Usines de carton</t>
  </si>
  <si>
    <t>2714</t>
  </si>
  <si>
    <t>Industrie des panneaux et du papier de construction</t>
  </si>
  <si>
    <t>321216</t>
  </si>
  <si>
    <t>Usines de panneaux de particules et de fibres</t>
  </si>
  <si>
    <t>2719</t>
  </si>
  <si>
    <t>Autres industries du papier</t>
  </si>
  <si>
    <t>322121</t>
  </si>
  <si>
    <t>Usines de papier (sauf le papier journal)</t>
  </si>
  <si>
    <t>2720</t>
  </si>
  <si>
    <t xml:space="preserve">Industrie du papier à couverture asphalté </t>
  </si>
  <si>
    <t>324122</t>
  </si>
  <si>
    <t>Fabrication de bardeaux et de matériaux de revêtement en asphalte</t>
  </si>
  <si>
    <t>Matériaux de construction</t>
  </si>
  <si>
    <t>2721</t>
  </si>
  <si>
    <t>Industrie du papier à couverture asphalté</t>
  </si>
  <si>
    <t>2730</t>
  </si>
  <si>
    <t xml:space="preserve">Industries des boîtes en carton et des sacs en papier </t>
  </si>
  <si>
    <t>Fabrication de produits en papier transformé</t>
  </si>
  <si>
    <t>2731</t>
  </si>
  <si>
    <t>Industrie des boîtes pliantes et rigides</t>
  </si>
  <si>
    <t>322212</t>
  </si>
  <si>
    <t>Fabrication de boîtes pliantes en carton</t>
  </si>
  <si>
    <t>2732</t>
  </si>
  <si>
    <t>Industrie des boîtes en carton ondulé</t>
  </si>
  <si>
    <t>322211</t>
  </si>
  <si>
    <t>Fabrication de boîtes en carton ondulé et en carton compact</t>
  </si>
  <si>
    <t>2733</t>
  </si>
  <si>
    <t>Industrie des sacs en papier</t>
  </si>
  <si>
    <t>322220</t>
  </si>
  <si>
    <t>Fabrication de sacs en papier et de papier couché et traité</t>
  </si>
  <si>
    <t>2790</t>
  </si>
  <si>
    <t xml:space="preserve">Autres industries des produits en papier transformé </t>
  </si>
  <si>
    <t>2791</t>
  </si>
  <si>
    <t>Industrie des papiers couchés ou traités</t>
  </si>
  <si>
    <t>2792</t>
  </si>
  <si>
    <t>Industrie des produits de papeterie</t>
  </si>
  <si>
    <t>322230</t>
  </si>
  <si>
    <t>Fabrication d'articles de papeterie</t>
  </si>
  <si>
    <t>2793</t>
  </si>
  <si>
    <t xml:space="preserve">Industrie des produits de consommation en papier 2799 </t>
  </si>
  <si>
    <t>322291</t>
  </si>
  <si>
    <t>Fabrication de produits hygiéniques en papier</t>
  </si>
  <si>
    <t>2799</t>
  </si>
  <si>
    <t>Autres industries des produits en papier transformé</t>
  </si>
  <si>
    <t>322299</t>
  </si>
  <si>
    <t>Fabrication de tous les autres produits en papier transformé</t>
  </si>
  <si>
    <t>2800</t>
  </si>
  <si>
    <t>Imprimerie, édition et industries connexes</t>
  </si>
  <si>
    <t>Impression et activités connexes de soutien</t>
  </si>
  <si>
    <t>2810</t>
  </si>
  <si>
    <t>Industries de l'impression commerciale</t>
  </si>
  <si>
    <t>2811</t>
  </si>
  <si>
    <t>Industrie de l'impression de formulaires commerciaux</t>
  </si>
  <si>
    <t>323116</t>
  </si>
  <si>
    <t>Impression de formulaires commerciaux en liasses</t>
  </si>
  <si>
    <t>2812</t>
  </si>
  <si>
    <t>Industrie de l'impression des journaux, revues, périodiques et livres</t>
  </si>
  <si>
    <t>323119</t>
  </si>
  <si>
    <t>Autres activités d'impression</t>
  </si>
  <si>
    <t>2819</t>
  </si>
  <si>
    <t>Autres industries d'impression commerciale</t>
  </si>
  <si>
    <t>2820</t>
  </si>
  <si>
    <t>Industrie du clichage, de la composition et de la reliure</t>
  </si>
  <si>
    <t>2821</t>
  </si>
  <si>
    <t>2830</t>
  </si>
  <si>
    <t>Industries de l'édition</t>
  </si>
  <si>
    <t>Éditeurs de journaux, de périodiques, de livres et de répertoires</t>
  </si>
  <si>
    <t>Communications</t>
  </si>
  <si>
    <t>2831</t>
  </si>
  <si>
    <t>Industrie de l'édition du livre</t>
  </si>
  <si>
    <t>511130</t>
  </si>
  <si>
    <t>Éditeurs de livres</t>
  </si>
  <si>
    <t>2839</t>
  </si>
  <si>
    <t>Autres industries de l'édition</t>
  </si>
  <si>
    <t>511190</t>
  </si>
  <si>
    <t>Autres éditeurs</t>
  </si>
  <si>
    <t>2840</t>
  </si>
  <si>
    <t>Industries de l'impression et de l'édition combinées</t>
  </si>
  <si>
    <t>2841</t>
  </si>
  <si>
    <t>Industrie des journaux (impression et édition combinées)</t>
  </si>
  <si>
    <t>511110</t>
  </si>
  <si>
    <t>Éditeurs de journaux</t>
  </si>
  <si>
    <t>2849</t>
  </si>
  <si>
    <t>Autres industries d'impression et d'édition combinées</t>
  </si>
  <si>
    <t>2850</t>
  </si>
  <si>
    <t>Industrie du progiciel</t>
  </si>
  <si>
    <t>541514</t>
  </si>
  <si>
    <t>Conception systèmes informatiques et services connexes (sauf la conception et dével. jeux vidéo)</t>
  </si>
  <si>
    <t>2851</t>
  </si>
  <si>
    <t>2900</t>
  </si>
  <si>
    <t>Industries de première transformation des métaux</t>
  </si>
  <si>
    <t>Première transformation des métaux</t>
  </si>
  <si>
    <t>Métallurgie</t>
  </si>
  <si>
    <t>2910</t>
  </si>
  <si>
    <t xml:space="preserve">Industries sidérurgique </t>
  </si>
  <si>
    <t>331110</t>
  </si>
  <si>
    <t>Sidérurgie</t>
  </si>
  <si>
    <t>2911</t>
  </si>
  <si>
    <t>Industrie des ferro-alliages</t>
  </si>
  <si>
    <t>2912</t>
  </si>
  <si>
    <t>Fonderies d'acier</t>
  </si>
  <si>
    <t>331514</t>
  </si>
  <si>
    <t>2919</t>
  </si>
  <si>
    <t>Autres industries sidérurgiques</t>
  </si>
  <si>
    <t>2920</t>
  </si>
  <si>
    <t xml:space="preserve">Industrie des tubes et tuyaux d'acier </t>
  </si>
  <si>
    <t>Fabrication de produits en acier à partir d'acier acheté</t>
  </si>
  <si>
    <t>2921</t>
  </si>
  <si>
    <t>Industrie des tubes et tuyaux d'acier</t>
  </si>
  <si>
    <t>331210</t>
  </si>
  <si>
    <t>Fabrication de tubes et de tuyaux en fer et en acier à partir d'acier acheté</t>
  </si>
  <si>
    <t>2940</t>
  </si>
  <si>
    <t xml:space="preserve">Fonderies de fer </t>
  </si>
  <si>
    <t>Fonderies</t>
  </si>
  <si>
    <t>2941</t>
  </si>
  <si>
    <t>Fonderies de fer</t>
  </si>
  <si>
    <t>331511</t>
  </si>
  <si>
    <t>2950</t>
  </si>
  <si>
    <t xml:space="preserve">Industries de la fonte et de l'affinage des métaux non ferreux </t>
  </si>
  <si>
    <t>Production et transformation de métaux non ferreux (sauf l'aluminium)</t>
  </si>
  <si>
    <t>2951</t>
  </si>
  <si>
    <t>Industrie de la production d'aluminium de première fusion</t>
  </si>
  <si>
    <t>331313</t>
  </si>
  <si>
    <t>Production primaire d'alumine et d'aluminium</t>
  </si>
  <si>
    <t>Aluminium</t>
  </si>
  <si>
    <t>2959</t>
  </si>
  <si>
    <t>Autres industries de la fonte et de l'affinage des métaux non ferreux</t>
  </si>
  <si>
    <t>331410</t>
  </si>
  <si>
    <t>Fonte et affinage de métaux non ferreux (sauf l'aluminium)</t>
  </si>
  <si>
    <t>2960</t>
  </si>
  <si>
    <t xml:space="preserve">Industries du laminage, du moulage et de l'extrusion de l'aluminium </t>
  </si>
  <si>
    <t>331317</t>
  </si>
  <si>
    <t>Laminage, étirage, extrusion et alliage de l'aluminium</t>
  </si>
  <si>
    <t>2961</t>
  </si>
  <si>
    <t>Industrie du laminage de l'aluminium</t>
  </si>
  <si>
    <t>2962</t>
  </si>
  <si>
    <t>Industrie du moulage et de l'extrusion de l'aluminium</t>
  </si>
  <si>
    <t>2970</t>
  </si>
  <si>
    <t xml:space="preserve">Industrie du laminage, du moulage et de l'extrusion du cuivre et de ses alliages </t>
  </si>
  <si>
    <t>2971</t>
  </si>
  <si>
    <t>Industrie du laminage, du moulage et de l'extrusion du cuivre et de ses alliages</t>
  </si>
  <si>
    <t>331420</t>
  </si>
  <si>
    <t>Laminage, étirage, extrusion et alliage du cuivre</t>
  </si>
  <si>
    <t>2990</t>
  </si>
  <si>
    <t xml:space="preserve">Autres industries du laminage, du moulage et de l'extrusion des métaux non ferreux </t>
  </si>
  <si>
    <t>2999</t>
  </si>
  <si>
    <t>Autres industries du laminage, du moulage et de l'extrusion des métaux non ferreux</t>
  </si>
  <si>
    <t>331490</t>
  </si>
  <si>
    <t>Laminage, étirage, extrusion et alliage de métaux non ferreux (sauf le cuivre et l'aluminium)</t>
  </si>
  <si>
    <t>3000</t>
  </si>
  <si>
    <t>Industries fabrication des produits métalliques (sauf industries machinerie et matériel transport)</t>
  </si>
  <si>
    <t>Fabrication de produits métalliques</t>
  </si>
  <si>
    <t>3010</t>
  </si>
  <si>
    <t xml:space="preserve">Industrie des produits en tôle forte </t>
  </si>
  <si>
    <t>3011</t>
  </si>
  <si>
    <t>Industrie des produits en tôle forte</t>
  </si>
  <si>
    <t>332319</t>
  </si>
  <si>
    <t>Fabrication d'autres tôles fortes et éléments de charpentes</t>
  </si>
  <si>
    <t>3020</t>
  </si>
  <si>
    <t xml:space="preserve">Industries des produits de construction en métal </t>
  </si>
  <si>
    <t>Fabrication de produits d'architecture et d'éléments de charpentes métalliques</t>
  </si>
  <si>
    <t>3021</t>
  </si>
  <si>
    <t>Industrie des bâtiments préfabriqués en métal (sauf transportables)</t>
  </si>
  <si>
    <t>332311</t>
  </si>
  <si>
    <t>Préfabrication de bâtiments en métal et de leurs composants</t>
  </si>
  <si>
    <t>3029</t>
  </si>
  <si>
    <t>Autres industries de la fabrication d'éléments de charpentes métalliques</t>
  </si>
  <si>
    <t>3030</t>
  </si>
  <si>
    <t xml:space="preserve">Industries des produits métalliques d'ornement et d'architecture </t>
  </si>
  <si>
    <t>3031</t>
  </si>
  <si>
    <t>Industrie des portes et fenêtres en métal</t>
  </si>
  <si>
    <t>332321</t>
  </si>
  <si>
    <t>Fabrication de portes et de fenêtres en métal</t>
  </si>
  <si>
    <t>3032</t>
  </si>
  <si>
    <t>Industrie des bâtiments préfabriqués en métal transportables</t>
  </si>
  <si>
    <t>3039</t>
  </si>
  <si>
    <t xml:space="preserve">Autres industries des produits métalliques d'ornement et d'architecture </t>
  </si>
  <si>
    <t>332329</t>
  </si>
  <si>
    <t>Fabrication d'autres produits métalliques d'ornement et d'architecture</t>
  </si>
  <si>
    <t>3040</t>
  </si>
  <si>
    <t xml:space="preserve">Industries de l'emboutissage, du matriçage et du revêtement de produits en métal </t>
  </si>
  <si>
    <t>332810</t>
  </si>
  <si>
    <t>Revêtement, gravure, traitement thermique et par le froid, et activités analogues</t>
  </si>
  <si>
    <t>3041</t>
  </si>
  <si>
    <t>Industrie du revêtement sur commande de produits en métal</t>
  </si>
  <si>
    <t>3042</t>
  </si>
  <si>
    <t>Industrie des récipients et fermetures en métal</t>
  </si>
  <si>
    <t>332439</t>
  </si>
  <si>
    <t>Fabrication d'autres contenants en métal</t>
  </si>
  <si>
    <t>3043</t>
  </si>
  <si>
    <t>Industrie de la tôlerie pour l'aéraulique</t>
  </si>
  <si>
    <t>332210</t>
  </si>
  <si>
    <t>Fabrication de coutellerie et d'outils à main</t>
  </si>
  <si>
    <t>3049</t>
  </si>
  <si>
    <t>Autres industries de l'emboutissage et du matriçage de produits en métal</t>
  </si>
  <si>
    <t>3050</t>
  </si>
  <si>
    <t xml:space="preserve">Industries du fil métallique et de ses produits </t>
  </si>
  <si>
    <t>Fabrication de ressorts et de produits en fil métallique</t>
  </si>
  <si>
    <t>3051</t>
  </si>
  <si>
    <t>Industrie des ressorts de rembourrage et des ressorts à boudin</t>
  </si>
  <si>
    <t>332619</t>
  </si>
  <si>
    <t>Fabrication d'autres produits en fil métallique</t>
  </si>
  <si>
    <t>3052</t>
  </si>
  <si>
    <t>Industrie des fils et des câbles métalliques</t>
  </si>
  <si>
    <t>331222</t>
  </si>
  <si>
    <t>Étirage de fils d'acier</t>
  </si>
  <si>
    <t>3053</t>
  </si>
  <si>
    <t>Industrie des attaches d'usage industriel</t>
  </si>
  <si>
    <t>332720</t>
  </si>
  <si>
    <t>Fabrication de produits tournés, de vis, d'écrous et de boulons</t>
  </si>
  <si>
    <t>3059</t>
  </si>
  <si>
    <t>Autres industries des produits en fil métallique</t>
  </si>
  <si>
    <t>3060</t>
  </si>
  <si>
    <t xml:space="preserve">Industries des articles de quincaillerie, d'outillage et de coutellerie </t>
  </si>
  <si>
    <t>332510</t>
  </si>
  <si>
    <t>Fabrication d'articles de quincaillerie</t>
  </si>
  <si>
    <t>3061</t>
  </si>
  <si>
    <t>Industrie de la quincaillerie de base</t>
  </si>
  <si>
    <t>3062</t>
  </si>
  <si>
    <t>Industrie des matrices, des moules et des outils tranchants et à profiler en métal</t>
  </si>
  <si>
    <t>333519</t>
  </si>
  <si>
    <t>Fabrication d'autres machines-outils pour le travail du métal</t>
  </si>
  <si>
    <t>3063</t>
  </si>
  <si>
    <t>Industrie de l'outillage à main</t>
  </si>
  <si>
    <t>3069</t>
  </si>
  <si>
    <t>Industrie de la coutellerie et des autres articles de quincaillerie ou d'outillage</t>
  </si>
  <si>
    <t>3070</t>
  </si>
  <si>
    <t xml:space="preserve">Industrie du matériel de chauffage </t>
  </si>
  <si>
    <t>Fabrication d'appareils ventilation, de chauffage, de climatisation et de réfrigération commerciale</t>
  </si>
  <si>
    <t>3071</t>
  </si>
  <si>
    <t>Industrie du matériel de chauffage</t>
  </si>
  <si>
    <t>333416</t>
  </si>
  <si>
    <t>Fabrication d'appareils de chauffage et de réfrigération commerciale</t>
  </si>
  <si>
    <t>3080</t>
  </si>
  <si>
    <t xml:space="preserve">Ateliers d'usinage </t>
  </si>
  <si>
    <t>Ateliers d'usinage, fabrication de produits tournés, de vis, d'écrous et de boulons</t>
  </si>
  <si>
    <t>3081</t>
  </si>
  <si>
    <t>Ateliers d'usinage</t>
  </si>
  <si>
    <t>332710</t>
  </si>
  <si>
    <t>3090</t>
  </si>
  <si>
    <t xml:space="preserve">Autres industries de produits en métal </t>
  </si>
  <si>
    <t>Fabrication d'autres produits métalliques</t>
  </si>
  <si>
    <t>3091</t>
  </si>
  <si>
    <t>Industrie des garnitures et raccords de plomberie en métal</t>
  </si>
  <si>
    <t>332910</t>
  </si>
  <si>
    <t>Fabrication de soupapes en métal</t>
  </si>
  <si>
    <t>3092</t>
  </si>
  <si>
    <t>Industrie des soupapes en métal</t>
  </si>
  <si>
    <t>3099</t>
  </si>
  <si>
    <t>Autres industries de produits en métal</t>
  </si>
  <si>
    <t>332999</t>
  </si>
  <si>
    <t>Fabrication de tous les autres produits métalliques divers</t>
  </si>
  <si>
    <t>3100</t>
  </si>
  <si>
    <t>Industries de la machinerie (sauf électrique)</t>
  </si>
  <si>
    <t>Fabrication de machines</t>
  </si>
  <si>
    <t>3110</t>
  </si>
  <si>
    <t xml:space="preserve">Industrie des instruments aratoires </t>
  </si>
  <si>
    <t>Fabrication de machines pour l'agriculture, la construction et l'extraction minière</t>
  </si>
  <si>
    <t>3111</t>
  </si>
  <si>
    <t>Industrie des instruments aratoires</t>
  </si>
  <si>
    <t>333110</t>
  </si>
  <si>
    <t>Fabrication de machines agricoles</t>
  </si>
  <si>
    <t>3120</t>
  </si>
  <si>
    <t xml:space="preserve">Industrie du matériel commercial de réfrigération et de climatisation </t>
  </si>
  <si>
    <t>3121</t>
  </si>
  <si>
    <t>Industrie du matériel commercial de réfrigération et de climatisation</t>
  </si>
  <si>
    <t>3190</t>
  </si>
  <si>
    <t xml:space="preserve">Autres industries de la machinerie et de l'équipement </t>
  </si>
  <si>
    <t>Fabrication d'autres machines d'usage général</t>
  </si>
  <si>
    <t>3191</t>
  </si>
  <si>
    <t>Industrie des compresseurs, pompes et ventilateurs</t>
  </si>
  <si>
    <t>333910</t>
  </si>
  <si>
    <t>Fabrication de pompes et de compresseurs</t>
  </si>
  <si>
    <t>3192</t>
  </si>
  <si>
    <t>Industrie de l'équipement de manutention</t>
  </si>
  <si>
    <t>333920</t>
  </si>
  <si>
    <t>Fabrication de matériel de manutention</t>
  </si>
  <si>
    <t>3193</t>
  </si>
  <si>
    <t>Industrie de la machinerie pour récolter, couper et façonner le bois</t>
  </si>
  <si>
    <t>333245</t>
  </si>
  <si>
    <t>Fabrication de machines pour les scieries et le travail du bois</t>
  </si>
  <si>
    <t>3194</t>
  </si>
  <si>
    <t>Industrie des turbines et du matériel de transmission d'énergie mécanique</t>
  </si>
  <si>
    <t>333611</t>
  </si>
  <si>
    <t>Fabrication de turbines et de groupes turbogénérateurs</t>
  </si>
  <si>
    <t>3195</t>
  </si>
  <si>
    <t>Industrie de la machinerie pour l'industrie des pâtes et papiers</t>
  </si>
  <si>
    <t>333248</t>
  </si>
  <si>
    <t>Fabrication de toutes les autres machines industrielles</t>
  </si>
  <si>
    <t>3196</t>
  </si>
  <si>
    <t>Industrie de la machinerie et du matériel de construction et d'entretien</t>
  </si>
  <si>
    <t>3199</t>
  </si>
  <si>
    <t>Autres industries de la machinerie et de l'équipement</t>
  </si>
  <si>
    <t>3200</t>
  </si>
  <si>
    <t>Industries du matériel de transport</t>
  </si>
  <si>
    <t>Fabrication de matériel de transport</t>
  </si>
  <si>
    <t>3210</t>
  </si>
  <si>
    <t xml:space="preserve">Industrie des aéronefs et des pièces d'aéronefs </t>
  </si>
  <si>
    <t>336410</t>
  </si>
  <si>
    <t>Fabrication de produits aérospatiaux et de leurs pièces</t>
  </si>
  <si>
    <t>3211</t>
  </si>
  <si>
    <t>Industrie des aéronefs et des pièces d'aéronefs</t>
  </si>
  <si>
    <t>3230</t>
  </si>
  <si>
    <t xml:space="preserve">Industrie des véhicules automobiles </t>
  </si>
  <si>
    <t>Fabrication de véhicules automobiles</t>
  </si>
  <si>
    <t>3231</t>
  </si>
  <si>
    <t>Industrie des véhicules automobiles</t>
  </si>
  <si>
    <t>336110</t>
  </si>
  <si>
    <t>Fabrication de voitures et de véhicules automobiles légers</t>
  </si>
  <si>
    <t>3240</t>
  </si>
  <si>
    <t xml:space="preserve">Industries des carrosseries de camions, d'autobus et de remorques </t>
  </si>
  <si>
    <t>Fabrication de carrosseries et de remorques de véhicules automobiles</t>
  </si>
  <si>
    <t>3241</t>
  </si>
  <si>
    <t>Industrie des carrosseries de camions et d'autobus</t>
  </si>
  <si>
    <t>336211</t>
  </si>
  <si>
    <t>Fabrication de carrosseries de véhicules automobiles</t>
  </si>
  <si>
    <t>3242</t>
  </si>
  <si>
    <t>Industrie des semi-remorques et remorques d'usage commercial</t>
  </si>
  <si>
    <t>336212</t>
  </si>
  <si>
    <t>Fabrication de remorques de camions</t>
  </si>
  <si>
    <t>3243</t>
  </si>
  <si>
    <t>Industrie des remorques d'usage non commercial</t>
  </si>
  <si>
    <t>336215</t>
  </si>
  <si>
    <t>Fabrication de maisons mobiles, roulottes de tourisme et campeuses</t>
  </si>
  <si>
    <t>3244</t>
  </si>
  <si>
    <t>Industrie des maisons mobiles</t>
  </si>
  <si>
    <t>321991</t>
  </si>
  <si>
    <t>Préfabrication de maisons (mobiles)</t>
  </si>
  <si>
    <t>3250</t>
  </si>
  <si>
    <t xml:space="preserve">Industries des pièces et accessoires pour véhicules automobiles </t>
  </si>
  <si>
    <t>Fabrication de pièces pour véhicules automobiles</t>
  </si>
  <si>
    <t>3251</t>
  </si>
  <si>
    <t>Industrie des moteurs et pièces de moteurs de véhicules automobiles</t>
  </si>
  <si>
    <t>336310</t>
  </si>
  <si>
    <t>Fabrication de moteurs et de pièces de moteurs à essence pour véhicules automobiles</t>
  </si>
  <si>
    <t>3254</t>
  </si>
  <si>
    <t>Industrie des pièces pour systèmes de direction et de suspension de véhicules automobiles</t>
  </si>
  <si>
    <t>336330</t>
  </si>
  <si>
    <t>Fabrication de composants de direction et de suspension pour véhicules automobiles (sauf ressorts)</t>
  </si>
  <si>
    <t>3255</t>
  </si>
  <si>
    <t>Industrie des roues et des freins pour véhicules automobiles</t>
  </si>
  <si>
    <t>336340</t>
  </si>
  <si>
    <t>Fabrication de systèmes de freinage pour véhicules automobiles</t>
  </si>
  <si>
    <t>3256</t>
  </si>
  <si>
    <t>Industrie des pièces et accessoires en matière plastique pour véhicules automobiles</t>
  </si>
  <si>
    <t>326193</t>
  </si>
  <si>
    <t>Fabrication de pièces en plastique pour véhicules automobiles</t>
  </si>
  <si>
    <t>3257</t>
  </si>
  <si>
    <t>Industrie des accessoires en matière textile pour véhicules automobiles</t>
  </si>
  <si>
    <t>336360</t>
  </si>
  <si>
    <t>Fabrication de sièges et enjolivures intérieures pour véhicules automobiles</t>
  </si>
  <si>
    <t>3259</t>
  </si>
  <si>
    <t>Autres industries des pièces et accessoires pour véhicules automobiles</t>
  </si>
  <si>
    <t>336390</t>
  </si>
  <si>
    <t>Fabrication d'autres pièces pour véhicules automobiles</t>
  </si>
  <si>
    <t>3260</t>
  </si>
  <si>
    <t xml:space="preserve">Industrie du matériel ferroviaire roulant </t>
  </si>
  <si>
    <t>336510</t>
  </si>
  <si>
    <t>Fabrication de matériel ferroviaire roulant</t>
  </si>
  <si>
    <t>3261</t>
  </si>
  <si>
    <t>Industrie du matériel ferroviaire roulant</t>
  </si>
  <si>
    <t>3270</t>
  </si>
  <si>
    <t xml:space="preserve">Industrie de la construction et de la réparation de navires </t>
  </si>
  <si>
    <t>Construction de navires et d'embarcations</t>
  </si>
  <si>
    <t>3271</t>
  </si>
  <si>
    <t>Industrie de la construction et de la réparation de navires</t>
  </si>
  <si>
    <t>336611</t>
  </si>
  <si>
    <t>Construction et réparation de navires</t>
  </si>
  <si>
    <t>3280</t>
  </si>
  <si>
    <t xml:space="preserve">Industrie de la construction et de la réparation d'embarcations </t>
  </si>
  <si>
    <t>3281</t>
  </si>
  <si>
    <t>Industrie de la construction et de la réparation d'embarcations</t>
  </si>
  <si>
    <t>336612</t>
  </si>
  <si>
    <t>Construction d'embarcations</t>
  </si>
  <si>
    <t>3290</t>
  </si>
  <si>
    <t xml:space="preserve">Autres industries du matériel de transport </t>
  </si>
  <si>
    <t>336990</t>
  </si>
  <si>
    <t>Fabrication d'autres types de matériel de transport</t>
  </si>
  <si>
    <t>3299</t>
  </si>
  <si>
    <t>Autres industries du matériel de transport</t>
  </si>
  <si>
    <t>3300</t>
  </si>
  <si>
    <t>Industries des produits électriques et électroniques</t>
  </si>
  <si>
    <t>Fabrication de matériel, d'appareils et de composants électriques</t>
  </si>
  <si>
    <t>3310</t>
  </si>
  <si>
    <t xml:space="preserve">Industrie des petits appareils électroménagers </t>
  </si>
  <si>
    <t>Fabrication d'appareils ménagers</t>
  </si>
  <si>
    <t>3311</t>
  </si>
  <si>
    <t>Industrie des petits appareils électroménagers</t>
  </si>
  <si>
    <t>335210</t>
  </si>
  <si>
    <t>Fabrication de petits appareils électroménagers</t>
  </si>
  <si>
    <t>3320</t>
  </si>
  <si>
    <t xml:space="preserve">Industrie des gros appareils (électriques ou non) </t>
  </si>
  <si>
    <t>3321</t>
  </si>
  <si>
    <t>Industrie des gros appareils (électriques ou non)</t>
  </si>
  <si>
    <t>335229</t>
  </si>
  <si>
    <t>Fabrication d'autres gros appareils ménagers</t>
  </si>
  <si>
    <t>3330</t>
  </si>
  <si>
    <t xml:space="preserve">Industries des appareils d'éclairage </t>
  </si>
  <si>
    <t>Fabrication de matériel électrique d'éclairage</t>
  </si>
  <si>
    <t>3331</t>
  </si>
  <si>
    <t>Industrie des appareils d'éclairage pour immeubles</t>
  </si>
  <si>
    <t>335120</t>
  </si>
  <si>
    <t>Fabrication d'appareils d'éclairage</t>
  </si>
  <si>
    <t>3332</t>
  </si>
  <si>
    <t>Industrie des luminaires pour résidences</t>
  </si>
  <si>
    <t>3333</t>
  </si>
  <si>
    <t>Industrie des lampes électriques (ampoules et tubes)</t>
  </si>
  <si>
    <t>335110</t>
  </si>
  <si>
    <t>Fabrication d'ampoules électriques et de leurs pièces</t>
  </si>
  <si>
    <t>3339</t>
  </si>
  <si>
    <t>Autres industries des appareils d'éclairage</t>
  </si>
  <si>
    <t>3340</t>
  </si>
  <si>
    <t xml:space="preserve">Industrie du matériel électronique ménager </t>
  </si>
  <si>
    <t>334310</t>
  </si>
  <si>
    <t>Fabrication de matériel audio et vidéo</t>
  </si>
  <si>
    <t>3341</t>
  </si>
  <si>
    <t>Industrie du matériel électronique ménager</t>
  </si>
  <si>
    <t>3350</t>
  </si>
  <si>
    <t xml:space="preserve">Industries du matériel électronique professionnel </t>
  </si>
  <si>
    <t>Fabrication de matériel de communication</t>
  </si>
  <si>
    <t>3351</t>
  </si>
  <si>
    <t>Industrie de l'équipement de télécommunication</t>
  </si>
  <si>
    <t>334220</t>
  </si>
  <si>
    <t>Fabrication de matériel de radiodiffusion, de télédiffusion et de communication sans fil</t>
  </si>
  <si>
    <t>3352</t>
  </si>
  <si>
    <t>Industrie des pièces et des composantes électroniques</t>
  </si>
  <si>
    <t>336320</t>
  </si>
  <si>
    <t>Fabrication de matériel électrique et électronique pour véhicules automobiles</t>
  </si>
  <si>
    <t>3359</t>
  </si>
  <si>
    <t>Autres industries du matériel électronique et de communication</t>
  </si>
  <si>
    <t>334290</t>
  </si>
  <si>
    <t>Fabrication d'autres types de matériel de communication</t>
  </si>
  <si>
    <t>3360</t>
  </si>
  <si>
    <t xml:space="preserve">Industries des machines pour bureaux, magasins et commerces </t>
  </si>
  <si>
    <t>333310</t>
  </si>
  <si>
    <t>Fabrication de machines pour le commerce et les industries de services</t>
  </si>
  <si>
    <t>3361</t>
  </si>
  <si>
    <t>Industrie des ordinateurs et de leurs unités périphériques</t>
  </si>
  <si>
    <t>334110</t>
  </si>
  <si>
    <t>Fabrication de matériel informatique et périphérique</t>
  </si>
  <si>
    <t>3369</t>
  </si>
  <si>
    <t>Autres industries des machines pour bureaux, magasins et commerces</t>
  </si>
  <si>
    <t>3370</t>
  </si>
  <si>
    <t xml:space="preserve">Industries du matériel électrique d'usage industriel </t>
  </si>
  <si>
    <t>335990</t>
  </si>
  <si>
    <t>Fabrication de tous les autres types de matériel et composants électriques</t>
  </si>
  <si>
    <t>3371</t>
  </si>
  <si>
    <t>Industrie des transformateurs électriques</t>
  </si>
  <si>
    <t>335311</t>
  </si>
  <si>
    <t>Fabrication de transformateurs de puissance et de distribution et de transformateurs spéciaux</t>
  </si>
  <si>
    <t>3372</t>
  </si>
  <si>
    <t>Industrie du matériel électrique de commutation et de protection</t>
  </si>
  <si>
    <t>335315</t>
  </si>
  <si>
    <t>Fabrication d'appareillage de connexion, de commutation et de relais et commandes usage industriel</t>
  </si>
  <si>
    <t>3379</t>
  </si>
  <si>
    <t>Autres industries du matériel électrique d'usage industriel</t>
  </si>
  <si>
    <t>3380</t>
  </si>
  <si>
    <t xml:space="preserve">Industrie des fils et des câbles électriques </t>
  </si>
  <si>
    <t>Fabrication d'autres types de matériel et de composants électriques</t>
  </si>
  <si>
    <t>3381</t>
  </si>
  <si>
    <t>Industrie des fils et des câbles électriques</t>
  </si>
  <si>
    <t>335920</t>
  </si>
  <si>
    <t>Fabrication de fils et de câbles électriques et de communication</t>
  </si>
  <si>
    <t>3390</t>
  </si>
  <si>
    <t xml:space="preserve">Autres industries de produits électriques </t>
  </si>
  <si>
    <t>3391</t>
  </si>
  <si>
    <t>Industrie des accumulateurs</t>
  </si>
  <si>
    <t>3392</t>
  </si>
  <si>
    <t>Industrie des dispositifs de câblage non porteurs de courant</t>
  </si>
  <si>
    <t>335930</t>
  </si>
  <si>
    <t>Fabrication de dispositifs de câblage</t>
  </si>
  <si>
    <t>3399</t>
  </si>
  <si>
    <t>Autres industries de produits électriques</t>
  </si>
  <si>
    <t>3500</t>
  </si>
  <si>
    <t>Industries des produits minéraux non métalliques</t>
  </si>
  <si>
    <t>Fabrication de produits minéraux non métalliques</t>
  </si>
  <si>
    <t>3510</t>
  </si>
  <si>
    <t xml:space="preserve">Industries des produits en argile </t>
  </si>
  <si>
    <t>Fabrication de produits en argile et produits réfractaires</t>
  </si>
  <si>
    <t>3511</t>
  </si>
  <si>
    <t>Industrie des produits en argile (argile canadienne)</t>
  </si>
  <si>
    <t>327120</t>
  </si>
  <si>
    <t>Fabrication de matériaux de construction en argile et de produits réfractaires</t>
  </si>
  <si>
    <t>3512</t>
  </si>
  <si>
    <t>Industrie des produits en argile (argile importée)</t>
  </si>
  <si>
    <t>327110</t>
  </si>
  <si>
    <t>Fabrication de poteries, d'articles en céramique et d'appareils sanitaires</t>
  </si>
  <si>
    <t>3520</t>
  </si>
  <si>
    <t xml:space="preserve">Industrie du ciment </t>
  </si>
  <si>
    <t>Fabrication de ciment et de produits en béton</t>
  </si>
  <si>
    <t>3521</t>
  </si>
  <si>
    <t>Industrie du ciment</t>
  </si>
  <si>
    <t>327310</t>
  </si>
  <si>
    <t>Fabrication de ciment</t>
  </si>
  <si>
    <t>3530</t>
  </si>
  <si>
    <t xml:space="preserve">Industrie des produits en pierre </t>
  </si>
  <si>
    <t>Fabrication d'autres produits minéraux non métalliques</t>
  </si>
  <si>
    <t>3531</t>
  </si>
  <si>
    <t>Industrie des produits en pierre</t>
  </si>
  <si>
    <t>327990</t>
  </si>
  <si>
    <t>Fabrication de tous les autres produits minéraux non métalliques</t>
  </si>
  <si>
    <t>3540</t>
  </si>
  <si>
    <t xml:space="preserve">Industries des produits en béton </t>
  </si>
  <si>
    <t>3541</t>
  </si>
  <si>
    <t>Industrie des tuyaux en béton</t>
  </si>
  <si>
    <t>327330</t>
  </si>
  <si>
    <t>Fabrication de tuyaux, briques et blocs en béton</t>
  </si>
  <si>
    <t>3542</t>
  </si>
  <si>
    <t>Industrie des produits de construction en béton</t>
  </si>
  <si>
    <t>327390</t>
  </si>
  <si>
    <t>Fabrication d'autres produits en béton</t>
  </si>
  <si>
    <t>3549</t>
  </si>
  <si>
    <t>Autres industries de produits en béton</t>
  </si>
  <si>
    <t>3550</t>
  </si>
  <si>
    <t xml:space="preserve">Industrie du béton préparé </t>
  </si>
  <si>
    <t>3551</t>
  </si>
  <si>
    <t>Industrie du béton préparé</t>
  </si>
  <si>
    <t>327320</t>
  </si>
  <si>
    <t>Fabrication de béton préparé</t>
  </si>
  <si>
    <t>3560</t>
  </si>
  <si>
    <t xml:space="preserve">Industries du verre et des articles en verre </t>
  </si>
  <si>
    <t>Fabrication de verre et de produits en verre</t>
  </si>
  <si>
    <t>3561</t>
  </si>
  <si>
    <t>Industrie des contenants en verre</t>
  </si>
  <si>
    <t>327214</t>
  </si>
  <si>
    <t>Fabrication de verre</t>
  </si>
  <si>
    <t>3562</t>
  </si>
  <si>
    <t>Industrie des produits en verre (sauf les contenants en verre)</t>
  </si>
  <si>
    <t>327215</t>
  </si>
  <si>
    <t>Fabrication de produits en verre à partir de verre acheté</t>
  </si>
  <si>
    <t>3570</t>
  </si>
  <si>
    <t xml:space="preserve">Industrie des abrasifs </t>
  </si>
  <si>
    <t>3571</t>
  </si>
  <si>
    <t>Industrie des abrasifs</t>
  </si>
  <si>
    <t>327910</t>
  </si>
  <si>
    <t>Fabrication de produits abrasifs</t>
  </si>
  <si>
    <t>3580</t>
  </si>
  <si>
    <t xml:space="preserve">Industrie de la chaux </t>
  </si>
  <si>
    <t>Fabrication de chaux et de produits en gypse</t>
  </si>
  <si>
    <t>3581</t>
  </si>
  <si>
    <t>Industrie de la chaux</t>
  </si>
  <si>
    <t>327410</t>
  </si>
  <si>
    <t>Fabrication de chaux</t>
  </si>
  <si>
    <t>3590</t>
  </si>
  <si>
    <t xml:space="preserve">Autres industries de produits minéraux non métalliques </t>
  </si>
  <si>
    <t>3591</t>
  </si>
  <si>
    <t>Industrie des produits réfractaires</t>
  </si>
  <si>
    <t>3592</t>
  </si>
  <si>
    <t>Industrie des produits en amiante</t>
  </si>
  <si>
    <t>3593</t>
  </si>
  <si>
    <t>Industrie des produits en gypse</t>
  </si>
  <si>
    <t>327420</t>
  </si>
  <si>
    <t>Fabrication de produits en gypse</t>
  </si>
  <si>
    <t>3594</t>
  </si>
  <si>
    <t>Industrie des matériaux isolants de minéraux non métalliques</t>
  </si>
  <si>
    <t>3599</t>
  </si>
  <si>
    <t>Autres industries de produits minéraux non métalliques</t>
  </si>
  <si>
    <t>3600</t>
  </si>
  <si>
    <t>Industries des produits du pétrole et du charbon</t>
  </si>
  <si>
    <t>Fabrication de produits du pétrole et du charbon</t>
  </si>
  <si>
    <t>3610</t>
  </si>
  <si>
    <t xml:space="preserve">Industries des produits raffinés du pétrole </t>
  </si>
  <si>
    <t>3611</t>
  </si>
  <si>
    <t>Industrie des produits pétroliers raffinés (sauf les huiles de graissage et graisses lubrifiantes)</t>
  </si>
  <si>
    <t>324110</t>
  </si>
  <si>
    <t>Raffineries de pétrole</t>
  </si>
  <si>
    <t>3612</t>
  </si>
  <si>
    <t>Industrie des huiles de graissage et des graisses lubrifiantes</t>
  </si>
  <si>
    <t>324190</t>
  </si>
  <si>
    <t>Fabrication d'autres produits du pétrole et du charbon</t>
  </si>
  <si>
    <t>3690</t>
  </si>
  <si>
    <t xml:space="preserve">Autres industries des produits du pétrole et du charbon </t>
  </si>
  <si>
    <t>3699</t>
  </si>
  <si>
    <t>Autres industries des produits du pétrole et du charbon</t>
  </si>
  <si>
    <t>3700</t>
  </si>
  <si>
    <t>Industries chimiques</t>
  </si>
  <si>
    <t>Fabrication de produits chimiques</t>
  </si>
  <si>
    <t>3710</t>
  </si>
  <si>
    <t xml:space="preserve">Industries des produits chimiques d'usage industriel </t>
  </si>
  <si>
    <t>Fabrication de produits chimiques de base</t>
  </si>
  <si>
    <t>3711</t>
  </si>
  <si>
    <t>Industrie des produits chimiques inorganiques d'usage industriel</t>
  </si>
  <si>
    <t>325189</t>
  </si>
  <si>
    <t>Fabrication de tous les autres produits chimiques inorganiques de base</t>
  </si>
  <si>
    <t>3712</t>
  </si>
  <si>
    <t>Industrie des produits chimiques organiques d'usage industriel</t>
  </si>
  <si>
    <t>325190</t>
  </si>
  <si>
    <t>Fabrication d'autres produits chimiques organiques de base</t>
  </si>
  <si>
    <t>3720</t>
  </si>
  <si>
    <t xml:space="preserve">Industries des produits chimiques d'usage agricole </t>
  </si>
  <si>
    <t>Fabrication de pesticides, d'engrais et d'autres produits chimiques agricoles</t>
  </si>
  <si>
    <t>3721</t>
  </si>
  <si>
    <t>Industrie des engrais chimiques et des engrais composés</t>
  </si>
  <si>
    <t>325313</t>
  </si>
  <si>
    <t>Fabrication d'engrais chimiques (sauf la potasse)</t>
  </si>
  <si>
    <t>3729</t>
  </si>
  <si>
    <t>Autres industries des produits chimiques d'usage agricole</t>
  </si>
  <si>
    <t>325320</t>
  </si>
  <si>
    <t>Fabrication de pesticides et d'autres produits chimiques agricoles</t>
  </si>
  <si>
    <t>3730</t>
  </si>
  <si>
    <t xml:space="preserve">Industrie des matières plastiques et des résines synthétiques </t>
  </si>
  <si>
    <t>Fabrication résines, caoutchouc synthé.et fibres et filaments artificiels et synthétiques</t>
  </si>
  <si>
    <t>3731</t>
  </si>
  <si>
    <t>Industrie des matières plastiques et des résines synthétiques</t>
  </si>
  <si>
    <t>325210</t>
  </si>
  <si>
    <t>Fabrication de résines et de caoutchouc synthétique</t>
  </si>
  <si>
    <t>3740</t>
  </si>
  <si>
    <t xml:space="preserve">Industrie des produits pharmaceutiques et des médicaments </t>
  </si>
  <si>
    <t>325410</t>
  </si>
  <si>
    <t>Fabrication de produits pharmaceutiques et de médicaments</t>
  </si>
  <si>
    <t>3741</t>
  </si>
  <si>
    <t>Industrie des produits pharmaceutiques et des médicaments</t>
  </si>
  <si>
    <t>3750</t>
  </si>
  <si>
    <t xml:space="preserve">Industrie des peintures et vernis </t>
  </si>
  <si>
    <t>Fabrication de peintures, de revêtements et d'adhésifs</t>
  </si>
  <si>
    <t>3751</t>
  </si>
  <si>
    <t>Industrie des peintures et vernis</t>
  </si>
  <si>
    <t>325510</t>
  </si>
  <si>
    <t>Fabrication de peintures et de revêtements</t>
  </si>
  <si>
    <t>3760</t>
  </si>
  <si>
    <t xml:space="preserve">Industrie des savons et composés pour le nettoyage </t>
  </si>
  <si>
    <t>Fabrication de savons, de détachants et de produits de toilette</t>
  </si>
  <si>
    <t>3761</t>
  </si>
  <si>
    <t>Industrie des savons et composés pour le nettoyage</t>
  </si>
  <si>
    <t>325610</t>
  </si>
  <si>
    <t>Fabrication de savons et d'autres produits nettoyants</t>
  </si>
  <si>
    <t>3770</t>
  </si>
  <si>
    <t xml:space="preserve">Industrie des produits de toilette </t>
  </si>
  <si>
    <t>3771</t>
  </si>
  <si>
    <t>Industrie des produits de toilette</t>
  </si>
  <si>
    <t>325620</t>
  </si>
  <si>
    <t>Fabrication de produits de toilette</t>
  </si>
  <si>
    <t>3790</t>
  </si>
  <si>
    <t xml:space="preserve">Autres industries des produits chimiques </t>
  </si>
  <si>
    <t>Fabrication d'autres produits chimiques</t>
  </si>
  <si>
    <t>3791</t>
  </si>
  <si>
    <t>Industrie des encres d'imprimerie</t>
  </si>
  <si>
    <t>325910</t>
  </si>
  <si>
    <t>Fabrication d'encre d'imprimerie</t>
  </si>
  <si>
    <t>3792</t>
  </si>
  <si>
    <t>Industrie des adhésifs</t>
  </si>
  <si>
    <t>325520</t>
  </si>
  <si>
    <t>Fabrication d'adhésifs</t>
  </si>
  <si>
    <t>3793</t>
  </si>
  <si>
    <t>Industrie des explosifs et munitions</t>
  </si>
  <si>
    <t>325999</t>
  </si>
  <si>
    <t>Fabrication de tous les autres produits chimiques divers</t>
  </si>
  <si>
    <t>3799</t>
  </si>
  <si>
    <t>Autres industries des produits chimiques</t>
  </si>
  <si>
    <t>3900</t>
  </si>
  <si>
    <t>Autres industries manufacturières</t>
  </si>
  <si>
    <t>Activités diverses de fabrication</t>
  </si>
  <si>
    <t>3910</t>
  </si>
  <si>
    <t xml:space="preserve">Industries du matériel scientifique et professionnel </t>
  </si>
  <si>
    <t>Fabrication d'instruments de navigation, de mesure et de commande et d'instruments médicaux</t>
  </si>
  <si>
    <t>3911</t>
  </si>
  <si>
    <t>Industrie des instruments d'indication, d'enregistrement et de commande</t>
  </si>
  <si>
    <t>334512</t>
  </si>
  <si>
    <t>Fabrication d'appareils de mesure et de commande et d'appareils médicaux</t>
  </si>
  <si>
    <t>3912</t>
  </si>
  <si>
    <t>Autres industries des instruments et produits connexes</t>
  </si>
  <si>
    <t>334511</t>
  </si>
  <si>
    <t>Fabrication d'instruments de navigation et de guidage</t>
  </si>
  <si>
    <t>3913</t>
  </si>
  <si>
    <t>Industrie des horloges et des montres</t>
  </si>
  <si>
    <t>3914</t>
  </si>
  <si>
    <t>Industrie des articles ophtalmiques</t>
  </si>
  <si>
    <t>339110</t>
  </si>
  <si>
    <t>Fabrication de fournitures et de matériel médicaux</t>
  </si>
  <si>
    <t>3915</t>
  </si>
  <si>
    <t>Industries des appareils orthopédiques</t>
  </si>
  <si>
    <t>3920</t>
  </si>
  <si>
    <t xml:space="preserve">Industries de la bijouterie et de l'orfèvrerie </t>
  </si>
  <si>
    <t>3921</t>
  </si>
  <si>
    <t>Industrie de la bijouterie et de l'orfèvrerie</t>
  </si>
  <si>
    <t>339910</t>
  </si>
  <si>
    <t>Fabrication de bijoux et de pièces d'argenterie</t>
  </si>
  <si>
    <t>3922</t>
  </si>
  <si>
    <t>Industrie de l'affinage secondaire de métaux précieux</t>
  </si>
  <si>
    <t>3930</t>
  </si>
  <si>
    <t xml:space="preserve">Industries des articles de sport et des jouets </t>
  </si>
  <si>
    <t>3931</t>
  </si>
  <si>
    <t>Industrie des articles de sport</t>
  </si>
  <si>
    <t>339920</t>
  </si>
  <si>
    <t>Fabrication d'articles de sport et d'athlétisme</t>
  </si>
  <si>
    <t>3932</t>
  </si>
  <si>
    <t>Industrie des jouets et jeux</t>
  </si>
  <si>
    <t>339930</t>
  </si>
  <si>
    <t>Fabrication de poupées, de jouets et de jeux</t>
  </si>
  <si>
    <t>3933</t>
  </si>
  <si>
    <t>Industrie des bicyclettes</t>
  </si>
  <si>
    <t>3970</t>
  </si>
  <si>
    <t xml:space="preserve">Industrie des enseignes et étalages </t>
  </si>
  <si>
    <t>3971</t>
  </si>
  <si>
    <t>Industrie des enseignes et étalages</t>
  </si>
  <si>
    <t>339950</t>
  </si>
  <si>
    <t>Fabrication d'enseignes</t>
  </si>
  <si>
    <t>3990</t>
  </si>
  <si>
    <t xml:space="preserve">Autres industries des produits manufacturés </t>
  </si>
  <si>
    <t>3991</t>
  </si>
  <si>
    <t>Industrie des balais, brosses et vadrouilles</t>
  </si>
  <si>
    <t>3992</t>
  </si>
  <si>
    <t>Industrie des boutons, boucles et attaches pour vêtements</t>
  </si>
  <si>
    <t>3993</t>
  </si>
  <si>
    <t>Industrie des carreaux, dalles et linoléums</t>
  </si>
  <si>
    <t>3994</t>
  </si>
  <si>
    <t>Industrie de la fabrication de supports d'enregistrement et de la reproduction du son</t>
  </si>
  <si>
    <t>Production et distribution d'enregistrements</t>
  </si>
  <si>
    <t>3996</t>
  </si>
  <si>
    <t>Industrie des instruments de musique</t>
  </si>
  <si>
    <t>3997</t>
  </si>
  <si>
    <t>Industrie des articles de bureau et fournitures pour artistes (sauf les articles en papier)</t>
  </si>
  <si>
    <t>3999</t>
  </si>
  <si>
    <t>Autres industries de produits manufacturés</t>
  </si>
  <si>
    <t>4000</t>
  </si>
  <si>
    <t>Constructeurs, promoteurs et entrepreneurs généraux</t>
  </si>
  <si>
    <t>Construction de bâtiments</t>
  </si>
  <si>
    <t>Entrepreneurs en construction</t>
  </si>
  <si>
    <t>4010</t>
  </si>
  <si>
    <t xml:space="preserve">Promotion et construction de bâtiments résidentiels </t>
  </si>
  <si>
    <t>236110</t>
  </si>
  <si>
    <t>Construction résidentielle</t>
  </si>
  <si>
    <t>4011</t>
  </si>
  <si>
    <t>Promotion et construction de maisons individuelles</t>
  </si>
  <si>
    <t>4012</t>
  </si>
  <si>
    <t>Promotion et construction d'autres types de constructions résidentielles</t>
  </si>
  <si>
    <t>4013</t>
  </si>
  <si>
    <t>Rénovation de bâtiments résidentiels</t>
  </si>
  <si>
    <t>4020</t>
  </si>
  <si>
    <t xml:space="preserve">Promotion et construction de bâtiments non résidentiels </t>
  </si>
  <si>
    <t>Construction non résidentielle</t>
  </si>
  <si>
    <t>4021</t>
  </si>
  <si>
    <t>Bâtiments industriels légers et manufactures</t>
  </si>
  <si>
    <t>236210</t>
  </si>
  <si>
    <t>Construction de bâtiments et de structures à usage industriel</t>
  </si>
  <si>
    <t>4022</t>
  </si>
  <si>
    <t>Bâtiments commerciaux</t>
  </si>
  <si>
    <t>236220</t>
  </si>
  <si>
    <t>Construction de bâtiments à usage commercial et institutionnel</t>
  </si>
  <si>
    <t>4023</t>
  </si>
  <si>
    <t>Bâtiments d'institutions</t>
  </si>
  <si>
    <t>4024</t>
  </si>
  <si>
    <t>Rénovation de bâtiments non résidentiels</t>
  </si>
  <si>
    <t>238990</t>
  </si>
  <si>
    <t>Tous les autres entrepreneurs spécialisés</t>
  </si>
  <si>
    <t>4030</t>
  </si>
  <si>
    <t xml:space="preserve">Travaux de génie </t>
  </si>
  <si>
    <t>Travaux de génie civil</t>
  </si>
  <si>
    <t>4031</t>
  </si>
  <si>
    <t xml:space="preserve">Centrales d'énergie et infrastructures connexes (sauf les lignes de transmission) </t>
  </si>
  <si>
    <t>237130</t>
  </si>
  <si>
    <t>Construction lignes de transmission énergie électrique et télécommunication et structures connexes</t>
  </si>
  <si>
    <t>4032</t>
  </si>
  <si>
    <t>Infrastructures pétrolières ou gazières et constructions connexes (sauf les pipelines)</t>
  </si>
  <si>
    <t>237120</t>
  </si>
  <si>
    <t>Construction d'oléoducs et de gazoducs et structures connexes</t>
  </si>
  <si>
    <t>4033</t>
  </si>
  <si>
    <t>Oléoducs et gazoducs</t>
  </si>
  <si>
    <t>4034</t>
  </si>
  <si>
    <t>Grosses structures industrielles</t>
  </si>
  <si>
    <t>4035</t>
  </si>
  <si>
    <t>Routes, rues et ponts</t>
  </si>
  <si>
    <t>237310</t>
  </si>
  <si>
    <t>Construction de routes, de rues et de ponts</t>
  </si>
  <si>
    <t>4036</t>
  </si>
  <si>
    <t>Systèmes d'adduction d'eau et réseaux d'égouts</t>
  </si>
  <si>
    <t>237110</t>
  </si>
  <si>
    <t>Construction d'aqueducs et d'égouts et structures connexes</t>
  </si>
  <si>
    <t>4037</t>
  </si>
  <si>
    <t>Lignes de transmission d'énergie et de télécommunication</t>
  </si>
  <si>
    <t>4039</t>
  </si>
  <si>
    <t>Autres travaux de génie</t>
  </si>
  <si>
    <t>237990</t>
  </si>
  <si>
    <t>Autres travaux de génie civil</t>
  </si>
  <si>
    <t>4200</t>
  </si>
  <si>
    <t>Entrepreneurs spécialisés</t>
  </si>
  <si>
    <t>4210</t>
  </si>
  <si>
    <t xml:space="preserve">Travaux sur chantier </t>
  </si>
  <si>
    <t>Autres entrepreneurs spécialisés</t>
  </si>
  <si>
    <t>4211</t>
  </si>
  <si>
    <t>Démolition</t>
  </si>
  <si>
    <t>238910</t>
  </si>
  <si>
    <t>Entrepreneurs en préparation de terrains</t>
  </si>
  <si>
    <t>4212</t>
  </si>
  <si>
    <t>Forage de puits d'eau</t>
  </si>
  <si>
    <t>4213</t>
  </si>
  <si>
    <t>Installation de fosses septiques</t>
  </si>
  <si>
    <t>4214</t>
  </si>
  <si>
    <t>Travaux d'excavation et de nivellement</t>
  </si>
  <si>
    <t>4215</t>
  </si>
  <si>
    <t>Location d'équipement (avec opérateur)</t>
  </si>
  <si>
    <t>4216</t>
  </si>
  <si>
    <t>Travaux d'asphaltage</t>
  </si>
  <si>
    <t>4217</t>
  </si>
  <si>
    <t>Pose de clôtures</t>
  </si>
  <si>
    <t>4219</t>
  </si>
  <si>
    <t>Autres travaux sur chantier</t>
  </si>
  <si>
    <t>4220</t>
  </si>
  <si>
    <t xml:space="preserve">Travaux de charpenterie et travaux connexes </t>
  </si>
  <si>
    <t>Entrepreneurs en travaux de fondations, de structure, et d'extérieur de bâtiment</t>
  </si>
  <si>
    <t>4221</t>
  </si>
  <si>
    <t>Enfoncement des pieux</t>
  </si>
  <si>
    <t>4222</t>
  </si>
  <si>
    <t>Travaux de coffrage</t>
  </si>
  <si>
    <t>238190</t>
  </si>
  <si>
    <t>Entrepreneurs en autres travaux de fondations, de structure, et d'extérieur de bâtiment</t>
  </si>
  <si>
    <t>4223</t>
  </si>
  <si>
    <t>Renforçage du béton à l'acier</t>
  </si>
  <si>
    <t>238120</t>
  </si>
  <si>
    <t>Entrepreneurs en montage de charpentes d'acier et mise en place de béton préfabriqué</t>
  </si>
  <si>
    <t>4224</t>
  </si>
  <si>
    <t>Coulage et finition du béton</t>
  </si>
  <si>
    <t>238110</t>
  </si>
  <si>
    <t>Entrepreneurs en travaux de fondations et de structure en béton coulé</t>
  </si>
  <si>
    <t>4225</t>
  </si>
  <si>
    <t>Mise en place de béton précontraint</t>
  </si>
  <si>
    <t>4226</t>
  </si>
  <si>
    <t>Gros oeuvre et charpenterie</t>
  </si>
  <si>
    <t>238130</t>
  </si>
  <si>
    <t>Entrepreneurs en charpenterie</t>
  </si>
  <si>
    <t>4227</t>
  </si>
  <si>
    <t>Montage de charpentes d'acier</t>
  </si>
  <si>
    <t>4229</t>
  </si>
  <si>
    <t>Autres travaux de charpente et travaux connexes</t>
  </si>
  <si>
    <t>4230</t>
  </si>
  <si>
    <t xml:space="preserve">Travaux de finition à l'extérieur </t>
  </si>
  <si>
    <t>Entrepreneurs en travaux de finition de bâtiments</t>
  </si>
  <si>
    <t>4231</t>
  </si>
  <si>
    <t>Travaux de maçonnerie</t>
  </si>
  <si>
    <t>238140</t>
  </si>
  <si>
    <t>Entrepreneurs en travaux de maçonnerie</t>
  </si>
  <si>
    <t>4232</t>
  </si>
  <si>
    <t>Pose et réparation de revêtement</t>
  </si>
  <si>
    <t>238170</t>
  </si>
  <si>
    <t>Entrepreneurs en travaux de parements</t>
  </si>
  <si>
    <t>4233</t>
  </si>
  <si>
    <t>Installation de la verrerie et de la vitrerie</t>
  </si>
  <si>
    <t>238150</t>
  </si>
  <si>
    <t>Entrepreneurs en travaux de vitrage et de vitrerie</t>
  </si>
  <si>
    <t>4234</t>
  </si>
  <si>
    <t>Travaux d'isolation</t>
  </si>
  <si>
    <t>238310</t>
  </si>
  <si>
    <t>Entrepreneurs en installation de cloisons sèches et travaux d'isolation</t>
  </si>
  <si>
    <t>4235</t>
  </si>
  <si>
    <t>Pose de bardeaux pour toits</t>
  </si>
  <si>
    <t>238160</t>
  </si>
  <si>
    <t>Entrepreneurs en travaux de toiture</t>
  </si>
  <si>
    <t>4236</t>
  </si>
  <si>
    <t>Installation de couvertures en tôle ou en tout autre</t>
  </si>
  <si>
    <t>4239</t>
  </si>
  <si>
    <t>Autres travaux de finition à l'extérieur</t>
  </si>
  <si>
    <t>238390</t>
  </si>
  <si>
    <t>Entrepreneurs en autres travaux de finition de bâtiment</t>
  </si>
  <si>
    <t>4240</t>
  </si>
  <si>
    <t xml:space="preserve">Installations mécaniques, plomberie, chauffage et climatisation </t>
  </si>
  <si>
    <t>Entrepreneurs en installation d'équipements techniques</t>
  </si>
  <si>
    <t>4241</t>
  </si>
  <si>
    <t>Plomberie</t>
  </si>
  <si>
    <t>238220</t>
  </si>
  <si>
    <t>Entrepreneurs en plomberie, chauffage et climatisation</t>
  </si>
  <si>
    <t>4242</t>
  </si>
  <si>
    <t>Installation de canalisations de gaz et de systèmes de chauffage à air chaud</t>
  </si>
  <si>
    <t>4243</t>
  </si>
  <si>
    <t>Installation de systèmes de chauffage par fluide caloporteur et de systèmes de climatisation</t>
  </si>
  <si>
    <t>4244</t>
  </si>
  <si>
    <t>Tôlerie et autres travaux sur conduites</t>
  </si>
  <si>
    <t>4250</t>
  </si>
  <si>
    <t xml:space="preserve">Travaux de mécanique spécialisée </t>
  </si>
  <si>
    <t>4251</t>
  </si>
  <si>
    <t>Travaux de tuyauterie industrielle</t>
  </si>
  <si>
    <t>4252</t>
  </si>
  <si>
    <t>Installation d'extincteurs automatiques d'incendie</t>
  </si>
  <si>
    <t>238299</t>
  </si>
  <si>
    <t>Entrepreneurs en installation de tout autre équipement technique</t>
  </si>
  <si>
    <t>4253</t>
  </si>
  <si>
    <t>Installation d'équipements de réfrigération commerciale</t>
  </si>
  <si>
    <t>4254</t>
  </si>
  <si>
    <t>Installation d'équipements de contrôle de l'environnement</t>
  </si>
  <si>
    <t>238210</t>
  </si>
  <si>
    <t>Entrepreneurs en travaux d'électricité et en installation de câblage</t>
  </si>
  <si>
    <t>4255</t>
  </si>
  <si>
    <t>Installation et montage de gros équipements</t>
  </si>
  <si>
    <t>4256</t>
  </si>
  <si>
    <t>Installation d'isolation thermique</t>
  </si>
  <si>
    <t>4259</t>
  </si>
  <si>
    <t>Autres travaux de mécanique spécialisée</t>
  </si>
  <si>
    <t>4260</t>
  </si>
  <si>
    <t xml:space="preserve">Travaux d'électricité </t>
  </si>
  <si>
    <t>4261</t>
  </si>
  <si>
    <t>Travaux d'électricité</t>
  </si>
  <si>
    <t>4270</t>
  </si>
  <si>
    <t xml:space="preserve">Travaux de finition à l'intérieur </t>
  </si>
  <si>
    <t>4271</t>
  </si>
  <si>
    <t>Plâtrage et crépissage</t>
  </si>
  <si>
    <t>4272</t>
  </si>
  <si>
    <t>Travaux de murs secs</t>
  </si>
  <si>
    <t>4273</t>
  </si>
  <si>
    <t>Pose de matériaux acoustiques</t>
  </si>
  <si>
    <t>4274</t>
  </si>
  <si>
    <t>Menuiserie</t>
  </si>
  <si>
    <t>238350</t>
  </si>
  <si>
    <t>Entrepreneurs en petite menuiserie</t>
  </si>
  <si>
    <t>4275</t>
  </si>
  <si>
    <t>Travaux de peinture et de décoration</t>
  </si>
  <si>
    <t>238320</t>
  </si>
  <si>
    <t>Entrepreneurs en peinture et tapisserie</t>
  </si>
  <si>
    <t>4276</t>
  </si>
  <si>
    <t>Pose de terrazzo et de carrelages</t>
  </si>
  <si>
    <t>238340</t>
  </si>
  <si>
    <t>Entrepreneurs en pose de carreaux et coulage de terrazzo</t>
  </si>
  <si>
    <t>4277</t>
  </si>
  <si>
    <t>Pose de revêtements de plancher en bois dur</t>
  </si>
  <si>
    <t>238330</t>
  </si>
  <si>
    <t>Entrepreneurs en travaux de revêtements de sol</t>
  </si>
  <si>
    <t>4278</t>
  </si>
  <si>
    <t>Pose de revêtements de sol souples et de tapis</t>
  </si>
  <si>
    <t>4279</t>
  </si>
  <si>
    <t>Autres travaux de finition à l'intérieur</t>
  </si>
  <si>
    <t>4290</t>
  </si>
  <si>
    <t xml:space="preserve">Autres travaux spécialisés </t>
  </si>
  <si>
    <t>4291</t>
  </si>
  <si>
    <t>Installation d'ascenseurs et d'escaliers mécaniques</t>
  </si>
  <si>
    <t>238291</t>
  </si>
  <si>
    <t>Entrepreneurs en installation d'ascenseurs et d'escaliers roulants</t>
  </si>
  <si>
    <t>4292</t>
  </si>
  <si>
    <t>Installation d'éléments d'ornementation et autre pièces travaillées en métal</t>
  </si>
  <si>
    <t>4293</t>
  </si>
  <si>
    <t>Installation de piscines privées</t>
  </si>
  <si>
    <t>4299</t>
  </si>
  <si>
    <t>Autres travaux spécialisés</t>
  </si>
  <si>
    <t>4400</t>
  </si>
  <si>
    <t>Services relatifs à la construction</t>
  </si>
  <si>
    <t>4410</t>
  </si>
  <si>
    <t xml:space="preserve">Gestion de travaux de construction </t>
  </si>
  <si>
    <t>4411</t>
  </si>
  <si>
    <t>Gestion de travaux de construction</t>
  </si>
  <si>
    <t>4490</t>
  </si>
  <si>
    <t xml:space="preserve">Autres services relatifs à la construction </t>
  </si>
  <si>
    <t>4491</t>
  </si>
  <si>
    <t>Lotissement</t>
  </si>
  <si>
    <t>237210</t>
  </si>
  <si>
    <t>Lotissement de terrains</t>
  </si>
  <si>
    <t>4499</t>
  </si>
  <si>
    <t>Autres services relatifs à la construction</t>
  </si>
  <si>
    <t>4500</t>
  </si>
  <si>
    <t>Transports</t>
  </si>
  <si>
    <t>Activités de soutien au transport</t>
  </si>
  <si>
    <t>4510</t>
  </si>
  <si>
    <t xml:space="preserve">Transports aériens </t>
  </si>
  <si>
    <t>481110</t>
  </si>
  <si>
    <t>Transport aérien régulier</t>
  </si>
  <si>
    <t>4511</t>
  </si>
  <si>
    <t>Transports aériens (vols réguliers ou nolisés)</t>
  </si>
  <si>
    <t>4513</t>
  </si>
  <si>
    <t>Transports aériens spécialisés (vols non réguliers)</t>
  </si>
  <si>
    <t>481215</t>
  </si>
  <si>
    <t>Services de vols spécialisés non réguliers</t>
  </si>
  <si>
    <t>4520</t>
  </si>
  <si>
    <t xml:space="preserve">Services relatifs aux transports aériens </t>
  </si>
  <si>
    <t>Activités de soutien au transport aérien</t>
  </si>
  <si>
    <t>4521</t>
  </si>
  <si>
    <t>Exploitation et entretien d'aéroports</t>
  </si>
  <si>
    <t>488111</t>
  </si>
  <si>
    <t>Contrôle de la circulation aérienne</t>
  </si>
  <si>
    <t>4522</t>
  </si>
  <si>
    <t>Location d'aéronefs</t>
  </si>
  <si>
    <t>532410</t>
  </si>
  <si>
    <t>Location et location bail machines et mat. pour construct., transport, extrac. minière et foresterie</t>
  </si>
  <si>
    <t>4523</t>
  </si>
  <si>
    <t>Entretien d'aéronefs</t>
  </si>
  <si>
    <t>488190</t>
  </si>
  <si>
    <t>Autres activités de soutien au transport aérien</t>
  </si>
  <si>
    <t>4529</t>
  </si>
  <si>
    <t>Autres services relatifs aux transports aériens</t>
  </si>
  <si>
    <t>4530</t>
  </si>
  <si>
    <t xml:space="preserve">Transports et services ferroviaires </t>
  </si>
  <si>
    <t>488210</t>
  </si>
  <si>
    <t>Activités de soutien au transport ferroviaire</t>
  </si>
  <si>
    <t>4531</t>
  </si>
  <si>
    <t>Transports ferroviaires</t>
  </si>
  <si>
    <t>482112</t>
  </si>
  <si>
    <t>Transport ferroviaire de marchandises sur de courtes distances</t>
  </si>
  <si>
    <t>4532</t>
  </si>
  <si>
    <t>Services relatifs aux transports ferroviaires</t>
  </si>
  <si>
    <t>4540</t>
  </si>
  <si>
    <t xml:space="preserve">Transports par eau </t>
  </si>
  <si>
    <t>Activités de soutien au transport par eau</t>
  </si>
  <si>
    <t>4541</t>
  </si>
  <si>
    <t>Transports par eau de voyageurs et de marchandises</t>
  </si>
  <si>
    <t>483115</t>
  </si>
  <si>
    <t>Transport hauturier, côtier et sur les Grands Lacs, sauf le transport par traversier</t>
  </si>
  <si>
    <t>4542</t>
  </si>
  <si>
    <t>Traversiers</t>
  </si>
  <si>
    <t>483214</t>
  </si>
  <si>
    <t>Transport sur les eaux intérieures par traversier</t>
  </si>
  <si>
    <t>4543</t>
  </si>
  <si>
    <t>Remorquage maritime</t>
  </si>
  <si>
    <t>488339</t>
  </si>
  <si>
    <t>Autres services de navigation pour le transport par eau</t>
  </si>
  <si>
    <t>4544</t>
  </si>
  <si>
    <t>Affrètement de navires</t>
  </si>
  <si>
    <t>4549</t>
  </si>
  <si>
    <t>Autres transports par eau</t>
  </si>
  <si>
    <t>483213</t>
  </si>
  <si>
    <t>Transport sur les eaux intérieures (sauf par traversier)</t>
  </si>
  <si>
    <t>4550</t>
  </si>
  <si>
    <t xml:space="preserve">Services relatifs aux transports par eau </t>
  </si>
  <si>
    <t>4551</t>
  </si>
  <si>
    <t>Manutention de cargaisons</t>
  </si>
  <si>
    <t>488320</t>
  </si>
  <si>
    <t>Manutention du fret maritime</t>
  </si>
  <si>
    <t>4552</t>
  </si>
  <si>
    <t>Administration portuaire</t>
  </si>
  <si>
    <t>488310</t>
  </si>
  <si>
    <t>Opérations portuaires</t>
  </si>
  <si>
    <t>4553</t>
  </si>
  <si>
    <t>Sauvetage maritime</t>
  </si>
  <si>
    <t>488331</t>
  </si>
  <si>
    <t>4554</t>
  </si>
  <si>
    <t>Services de pilotage de navires</t>
  </si>
  <si>
    <t>488332</t>
  </si>
  <si>
    <t>Pilotage de navire</t>
  </si>
  <si>
    <t>4555</t>
  </si>
  <si>
    <t>Agences d'expédition maritime</t>
  </si>
  <si>
    <t>488511</t>
  </si>
  <si>
    <t>Agences de transport maritime</t>
  </si>
  <si>
    <t>4559</t>
  </si>
  <si>
    <t>Autres services relatifs aux transports par eau</t>
  </si>
  <si>
    <t>488390</t>
  </si>
  <si>
    <t>Autres activités de soutien au transport par eau</t>
  </si>
  <si>
    <t>4560</t>
  </si>
  <si>
    <t xml:space="preserve">Camionnage </t>
  </si>
  <si>
    <t>Transport par camion de marchandises diverses</t>
  </si>
  <si>
    <t>4561</t>
  </si>
  <si>
    <t>Camionnage de marchandises ordinaires</t>
  </si>
  <si>
    <t>484110</t>
  </si>
  <si>
    <t>Transport local par camion de marchandises diverses</t>
  </si>
  <si>
    <t>4562</t>
  </si>
  <si>
    <t>Déménagement et entreposage de biens usagés</t>
  </si>
  <si>
    <t>484210</t>
  </si>
  <si>
    <t>Déménagement de biens usagés de maison et de bureau</t>
  </si>
  <si>
    <t>4563</t>
  </si>
  <si>
    <t>Camionnage en vrac par camion-citerne</t>
  </si>
  <si>
    <t>484221</t>
  </si>
  <si>
    <t>Transport local par camion de vrac liquide</t>
  </si>
  <si>
    <t>4564</t>
  </si>
  <si>
    <t>Autres camionnages en vrac</t>
  </si>
  <si>
    <t>484222</t>
  </si>
  <si>
    <t>Transport local par camion de vrac solide</t>
  </si>
  <si>
    <t>4565</t>
  </si>
  <si>
    <t>Camionnage de produits forestiers</t>
  </si>
  <si>
    <t>484223</t>
  </si>
  <si>
    <t>Transport local par camion de produits forestiers</t>
  </si>
  <si>
    <t>4569</t>
  </si>
  <si>
    <t>Autres camionnages</t>
  </si>
  <si>
    <t>484229</t>
  </si>
  <si>
    <t>Transport local par camion d'autres marchandises spéciales (sauf les biens usagés)</t>
  </si>
  <si>
    <t>4570</t>
  </si>
  <si>
    <t xml:space="preserve">Transports en commun </t>
  </si>
  <si>
    <t>Transport en commun et transport terrestre de voyageurs</t>
  </si>
  <si>
    <t>4571</t>
  </si>
  <si>
    <t>Transports en commun urbains</t>
  </si>
  <si>
    <t>485110</t>
  </si>
  <si>
    <t>Services urbains de transport en commun</t>
  </si>
  <si>
    <t>4572</t>
  </si>
  <si>
    <t>Transports en commun interurbains et ruraux</t>
  </si>
  <si>
    <t>485210</t>
  </si>
  <si>
    <t>Transport interurbain et rural par autocar</t>
  </si>
  <si>
    <t>4573</t>
  </si>
  <si>
    <t>Transports par autobus scolaires</t>
  </si>
  <si>
    <t>485410</t>
  </si>
  <si>
    <t>Transport scolaire et transport d'employés par autobus</t>
  </si>
  <si>
    <t>4574</t>
  </si>
  <si>
    <t>Transports par autobus nolisés et d'excursion</t>
  </si>
  <si>
    <t>485510</t>
  </si>
  <si>
    <t>Services d'autobus nolisés</t>
  </si>
  <si>
    <t>4575</t>
  </si>
  <si>
    <t>Services de limousine aux aéroports et aux gares</t>
  </si>
  <si>
    <t>485990</t>
  </si>
  <si>
    <t>Autres services de transport en commun et de transport terrestre de voyageurs</t>
  </si>
  <si>
    <t>4580</t>
  </si>
  <si>
    <t>Autres transports</t>
  </si>
  <si>
    <t>4581</t>
  </si>
  <si>
    <t>Taxi</t>
  </si>
  <si>
    <t>485310</t>
  </si>
  <si>
    <t>Services de taxi</t>
  </si>
  <si>
    <t>4589</t>
  </si>
  <si>
    <t>4590</t>
  </si>
  <si>
    <t xml:space="preserve">Autres services relatifs aux transports </t>
  </si>
  <si>
    <t>488990</t>
  </si>
  <si>
    <t>Autres activités de soutien au transport</t>
  </si>
  <si>
    <t>4591</t>
  </si>
  <si>
    <t>Entretien des routes, rues et ponts</t>
  </si>
  <si>
    <t>4592</t>
  </si>
  <si>
    <t>Services aux commerces transitaires</t>
  </si>
  <si>
    <t>488519</t>
  </si>
  <si>
    <t>Autres intermédiaires en transport de marchandises</t>
  </si>
  <si>
    <t>4599</t>
  </si>
  <si>
    <t>Autres services relatifs aux transports</t>
  </si>
  <si>
    <t>4600</t>
  </si>
  <si>
    <t>Transports par pipelines</t>
  </si>
  <si>
    <t>Transport par pipeline</t>
  </si>
  <si>
    <t>4610</t>
  </si>
  <si>
    <t xml:space="preserve">Transports par pipelines </t>
  </si>
  <si>
    <t>Autres services de transport par pipeline</t>
  </si>
  <si>
    <t>4611</t>
  </si>
  <si>
    <t>Transport du gaz naturel par gazoduc</t>
  </si>
  <si>
    <t>486210</t>
  </si>
  <si>
    <t>4612</t>
  </si>
  <si>
    <t>Transport du pétrole brut par oléoduc</t>
  </si>
  <si>
    <t>486110</t>
  </si>
  <si>
    <t>4619</t>
  </si>
  <si>
    <t>Autres transports par pipelines</t>
  </si>
  <si>
    <t>486990</t>
  </si>
  <si>
    <t>Tous les autres services de transport par pipeline</t>
  </si>
  <si>
    <t>4700</t>
  </si>
  <si>
    <t xml:space="preserve">Entreposage </t>
  </si>
  <si>
    <t>Entreposage</t>
  </si>
  <si>
    <t>4710</t>
  </si>
  <si>
    <t xml:space="preserve">Silos à grain   </t>
  </si>
  <si>
    <t>493130</t>
  </si>
  <si>
    <t>Entreposage de produits agricoles</t>
  </si>
  <si>
    <t>Silos à grain</t>
  </si>
  <si>
    <t>4711</t>
  </si>
  <si>
    <t>4790</t>
  </si>
  <si>
    <t xml:space="preserve">Autres services d'entreposage </t>
  </si>
  <si>
    <t>4791</t>
  </si>
  <si>
    <t xml:space="preserve">Entrepôts frigorifiques </t>
  </si>
  <si>
    <t>493120</t>
  </si>
  <si>
    <t>Entreposage frigorifique</t>
  </si>
  <si>
    <t>4799</t>
  </si>
  <si>
    <t>Autres services d'entreposage</t>
  </si>
  <si>
    <t>493190</t>
  </si>
  <si>
    <t>Autres activités d'entreposage</t>
  </si>
  <si>
    <t>4800</t>
  </si>
  <si>
    <t>Télécommunications</t>
  </si>
  <si>
    <t>4810</t>
  </si>
  <si>
    <t>Radiodiffusion et télévision</t>
  </si>
  <si>
    <t>Radiodiffusion et télédiffusion</t>
  </si>
  <si>
    <t>4811</t>
  </si>
  <si>
    <t>Radiodiffusion</t>
  </si>
  <si>
    <t>515110</t>
  </si>
  <si>
    <t>4812</t>
  </si>
  <si>
    <t>Télévision</t>
  </si>
  <si>
    <t>515120</t>
  </si>
  <si>
    <t>Télédiffusion</t>
  </si>
  <si>
    <t>4813</t>
  </si>
  <si>
    <t>Radiodiffusion et télévision intégrées</t>
  </si>
  <si>
    <t>4814</t>
  </si>
  <si>
    <t>Câblovision</t>
  </si>
  <si>
    <t>515210</t>
  </si>
  <si>
    <t>Télévision payante et spécialisée</t>
  </si>
  <si>
    <t>4820</t>
  </si>
  <si>
    <t>Télégraphie et téléphonie</t>
  </si>
  <si>
    <t>4821</t>
  </si>
  <si>
    <t>Réseaux de télégraphie et de câbles</t>
  </si>
  <si>
    <t>Télécommunications (sauf par satellite)</t>
  </si>
  <si>
    <t>4822</t>
  </si>
  <si>
    <t>Réseaux de téléphonie</t>
  </si>
  <si>
    <t>4823</t>
  </si>
  <si>
    <t>Fournisseurs de services Internet et sites portails de recherche</t>
  </si>
  <si>
    <t>Revendeurs de services de télécomunications</t>
  </si>
  <si>
    <t>4824</t>
  </si>
  <si>
    <t>Revendeurs de services de télécommunications</t>
  </si>
  <si>
    <t>4830</t>
  </si>
  <si>
    <t>Autres services de télécommuni</t>
  </si>
  <si>
    <t>4839</t>
  </si>
  <si>
    <t>Autres services de télécommunications</t>
  </si>
  <si>
    <t>4840</t>
  </si>
  <si>
    <t>Services postaux et services de messagers</t>
  </si>
  <si>
    <t>Messageries et services de messagers</t>
  </si>
  <si>
    <t>4841</t>
  </si>
  <si>
    <t>Services postaux</t>
  </si>
  <si>
    <t>491110</t>
  </si>
  <si>
    <t>4842</t>
  </si>
  <si>
    <t>Services de messagers</t>
  </si>
  <si>
    <t>492110</t>
  </si>
  <si>
    <t>Messageries</t>
  </si>
  <si>
    <t>4900</t>
  </si>
  <si>
    <t xml:space="preserve">Autres services publics </t>
  </si>
  <si>
    <t>Services publics</t>
  </si>
  <si>
    <t>Utilités publiques (autres)</t>
  </si>
  <si>
    <t>4910</t>
  </si>
  <si>
    <t xml:space="preserve">Production et distribution d'électricité </t>
  </si>
  <si>
    <t>Production, transport et distribution d'électricité</t>
  </si>
  <si>
    <t>Production électrique</t>
  </si>
  <si>
    <t>4911</t>
  </si>
  <si>
    <t>Production et distribution d'électricité</t>
  </si>
  <si>
    <t>221111</t>
  </si>
  <si>
    <t>Production d'hydroélectricité</t>
  </si>
  <si>
    <t>4920</t>
  </si>
  <si>
    <t xml:space="preserve">Distribution de gaz </t>
  </si>
  <si>
    <t>221210</t>
  </si>
  <si>
    <t>Distribution de gaz naturel</t>
  </si>
  <si>
    <t>4921</t>
  </si>
  <si>
    <t>Distribution de gaz</t>
  </si>
  <si>
    <t>4930</t>
  </si>
  <si>
    <t xml:space="preserve">Distribution d'eau </t>
  </si>
  <si>
    <t>221310</t>
  </si>
  <si>
    <t>Réseaux d'aqueduc et systèmes d'irrigation</t>
  </si>
  <si>
    <t>4931</t>
  </si>
  <si>
    <t>Distribution d'eau</t>
  </si>
  <si>
    <t>4990</t>
  </si>
  <si>
    <t>Réseaux d'aqueduc et d'égout et autres</t>
  </si>
  <si>
    <t>4999</t>
  </si>
  <si>
    <t>Autres services publics</t>
  </si>
  <si>
    <t>562990</t>
  </si>
  <si>
    <t>Tous les autres services de gestion des déchets</t>
  </si>
  <si>
    <t>5000</t>
  </si>
  <si>
    <t>Commerce de gros de produits agricoles</t>
  </si>
  <si>
    <t>Grossistes-marchands de produits agricoles</t>
  </si>
  <si>
    <t>Commerce de gros</t>
  </si>
  <si>
    <t>5010</t>
  </si>
  <si>
    <t xml:space="preserve">Commerce de gros de produits agricoles </t>
  </si>
  <si>
    <t>5011</t>
  </si>
  <si>
    <t>Commerce de gros d'animaux vivants</t>
  </si>
  <si>
    <t>411110</t>
  </si>
  <si>
    <t>Grossistes-marchands d'animaux vivants</t>
  </si>
  <si>
    <t>5012</t>
  </si>
  <si>
    <t>Commerce de gros de grains et céréales</t>
  </si>
  <si>
    <t>411120</t>
  </si>
  <si>
    <t>Grossistes-marchands de graines oléagineuses et de grains céréaliers</t>
  </si>
  <si>
    <t>5013</t>
  </si>
  <si>
    <t>Commerce de gros de peaux et fourrures brutes</t>
  </si>
  <si>
    <t>418990</t>
  </si>
  <si>
    <t>Tous les autres grossistes-marchands</t>
  </si>
  <si>
    <t>5019</t>
  </si>
  <si>
    <t>Autres types de commerce de gros de produits agricoles</t>
  </si>
  <si>
    <t>411190</t>
  </si>
  <si>
    <t>Grossistes-marchands d'autres produits agricoles</t>
  </si>
  <si>
    <t>5100</t>
  </si>
  <si>
    <t>Commerce de gros de produits pétroliers</t>
  </si>
  <si>
    <t>412110</t>
  </si>
  <si>
    <t>Grossistes-marchands de pétrole et de produits pétroliers</t>
  </si>
  <si>
    <t>5110</t>
  </si>
  <si>
    <t xml:space="preserve">Commerce de gros de produits pétroliers </t>
  </si>
  <si>
    <t>5111</t>
  </si>
  <si>
    <t>Commerce de gros de produits du gaz et du gaz propane</t>
  </si>
  <si>
    <t>5112</t>
  </si>
  <si>
    <t>5200</t>
  </si>
  <si>
    <t>Commerce de gros de produits alimentaires, de boissons, de tabac et médicaments et produits toilette</t>
  </si>
  <si>
    <t>Grossistes-marchands de produits alimentaires, de boissons et de tabac</t>
  </si>
  <si>
    <t>5210</t>
  </si>
  <si>
    <t xml:space="preserve">Commerce de gros de produits alimentaires </t>
  </si>
  <si>
    <t>Grossistes-marchands de produits alimentaires</t>
  </si>
  <si>
    <t>5211</t>
  </si>
  <si>
    <t>Commerce de gros de confiseries</t>
  </si>
  <si>
    <t>413190</t>
  </si>
  <si>
    <t>Grossistes-marchands d'autres gammes spécialisées d'aliments</t>
  </si>
  <si>
    <t>5212</t>
  </si>
  <si>
    <t>Commerce de gros de produits alimentaires congelés et emballés</t>
  </si>
  <si>
    <t>5213</t>
  </si>
  <si>
    <t>Commerce de gros de produits laitiers</t>
  </si>
  <si>
    <t>413120</t>
  </si>
  <si>
    <t>Grossistes-marchands de produits laitiers</t>
  </si>
  <si>
    <t>5214</t>
  </si>
  <si>
    <t>Commerce de gros de volaille et d'œufs</t>
  </si>
  <si>
    <t>413130</t>
  </si>
  <si>
    <t>Grossistes-marchands de volailles et d'oeufs</t>
  </si>
  <si>
    <t>5215</t>
  </si>
  <si>
    <t>Commerce de gros de poissons et fruits de mer</t>
  </si>
  <si>
    <t>413140</t>
  </si>
  <si>
    <t>Grossistes-marchands de poissons et de fruits de mer</t>
  </si>
  <si>
    <t>5216</t>
  </si>
  <si>
    <t>Commerce de gros de fruits et légumes frais</t>
  </si>
  <si>
    <t>413150</t>
  </si>
  <si>
    <t>Grossistes-marchands de fruits et légumes frais</t>
  </si>
  <si>
    <t>5217</t>
  </si>
  <si>
    <t>Commerce de gros de viandes et produits de la viande</t>
  </si>
  <si>
    <t>413160</t>
  </si>
  <si>
    <t>Grossistes-marchands de viandes rouges et de produits de viande</t>
  </si>
  <si>
    <t>5218</t>
  </si>
  <si>
    <t>Commerce de gros de produits de boulangerie et de pâtisserie</t>
  </si>
  <si>
    <t>5219</t>
  </si>
  <si>
    <t>Autres types de commerce de gros de produits alimentaires</t>
  </si>
  <si>
    <t>5220</t>
  </si>
  <si>
    <t xml:space="preserve">Commerce de gros de boissons </t>
  </si>
  <si>
    <t>Grossistes-marchands de boissons</t>
  </si>
  <si>
    <t>5221</t>
  </si>
  <si>
    <t>Commerce de gros de boissons non alcooliques</t>
  </si>
  <si>
    <t>413210</t>
  </si>
  <si>
    <t>Grossistes-marchands de boissons non alcoolisées</t>
  </si>
  <si>
    <t>5222</t>
  </si>
  <si>
    <t>Commerce de gros de boissons alcooliques</t>
  </si>
  <si>
    <t>413220</t>
  </si>
  <si>
    <t>Grossistes-marchands de boissons alcoolisées</t>
  </si>
  <si>
    <t>5223</t>
  </si>
  <si>
    <t>Grossistes-distributeurs d'autres produits alimentaires spéciaux</t>
  </si>
  <si>
    <t>5230</t>
  </si>
  <si>
    <t>Commerce de gros de médicaments et de produit de toilette</t>
  </si>
  <si>
    <t>Grossistes-marchands produits pharmaceutiques, articles toilette, cosmétiques et articles divers</t>
  </si>
  <si>
    <t>5231</t>
  </si>
  <si>
    <t>Commerce de gros de médicaments</t>
  </si>
  <si>
    <t>414510</t>
  </si>
  <si>
    <t>Grossistes-marchands de produits et fournitures pharmaceutiques</t>
  </si>
  <si>
    <t>5232</t>
  </si>
  <si>
    <t>Commerce de gros de savons et de produits de toilette</t>
  </si>
  <si>
    <t>414520</t>
  </si>
  <si>
    <t>Grossistes-marchands d'articles de toilette, de cosmétiques et d'articles divers</t>
  </si>
  <si>
    <t>5239</t>
  </si>
  <si>
    <t>Commerce de gros de produits pharmaceutiques divers et d'autres produits de toilette</t>
  </si>
  <si>
    <t>5240</t>
  </si>
  <si>
    <t xml:space="preserve">Commerce de gros de produits du tabac </t>
  </si>
  <si>
    <t>413310</t>
  </si>
  <si>
    <t>Grossistes-marchands de cigarettes et de produits du tabac</t>
  </si>
  <si>
    <t>5241</t>
  </si>
  <si>
    <t>Commerce de gros de produits du tabac</t>
  </si>
  <si>
    <t>5300</t>
  </si>
  <si>
    <t>Commerce de gros de vêtements, chaussures, tissus et mercerie</t>
  </si>
  <si>
    <t>Grossistes-marchands d'articles personnels et ménagers</t>
  </si>
  <si>
    <t>5310</t>
  </si>
  <si>
    <t xml:space="preserve">Commerce de gros de vêtements et de chaussures </t>
  </si>
  <si>
    <t>Grossistes-marchands de textiles, de vêtements et de chaussures</t>
  </si>
  <si>
    <t>5311</t>
  </si>
  <si>
    <t>Commerce de gros de vêtements et d'articles d'habillement pour hommes</t>
  </si>
  <si>
    <t>414110</t>
  </si>
  <si>
    <t>Grossistes-marchands de vêtements et d'accessoires vestimentaires</t>
  </si>
  <si>
    <t>5312</t>
  </si>
  <si>
    <t xml:space="preserve">Commerce de gros de vêtements de dessus pour femmes et enfants </t>
  </si>
  <si>
    <t>5313</t>
  </si>
  <si>
    <t>Commerce de gros de bas, chaussettes, sous-vêtements et articles habillement pour femmes et enfants</t>
  </si>
  <si>
    <t>5314</t>
  </si>
  <si>
    <t>Commerce de gros de chaussures</t>
  </si>
  <si>
    <t>414120</t>
  </si>
  <si>
    <t>Grossistes-marchands de chaussures</t>
  </si>
  <si>
    <t>5315</t>
  </si>
  <si>
    <t>Commerce de gros de fourrures préparées</t>
  </si>
  <si>
    <t>5316</t>
  </si>
  <si>
    <t>Grossistes-distributeurs de vêtements et d'accessoires vestimentaires</t>
  </si>
  <si>
    <t>5319</t>
  </si>
  <si>
    <t>Autres types de commerce de gros de vêtements</t>
  </si>
  <si>
    <t>5320</t>
  </si>
  <si>
    <t xml:space="preserve">Commerce de gros de tissus et mercerie </t>
  </si>
  <si>
    <t>5321</t>
  </si>
  <si>
    <t>Commerce de gros de tissus</t>
  </si>
  <si>
    <t>414130</t>
  </si>
  <si>
    <t>Grossistes-marchands de tissus à la pièce et d'articles de mercerie</t>
  </si>
  <si>
    <t>5329</t>
  </si>
  <si>
    <t>Commerce de gros de mercerie</t>
  </si>
  <si>
    <t>5400</t>
  </si>
  <si>
    <t>Commerce de gros d'articles ménagers</t>
  </si>
  <si>
    <t>5410</t>
  </si>
  <si>
    <t>Commerce de gros d'appareils ménagers électriques et électroniques</t>
  </si>
  <si>
    <t>Grossistes-marchands de matériel de divertissement au foyer et d'appareils ménagers</t>
  </si>
  <si>
    <t>5411</t>
  </si>
  <si>
    <t>Commerce de gros d'appareils ménagers électriques</t>
  </si>
  <si>
    <t>414220</t>
  </si>
  <si>
    <t>Grossistes-marchands d'appareils ménagers</t>
  </si>
  <si>
    <t>5412</t>
  </si>
  <si>
    <t>Commerce de gros d'appareils ménagers électroniques</t>
  </si>
  <si>
    <t>5420</t>
  </si>
  <si>
    <t xml:space="preserve">Commerce de gros de meubles de maison </t>
  </si>
  <si>
    <t>Grossistes-marchands d'accessoires de maison</t>
  </si>
  <si>
    <t>5421</t>
  </si>
  <si>
    <t>Commerce de gros de meubles de maison</t>
  </si>
  <si>
    <t>414390</t>
  </si>
  <si>
    <t>Grossistes-marchands d'autres accessoires de maison</t>
  </si>
  <si>
    <t>5430</t>
  </si>
  <si>
    <t xml:space="preserve">Commerce de gros d'accessoires ménagers d'ameublement </t>
  </si>
  <si>
    <t>5431</t>
  </si>
  <si>
    <t>Commerce de gros de porcelaine, verrerie, faïence et poterie</t>
  </si>
  <si>
    <t>414310</t>
  </si>
  <si>
    <t>Grossistes-marchands de porcelaine, verrerie, faïence et poterie</t>
  </si>
  <si>
    <t>5432</t>
  </si>
  <si>
    <t>Commerce de gros de revêtements de sol</t>
  </si>
  <si>
    <t>414320</t>
  </si>
  <si>
    <t>Grossistes-marchands de revêtements de sol</t>
  </si>
  <si>
    <t>5433</t>
  </si>
  <si>
    <t>Commerce de gros de linge de maison, tentures et autres articles de textiles</t>
  </si>
  <si>
    <t>414330</t>
  </si>
  <si>
    <t>Grossistes-marchands de linge de maison, de tentures et d'autres textiles domestiques</t>
  </si>
  <si>
    <t>5439</t>
  </si>
  <si>
    <t>Autres types de commerce de gros d'articles ménagers</t>
  </si>
  <si>
    <t>5500</t>
  </si>
  <si>
    <t>Commerce de gros de véhicules automobiles, pièces et accessoires</t>
  </si>
  <si>
    <t>Grossistes-marchands véhicules automobiles, et de pièces et d'accessoires de véhicules automobiles</t>
  </si>
  <si>
    <t>5510</t>
  </si>
  <si>
    <t xml:space="preserve">Commerce de gros de véhicules automobiles </t>
  </si>
  <si>
    <t>Grossistes-marchands de véhicules automobiles</t>
  </si>
  <si>
    <t>5511</t>
  </si>
  <si>
    <t>Commerce de gros d'automobiles</t>
  </si>
  <si>
    <t>415110</t>
  </si>
  <si>
    <t>Grossistes-marchands d'automobiles et de camions légers neufs et d'occasion</t>
  </si>
  <si>
    <t>5512</t>
  </si>
  <si>
    <t>Commerce de gros de camions et d'autobus</t>
  </si>
  <si>
    <t>415120</t>
  </si>
  <si>
    <t>Grossistes-marchands de camions, de tracteurs routiers et d'autobus</t>
  </si>
  <si>
    <t>5513</t>
  </si>
  <si>
    <t>Agents et courtiers (véhicules automobiles et pièces)</t>
  </si>
  <si>
    <t>415190</t>
  </si>
  <si>
    <t>Grossistes-marchands de véhicules de plaisance et d'autres véhicules automobiles</t>
  </si>
  <si>
    <t>5519</t>
  </si>
  <si>
    <t>Autres types de commerce de gros de véhicules automobiles</t>
  </si>
  <si>
    <t>5520</t>
  </si>
  <si>
    <t xml:space="preserve">Commerce de gros de pièces et accessoires de véhicules automobiles </t>
  </si>
  <si>
    <t>415210</t>
  </si>
  <si>
    <t>Grossistes-marchands de pneus</t>
  </si>
  <si>
    <t>5521</t>
  </si>
  <si>
    <t>Commerce de gros de pneus et chambres à air</t>
  </si>
  <si>
    <t>5529</t>
  </si>
  <si>
    <t>Autres types de commerce de gros de pièces et accessoires pour véhicules automobiles</t>
  </si>
  <si>
    <t>415290</t>
  </si>
  <si>
    <t>Grossistes-marchands d'autres pièces et d'accessoires neufs pour véhicules automobiles</t>
  </si>
  <si>
    <t>5600</t>
  </si>
  <si>
    <t>Commerce de gros d'articles de quincaillerie, de plomberie et chauffage et de matériaux construction</t>
  </si>
  <si>
    <t>Grossistes-marchands de matériaux et fournitures de construction</t>
  </si>
  <si>
    <t>5610</t>
  </si>
  <si>
    <t xml:space="preserve">Commerce de gros de métaux et produits en métal </t>
  </si>
  <si>
    <t>416210</t>
  </si>
  <si>
    <t>Grossistes-distributeurs de métaux et de produits métalliques</t>
  </si>
  <si>
    <t>5611</t>
  </si>
  <si>
    <t>Commerce de gros de formes primaires et profilés de charpente en fer et en acier</t>
  </si>
  <si>
    <t>5612</t>
  </si>
  <si>
    <t>Autres types de commerce de gros de produits en fer et en acier</t>
  </si>
  <si>
    <t>416390</t>
  </si>
  <si>
    <t>Grossistes-marchands de gammes spécialisées de fournitures de construction</t>
  </si>
  <si>
    <t>5613</t>
  </si>
  <si>
    <t>Commerce de gros de métaux non ferreux et produits en métaux non ferreux</t>
  </si>
  <si>
    <t>5619</t>
  </si>
  <si>
    <t>Commerce de gros d'une combinaison de métaux et produits en métal</t>
  </si>
  <si>
    <t>5620</t>
  </si>
  <si>
    <t>Commerce de gros d'articles quincaillerie et matériel et fournitures plomberie, chauff.et climatisa.</t>
  </si>
  <si>
    <t>Grossistes-marchands bois oeuvre, menuiseries préfabr., articles quincail. et autres fournit. const.</t>
  </si>
  <si>
    <t>5621</t>
  </si>
  <si>
    <t>Commerce de gros d'articles de quincaillerie</t>
  </si>
  <si>
    <t>416330</t>
  </si>
  <si>
    <t>Grossistes-marchands d'articles de quincaillerie</t>
  </si>
  <si>
    <t>5622</t>
  </si>
  <si>
    <t>Commerce de gros de matériel et fournitures de plomberie, de chauffage et de climatisation</t>
  </si>
  <si>
    <t>416120</t>
  </si>
  <si>
    <t>Grossistes-marchands de matériel et fournitures de plomberie, de chauffage et de climatisation</t>
  </si>
  <si>
    <t>5630</t>
  </si>
  <si>
    <t xml:space="preserve">Commerce de gros de bois et matériaux de construction </t>
  </si>
  <si>
    <t>5631</t>
  </si>
  <si>
    <t>Commerce de gros de bois de construction, de contre-plaqués et de bois travaillé</t>
  </si>
  <si>
    <t>416320</t>
  </si>
  <si>
    <t>Grossistes-marchands de bois d'oeuvre, de contreplaqués et de menuiseries préfabriquées</t>
  </si>
  <si>
    <t>5632</t>
  </si>
  <si>
    <t>Commerce de gros de peintures, vitres et papiers peints</t>
  </si>
  <si>
    <t>416340</t>
  </si>
  <si>
    <t>Grossistes-marchands de peintures, de vitres et de papier peint</t>
  </si>
  <si>
    <t>5633</t>
  </si>
  <si>
    <t>Commerce de gros de bois de sciage</t>
  </si>
  <si>
    <t>416310</t>
  </si>
  <si>
    <t>Grossistes-marchands d'une gamme générale de fournitures de construction</t>
  </si>
  <si>
    <t>5639</t>
  </si>
  <si>
    <t>Autres types de commerce de gros de matériaux de construction</t>
  </si>
  <si>
    <t>5700</t>
  </si>
  <si>
    <t>Commerce de gros de machines, matériel et fournitures agricoles</t>
  </si>
  <si>
    <t>Grossistes-marchands de machines, de matériel et de fournitures</t>
  </si>
  <si>
    <t>5710</t>
  </si>
  <si>
    <t xml:space="preserve">Commerce de gros de machines, matériel et fournitures agricoles </t>
  </si>
  <si>
    <t>417110</t>
  </si>
  <si>
    <t>Grossistes-marchands machines et matériel pour l'agriculture, entretien pelouses et jardinage</t>
  </si>
  <si>
    <t>5711</t>
  </si>
  <si>
    <t>5712</t>
  </si>
  <si>
    <t>Grossistes-distributeurs de machines et de matériel l'agriculture, l'entretien pelouses et jardinage</t>
  </si>
  <si>
    <t>5720</t>
  </si>
  <si>
    <t>Commerce de gros machines, matériel et fournitures const., exploit. forestière et extraction minière</t>
  </si>
  <si>
    <t>Grossistes-marchands machines, mat. et fournit. Ind. et construct., forest. et extract. Minière</t>
  </si>
  <si>
    <t>5721</t>
  </si>
  <si>
    <t>Commerce de gros de machines, matériel et fournitures construction et exploitation forestière</t>
  </si>
  <si>
    <t>417210</t>
  </si>
  <si>
    <t>Grossistes-marchands de machines, matériel et fournitures pour la construction et la foresterie</t>
  </si>
  <si>
    <t>5722</t>
  </si>
  <si>
    <t>Commerce de gros de machines, matériel et fournitures pour l'extraction minière</t>
  </si>
  <si>
    <t>417220</t>
  </si>
  <si>
    <t>Grossistes-marchands machines, matériel et fournitures pour extraction minière, pétrolière et gazièr</t>
  </si>
  <si>
    <t>5730</t>
  </si>
  <si>
    <t xml:space="preserve">Commerce de gros de machines, matériel et fournitures pour l'industrie </t>
  </si>
  <si>
    <t>5731</t>
  </si>
  <si>
    <t>Commerce de gros de machines, matériel et fournitures pour l'industrie</t>
  </si>
  <si>
    <t>417230</t>
  </si>
  <si>
    <t>Grossistes-marchands de machines, matériel et fournitures industriels</t>
  </si>
  <si>
    <t>5740</t>
  </si>
  <si>
    <t xml:space="preserve">Commerce de gros de machines, matériel et fournitures électriques et électroniques </t>
  </si>
  <si>
    <t>Grossistes-marchands matériel et fournitures électriques, plomberie, chauffage et dclimatisation</t>
  </si>
  <si>
    <t>5741</t>
  </si>
  <si>
    <t>Commerce de gros de fournitures canalisations électriques et matériaux installations électriques</t>
  </si>
  <si>
    <t>416110</t>
  </si>
  <si>
    <t>Grossistes-marchands de fils et de fournitures électriques de construction</t>
  </si>
  <si>
    <t>5742</t>
  </si>
  <si>
    <t>Commerce de gros de machines, matériel et fournitures de production et de transmission d'électricité</t>
  </si>
  <si>
    <t>5743</t>
  </si>
  <si>
    <t>Commerce de gros de machines, matériel et fournitures électroniques (sauf ordi. et matériel connexe)</t>
  </si>
  <si>
    <t>417320</t>
  </si>
  <si>
    <t>Grossistes-marchands composants électro., et matériel et fournitures navigation et comm.</t>
  </si>
  <si>
    <t>5744</t>
  </si>
  <si>
    <t>Commerce de gros d'ordinateurs, machines et matériel connexes et progiciels</t>
  </si>
  <si>
    <t>417310</t>
  </si>
  <si>
    <t>Grossistes-marchands d'ordinateurs, de périphériques et de logiciels de série</t>
  </si>
  <si>
    <t>5749</t>
  </si>
  <si>
    <t>Autres types de commerce de machines, matériel et fournitures électriques et électroniques</t>
  </si>
  <si>
    <t>5790</t>
  </si>
  <si>
    <t xml:space="preserve">Autres types de commerce de gros de machines, matériel et fournitures </t>
  </si>
  <si>
    <t>Grossistes-marchands d'autres machines, matériel et fournitures</t>
  </si>
  <si>
    <t>5791</t>
  </si>
  <si>
    <t>Commerce de gros de machines, matériel et fournitures de bureau et de magasin</t>
  </si>
  <si>
    <t>417910</t>
  </si>
  <si>
    <t>Grossistes-marchands de machines et matériel de bureau et de magasin</t>
  </si>
  <si>
    <t>5792</t>
  </si>
  <si>
    <t>Commerce de gros de machines, matériel et fournitures pour les entreprises de services</t>
  </si>
  <si>
    <t>417920</t>
  </si>
  <si>
    <t>Grossistes-marchands de machines, matériel et fournitures d'établissements de service</t>
  </si>
  <si>
    <t>5793</t>
  </si>
  <si>
    <t xml:space="preserve">Commerce de gros de machines, matériel et fournitures d'usage professionnel </t>
  </si>
  <si>
    <t>417930</t>
  </si>
  <si>
    <t>Grossistes-marchands de machines, matériel et fournitures d'usage professionnel</t>
  </si>
  <si>
    <t>5794</t>
  </si>
  <si>
    <t>Grossistes-distributeurs de machines, matériel et fournitures d'usage professionnel</t>
  </si>
  <si>
    <t>5799</t>
  </si>
  <si>
    <t>Autres types de commerce de gros de machines, matériel et fournitures</t>
  </si>
  <si>
    <t>417990</t>
  </si>
  <si>
    <t>Grossistes-marchands de tous les autres machines, matériel et fournitures</t>
  </si>
  <si>
    <t>5900</t>
  </si>
  <si>
    <t>Commerce de gros de produits divers</t>
  </si>
  <si>
    <t>Grossistes-marchands de produits divers</t>
  </si>
  <si>
    <t>5910</t>
  </si>
  <si>
    <t>Commerce de gros de rebuts et de matériaux de récupération</t>
  </si>
  <si>
    <t>Grossistes-marchands de matières recyclables</t>
  </si>
  <si>
    <t>5911</t>
  </si>
  <si>
    <t>Récupération et démontage d'automobiles</t>
  </si>
  <si>
    <t>415310</t>
  </si>
  <si>
    <t>Grossistes-marchands de pièces et d'accessoires d'occasion pour véhicules automobiles</t>
  </si>
  <si>
    <t>5912</t>
  </si>
  <si>
    <t>Commerce de gros de ferraille et vieux métaux</t>
  </si>
  <si>
    <t>418190</t>
  </si>
  <si>
    <t>Grossistes-marchands d'autres matières recyclables</t>
  </si>
  <si>
    <t>5913</t>
  </si>
  <si>
    <t>Commerce de gros de vieux papiers et vieux cartons</t>
  </si>
  <si>
    <t>5919</t>
  </si>
  <si>
    <t>Autres types de commerce de gros de rebuts et matériaux de récupération</t>
  </si>
  <si>
    <t>5920</t>
  </si>
  <si>
    <t xml:space="preserve">Commerce de gros de papier et produits du papier </t>
  </si>
  <si>
    <t>Grossistes-marchands de papier et produits du papier et de produits en plastique jetables</t>
  </si>
  <si>
    <t>5921</t>
  </si>
  <si>
    <t>Commerce de gros de papier journal</t>
  </si>
  <si>
    <t>418220</t>
  </si>
  <si>
    <t>Grossistes-marchands d'autres papiers et de produits en plastique jetables</t>
  </si>
  <si>
    <t>5922</t>
  </si>
  <si>
    <t>Commerce de gros de papeterie et fournitures de bureau</t>
  </si>
  <si>
    <t>418210</t>
  </si>
  <si>
    <t>Grossistes-marchands de papeterie et de fournitures de bureau</t>
  </si>
  <si>
    <t>5923</t>
  </si>
  <si>
    <t>Commerce de gros de papiers fins</t>
  </si>
  <si>
    <t>5929</t>
  </si>
  <si>
    <t>Autres types de commerce de gros de papier et produits du papier</t>
  </si>
  <si>
    <t>5930</t>
  </si>
  <si>
    <t xml:space="preserve">Commerce de gros de produits chimiques et autres fournitures agricoles </t>
  </si>
  <si>
    <t>Grossistes-marchands de fournitures agricoles</t>
  </si>
  <si>
    <t>5931</t>
  </si>
  <si>
    <t>Commerce de gros d'aliments pour animaux</t>
  </si>
  <si>
    <t>418310</t>
  </si>
  <si>
    <t>Grossistes-marchands d'aliments pour animaux d'élevage</t>
  </si>
  <si>
    <t>5932</t>
  </si>
  <si>
    <t>Commerce de gros de semences</t>
  </si>
  <si>
    <t>418320</t>
  </si>
  <si>
    <t>Grossistes-marchands de semences</t>
  </si>
  <si>
    <t>5939</t>
  </si>
  <si>
    <t>Commerce de gros de produits chimiques et autres fournitures agricoles</t>
  </si>
  <si>
    <t>418390</t>
  </si>
  <si>
    <t>Grossistes-marchands de produits chimiques et autres fournitures agricoles</t>
  </si>
  <si>
    <t>5940</t>
  </si>
  <si>
    <t xml:space="preserve">Commerce de gros de jouets et d'articles de loisir et de sport </t>
  </si>
  <si>
    <t>414460</t>
  </si>
  <si>
    <t>Grossistes-marchands de jouets et d'articles de passe-temps</t>
  </si>
  <si>
    <t>5941</t>
  </si>
  <si>
    <t>Commerce de gros de jouets, d'articles de fantaisie et de pièces pour feux d'artifice</t>
  </si>
  <si>
    <t>5942</t>
  </si>
  <si>
    <t>Commerce de gros d'articles de loisir et de sport</t>
  </si>
  <si>
    <t>414470</t>
  </si>
  <si>
    <t>Grossistes-marchands d'articles de divertissement et de sport</t>
  </si>
  <si>
    <t>5950</t>
  </si>
  <si>
    <t>Commerce de gros de matériel et fournitures photographiques et d'instruments et accessoires musique</t>
  </si>
  <si>
    <t>414430</t>
  </si>
  <si>
    <t>Grossistes-marchands de matériel et fournitures photographiques</t>
  </si>
  <si>
    <t>5951</t>
  </si>
  <si>
    <t>Commerce de gros de matériel et fournitures photographiques</t>
  </si>
  <si>
    <t>5952</t>
  </si>
  <si>
    <t>Commerce de gros d'instruments et accessoires de musique</t>
  </si>
  <si>
    <t>414440</t>
  </si>
  <si>
    <t>Grossistes-marchands d'enregistrements sonores</t>
  </si>
  <si>
    <t>5960</t>
  </si>
  <si>
    <t xml:space="preserve">Commerce de gros de bijoux et de montres </t>
  </si>
  <si>
    <t>414410</t>
  </si>
  <si>
    <t>Grossistes-marchands de bijoux et de montres</t>
  </si>
  <si>
    <t>5961</t>
  </si>
  <si>
    <t>Commerce de gros de bijoux et de montres</t>
  </si>
  <si>
    <t>5970</t>
  </si>
  <si>
    <t xml:space="preserve">Commerce de gros de produits chimiques d'usage ménager et industriel </t>
  </si>
  <si>
    <t>418410</t>
  </si>
  <si>
    <t>Grossistes-marchands de produits chimiques et de produits analogues (sauf agricoles)</t>
  </si>
  <si>
    <t>5971</t>
  </si>
  <si>
    <t>Commerce de gros de produits chimiques d'usage ménager et industriel</t>
  </si>
  <si>
    <t>5980</t>
  </si>
  <si>
    <t xml:space="preserve">Commerce de gros de marchandises diverses </t>
  </si>
  <si>
    <t>5981</t>
  </si>
  <si>
    <t>Commerce de gros de marchandises diverses</t>
  </si>
  <si>
    <t>5990</t>
  </si>
  <si>
    <t xml:space="preserve">Autres types de commerce de gros </t>
  </si>
  <si>
    <t>Grossistes-marchands d'autres produits divers</t>
  </si>
  <si>
    <t>5991</t>
  </si>
  <si>
    <t>Commerce de gros de livres, périodiques et journaux</t>
  </si>
  <si>
    <t>414420</t>
  </si>
  <si>
    <t>Grossistes-marchands de livres, de périodiques et de journaux</t>
  </si>
  <si>
    <t>5992</t>
  </si>
  <si>
    <t>Commerce de gros de marchandise d'occasion (sauf machines et véhicules automobiles)</t>
  </si>
  <si>
    <t>418930</t>
  </si>
  <si>
    <t>Grossistes-marchands de marchandises d'occasion (sauf les machines et les produits automobiles)</t>
  </si>
  <si>
    <t>5993</t>
  </si>
  <si>
    <t>Commerce de gros de produits forestiers</t>
  </si>
  <si>
    <t>418910</t>
  </si>
  <si>
    <t>Grossistes-marchands de billes et de copeaux de bois</t>
  </si>
  <si>
    <t>5999</t>
  </si>
  <si>
    <t>Autres types de commerce de gros</t>
  </si>
  <si>
    <t>6000</t>
  </si>
  <si>
    <t>Commerce de détail d'aliments, de boissons, du tabac et détail de médicaments</t>
  </si>
  <si>
    <t>Magasins d'alimentation</t>
  </si>
  <si>
    <t>Commerce de détails</t>
  </si>
  <si>
    <t>6010</t>
  </si>
  <si>
    <t xml:space="preserve">Magasins d'alimentation </t>
  </si>
  <si>
    <t>Épiceries</t>
  </si>
  <si>
    <t>6011</t>
  </si>
  <si>
    <t>Supermarchés d'alimentation</t>
  </si>
  <si>
    <t>445110</t>
  </si>
  <si>
    <t>Supermarchés et autres épiceries (sauf les dépanneurs)</t>
  </si>
  <si>
    <t>6012</t>
  </si>
  <si>
    <t>Épiceries (sauf supermarchés)</t>
  </si>
  <si>
    <t>6013</t>
  </si>
  <si>
    <t>Boulangeries et pâtisseries</t>
  </si>
  <si>
    <t>445291</t>
  </si>
  <si>
    <t>Boulangeries-pâtisseries</t>
  </si>
  <si>
    <t>6014</t>
  </si>
  <si>
    <t>Confiseries et magasins de noix</t>
  </si>
  <si>
    <t>445292</t>
  </si>
  <si>
    <t>6015</t>
  </si>
  <si>
    <t>Magasins de fruits et légumes</t>
  </si>
  <si>
    <t>445230</t>
  </si>
  <si>
    <t>Marchés de fruits et de légumes</t>
  </si>
  <si>
    <t>6016</t>
  </si>
  <si>
    <t>Marchés de viande</t>
  </si>
  <si>
    <t>445210</t>
  </si>
  <si>
    <t>Boucheries</t>
  </si>
  <si>
    <t>6019</t>
  </si>
  <si>
    <t>Autres magasins d'alimentation spécialisés n.c.a.</t>
  </si>
  <si>
    <t>445299</t>
  </si>
  <si>
    <t>Tous les autres magasins d'alimentation spécialisés</t>
  </si>
  <si>
    <t>6020</t>
  </si>
  <si>
    <t xml:space="preserve">Commerce de détail de boissons alcooliques </t>
  </si>
  <si>
    <t>445310</t>
  </si>
  <si>
    <t>Magasins de bière, de vin et de spiritueux</t>
  </si>
  <si>
    <t>6021</t>
  </si>
  <si>
    <t>Commerce de détail de boissons alcooliques</t>
  </si>
  <si>
    <t>6030</t>
  </si>
  <si>
    <t xml:space="preserve">Commerce de détail de médicaments sur ordonnance et de médicaments brevetés </t>
  </si>
  <si>
    <t>Magasins de produits de santé et de soins personnels</t>
  </si>
  <si>
    <t>6031</t>
  </si>
  <si>
    <t>Pharmacies (type clinique et traditionnel)</t>
  </si>
  <si>
    <t>446110</t>
  </si>
  <si>
    <t>Pharmacies</t>
  </si>
  <si>
    <t>6032</t>
  </si>
  <si>
    <t>Pharmacies (type commercial)</t>
  </si>
  <si>
    <t>6033</t>
  </si>
  <si>
    <t>Commerce de détail de médicaments brevetés et de produits de toilette</t>
  </si>
  <si>
    <t>6040</t>
  </si>
  <si>
    <t xml:space="preserve">Commerce de détail de produits du tabac et de journaux </t>
  </si>
  <si>
    <t>Autres magasins de détail divers</t>
  </si>
  <si>
    <t>6041</t>
  </si>
  <si>
    <t>Commerce de détail de produits du tabac et de journaux</t>
  </si>
  <si>
    <t>453999</t>
  </si>
  <si>
    <t>Tous les autres magasins de détail divers (sauf magasins matériel pour fabrication bière et vin)</t>
  </si>
  <si>
    <t>6100</t>
  </si>
  <si>
    <t>Commerce de détail de chaussures, vêtements, tissus et filés</t>
  </si>
  <si>
    <t>Magasins de vêtements et d'accessoires vestimentaires</t>
  </si>
  <si>
    <t>6110</t>
  </si>
  <si>
    <t xml:space="preserve">Commerce de détail de chaussures </t>
  </si>
  <si>
    <t>448210</t>
  </si>
  <si>
    <t>Magasins de chaussures</t>
  </si>
  <si>
    <t>6111</t>
  </si>
  <si>
    <t>Commerce de détail de chaussures pour femmes</t>
  </si>
  <si>
    <t>6112</t>
  </si>
  <si>
    <t>Commerce de détail de chaussures pour hommes</t>
  </si>
  <si>
    <t>6113</t>
  </si>
  <si>
    <t>Commerce de détail de chaussures pour enfants</t>
  </si>
  <si>
    <t>6114</t>
  </si>
  <si>
    <t>Commerce de détail de chaussures pour la famille</t>
  </si>
  <si>
    <t>6120</t>
  </si>
  <si>
    <t xml:space="preserve">Commerce de détail de vêtements pour hommes </t>
  </si>
  <si>
    <t>Magasins de vêtements</t>
  </si>
  <si>
    <t>6121</t>
  </si>
  <si>
    <t>Commerce de détail de vêtements pour hommes</t>
  </si>
  <si>
    <t>448110</t>
  </si>
  <si>
    <t>Magasins de vêtements pour hommes</t>
  </si>
  <si>
    <t>6130</t>
  </si>
  <si>
    <t xml:space="preserve">Commerce de détail de vêtements pour femmes </t>
  </si>
  <si>
    <t>6131</t>
  </si>
  <si>
    <t>Commerce de détail de vêtements pour femmes</t>
  </si>
  <si>
    <t>448120</t>
  </si>
  <si>
    <t>Magasins de vêtements pour femmes</t>
  </si>
  <si>
    <t>6132</t>
  </si>
  <si>
    <t>Commerce de détail de lingerie pour femmes</t>
  </si>
  <si>
    <t>6140</t>
  </si>
  <si>
    <t xml:space="preserve">Autres types de commerce de détail de vêtements </t>
  </si>
  <si>
    <t>6141</t>
  </si>
  <si>
    <t>Commerce de détail de vêtements pour enfants</t>
  </si>
  <si>
    <t>448130</t>
  </si>
  <si>
    <t>Magasins de vêtements pour enfants et bébés</t>
  </si>
  <si>
    <t>6142</t>
  </si>
  <si>
    <t>Commerce de détail de vêtements de fourrure</t>
  </si>
  <si>
    <t>448191</t>
  </si>
  <si>
    <t>Magasins de fourrures</t>
  </si>
  <si>
    <t>6143</t>
  </si>
  <si>
    <t>Autres types de commerce de détail de vêtements</t>
  </si>
  <si>
    <t>448199</t>
  </si>
  <si>
    <t>Magasins de tous les autres types de vêtements</t>
  </si>
  <si>
    <t>6150</t>
  </si>
  <si>
    <t xml:space="preserve">Commerce de détail de tissus et de filés </t>
  </si>
  <si>
    <t>Magasins d'articles de sport et de passe-temps et d'instruments de musique</t>
  </si>
  <si>
    <t>6151</t>
  </si>
  <si>
    <t>Commerce de détail de tissus et de filés</t>
  </si>
  <si>
    <t>451130</t>
  </si>
  <si>
    <t>Magasins d'articles de couture et de travaux d'aiguille et de tissus à la pièce</t>
  </si>
  <si>
    <t>6200</t>
  </si>
  <si>
    <t>Commerce de détail de meubles, appareils et accessoires d'ameublement de maison</t>
  </si>
  <si>
    <t>Magasins de meubles et d'accessoires de maison</t>
  </si>
  <si>
    <t>6210</t>
  </si>
  <si>
    <t xml:space="preserve">Commerce de détail de meubles de maison </t>
  </si>
  <si>
    <t>442110</t>
  </si>
  <si>
    <t>Magasins de meubles</t>
  </si>
  <si>
    <t>6211</t>
  </si>
  <si>
    <t>Commerce de détail de meubles de maison (avec appareils ménagers et accessoires d'ameublement),</t>
  </si>
  <si>
    <t>6212</t>
  </si>
  <si>
    <t>Commerce de détail de meubles de maison (sans appareils ménagers ni accessoires d'ameublement)</t>
  </si>
  <si>
    <t>6213</t>
  </si>
  <si>
    <t>Ateliers de réparation de meubles</t>
  </si>
  <si>
    <t>811420</t>
  </si>
  <si>
    <t>Rembourrage et réparation de meubles</t>
  </si>
  <si>
    <t>Réparation et entretien</t>
  </si>
  <si>
    <t>6220</t>
  </si>
  <si>
    <t xml:space="preserve">Commerce de détail d'appareils ménagers, de téléviseurs, postes radio et appareils stéréophoniques </t>
  </si>
  <si>
    <t>443143</t>
  </si>
  <si>
    <t>Magasins d'appareils ménagers, de téléviseurs et d'autres appareils électroniques</t>
  </si>
  <si>
    <t>6221</t>
  </si>
  <si>
    <t>Commerce de détail d'appareils ménagers, de téléviseurs, postes radio et appareils stéréophoniques</t>
  </si>
  <si>
    <t>6222</t>
  </si>
  <si>
    <t>Commerce de détail de téléviseurs, de postes de radio et d'appareils stéréophoniques</t>
  </si>
  <si>
    <t>6223</t>
  </si>
  <si>
    <t>Ateliers de réparation d'appareils ménagers</t>
  </si>
  <si>
    <t>811210</t>
  </si>
  <si>
    <t>Réparation et entretien de matériel électronique et de matériel de précision</t>
  </si>
  <si>
    <t>6224</t>
  </si>
  <si>
    <t>Ateliers de réparation de téléviseurs, de postes de radio et d'appareils stéréophoniques</t>
  </si>
  <si>
    <t>6225</t>
  </si>
  <si>
    <t>6226</t>
  </si>
  <si>
    <t>Magasins d'ordinateurs et de logiciels</t>
  </si>
  <si>
    <t>6230</t>
  </si>
  <si>
    <t xml:space="preserve">Commerce de détail d'accessoires d'ameublement </t>
  </si>
  <si>
    <t>Magasins d'accessoires de maison</t>
  </si>
  <si>
    <t>6231</t>
  </si>
  <si>
    <t>Commerce de détail de revêtements de sol</t>
  </si>
  <si>
    <t>442210</t>
  </si>
  <si>
    <t>Magasins de revêtements de sol</t>
  </si>
  <si>
    <t>6232</t>
  </si>
  <si>
    <t>Commerce de détail de tentures</t>
  </si>
  <si>
    <t>442291</t>
  </si>
  <si>
    <t>Magasins de garnitures de fenêtres</t>
  </si>
  <si>
    <t>6233</t>
  </si>
  <si>
    <t xml:space="preserve">Commerce de détail d'appareils d'éclairage électrique </t>
  </si>
  <si>
    <t>442298</t>
  </si>
  <si>
    <t>Magasins de tous les autres accessoires de maison</t>
  </si>
  <si>
    <t>6239</t>
  </si>
  <si>
    <t>Autres types de commerce de détail d'accessoires d'ameublement</t>
  </si>
  <si>
    <t>6300</t>
  </si>
  <si>
    <t>Commerce de détail de véhicules automobiles, de pièces et d'accessoires</t>
  </si>
  <si>
    <t>Concessionnaires de véhicules et de pièces automobiles</t>
  </si>
  <si>
    <t>6310</t>
  </si>
  <si>
    <t xml:space="preserve">Concessionnaires d'automobiles </t>
  </si>
  <si>
    <t>Concessionnaires d'automobiles</t>
  </si>
  <si>
    <t>6311</t>
  </si>
  <si>
    <t>Concessionnaires d'automobiles neuves</t>
  </si>
  <si>
    <t>441110</t>
  </si>
  <si>
    <t>6312</t>
  </si>
  <si>
    <t>Concessionnaires d'automobiles d'occasion</t>
  </si>
  <si>
    <t>441120</t>
  </si>
  <si>
    <t>6320</t>
  </si>
  <si>
    <t xml:space="preserve">Commerce de détail de véhicules de loisir </t>
  </si>
  <si>
    <t>Autres concessionnaires de véhicules automobiles</t>
  </si>
  <si>
    <t>6321</t>
  </si>
  <si>
    <t>Commerce de détail de roulottes motorisées et de roulottes de voyage</t>
  </si>
  <si>
    <t>441210</t>
  </si>
  <si>
    <t>Concessionnaires de véhicules récréatifs</t>
  </si>
  <si>
    <t>6322</t>
  </si>
  <si>
    <t>Commerce de détail de bateaux, de moteurs hors-bord et d'accessoires pour bateaux</t>
  </si>
  <si>
    <t>441220</t>
  </si>
  <si>
    <t>Concessionnaires de motocyclettes, de bateaux et d'autres véhicules automobiles</t>
  </si>
  <si>
    <t>6323</t>
  </si>
  <si>
    <t>Commerce de détail de motocyclettes et de motoneiges</t>
  </si>
  <si>
    <t>6329</t>
  </si>
  <si>
    <t>Autres types de commerce de détail de véhicules de loisir</t>
  </si>
  <si>
    <t>6330</t>
  </si>
  <si>
    <t xml:space="preserve">Stations-service </t>
  </si>
  <si>
    <t>Stations-service</t>
  </si>
  <si>
    <t>Garages et station-services</t>
  </si>
  <si>
    <t>6331</t>
  </si>
  <si>
    <t>447110</t>
  </si>
  <si>
    <t>Stations-service avec dépanneurs</t>
  </si>
  <si>
    <t>6340</t>
  </si>
  <si>
    <t xml:space="preserve">Commerce de détail de pièces et d'accessoires pour véhicules automobiles </t>
  </si>
  <si>
    <t>Magasins de pièces, de pneus et d'accessoires pour véhicules automobiles</t>
  </si>
  <si>
    <t>6341</t>
  </si>
  <si>
    <t>Commerce de détail de fournitures pour la maison et pour l'automobile</t>
  </si>
  <si>
    <t>452991</t>
  </si>
  <si>
    <t>Magasins de fournitures pour la maison et l'auto</t>
  </si>
  <si>
    <t>6342</t>
  </si>
  <si>
    <t>Commerce de détails de pneus, d'accumulateurs, de pièces et d'accessoires neufs pour l'automobile</t>
  </si>
  <si>
    <t>441310</t>
  </si>
  <si>
    <t>Magasins de pièces et d'accessoires pour véhicules automobiles</t>
  </si>
  <si>
    <t>6343</t>
  </si>
  <si>
    <t>Commerce de détail de pneus, d'accumulateurs, de pièces et d'accessoires usagés pour l'automobile</t>
  </si>
  <si>
    <t>6350</t>
  </si>
  <si>
    <t>Ateliers de réparation de véhicules automobiles</t>
  </si>
  <si>
    <t>Réparation et entretien de véhicules automobiles</t>
  </si>
  <si>
    <t>6351</t>
  </si>
  <si>
    <t>Garages (réparations générales)</t>
  </si>
  <si>
    <t>811111</t>
  </si>
  <si>
    <t>Réparations générales de véhicules automobiles</t>
  </si>
  <si>
    <t>6352</t>
  </si>
  <si>
    <t>Ateliers de peinture et de carrosserie</t>
  </si>
  <si>
    <t>811121</t>
  </si>
  <si>
    <t>Réparation et entretien de la carrosserie, de la peinture et de l'intérieur de véhicules automobiles</t>
  </si>
  <si>
    <t>6353</t>
  </si>
  <si>
    <t>Ateliers de remplacement de silencieux</t>
  </si>
  <si>
    <t>811112</t>
  </si>
  <si>
    <t>Réparation de systèmes d'échappement de véhicules automobiles</t>
  </si>
  <si>
    <t>6354</t>
  </si>
  <si>
    <t>Ateliers de remplacement de glaces de véhicules automobiles</t>
  </si>
  <si>
    <t>811122</t>
  </si>
  <si>
    <t>Ateliers de remplacement de vitres de véhicules automobiles</t>
  </si>
  <si>
    <t>6355</t>
  </si>
  <si>
    <t>Ateliers de réparation et de remplacement de boîtes de vitesses de véhicules automobiles</t>
  </si>
  <si>
    <t>811119</t>
  </si>
  <si>
    <t>Autres services de réparation et d'entretien mécaniques et électriques de véhicules automobiles</t>
  </si>
  <si>
    <t>6359</t>
  </si>
  <si>
    <t>Autres ateliers de réparation de véhicules automobiles</t>
  </si>
  <si>
    <t>6390</t>
  </si>
  <si>
    <t xml:space="preserve">Autres types de commerce de détail pour véhicules automobiles </t>
  </si>
  <si>
    <t>6391</t>
  </si>
  <si>
    <t>Lave-autos</t>
  </si>
  <si>
    <t>811192</t>
  </si>
  <si>
    <t>6392</t>
  </si>
  <si>
    <t>Commerce de détail de radios pour véhicules automobiles</t>
  </si>
  <si>
    <t>811199</t>
  </si>
  <si>
    <t>Tous les autres services de réparation et d'entretien de véhicules automobiles</t>
  </si>
  <si>
    <t>6399</t>
  </si>
  <si>
    <t>Autres types de commerce de détail pour véhicules automobiles</t>
  </si>
  <si>
    <t>6410</t>
  </si>
  <si>
    <t xml:space="preserve">Commerce de détail de marchandises diverses </t>
  </si>
  <si>
    <t>Autres magasins de marchandises diverses</t>
  </si>
  <si>
    <t>6411</t>
  </si>
  <si>
    <t>Magasins à rayons</t>
  </si>
  <si>
    <t>452110</t>
  </si>
  <si>
    <t>Grands magasins</t>
  </si>
  <si>
    <t>6412</t>
  </si>
  <si>
    <t>Magasins généraux</t>
  </si>
  <si>
    <t>452910</t>
  </si>
  <si>
    <t>Clubs-entrepôts</t>
  </si>
  <si>
    <t>6413</t>
  </si>
  <si>
    <t>452999</t>
  </si>
  <si>
    <t>Tous les autres magasins de marchandises diverses de tout genre</t>
  </si>
  <si>
    <t>6500</t>
  </si>
  <si>
    <t>Autres types de commerce de détail</t>
  </si>
  <si>
    <t>Magasins de marchandises diverses</t>
  </si>
  <si>
    <t>6510</t>
  </si>
  <si>
    <t xml:space="preserve">Librairies et papeteries </t>
  </si>
  <si>
    <t>6511</t>
  </si>
  <si>
    <t>Librairies et papeteries</t>
  </si>
  <si>
    <t>451310</t>
  </si>
  <si>
    <t>Librairies et marchands de journaux</t>
  </si>
  <si>
    <t>6520</t>
  </si>
  <si>
    <t xml:space="preserve">Fleuristes et centres de jardinage </t>
  </si>
  <si>
    <t>453110</t>
  </si>
  <si>
    <t>Fleuristes</t>
  </si>
  <si>
    <t>6521</t>
  </si>
  <si>
    <t>6522</t>
  </si>
  <si>
    <t>Centres de jardinage</t>
  </si>
  <si>
    <t>444220</t>
  </si>
  <si>
    <t>Pépinières et centres de jardinage</t>
  </si>
  <si>
    <t>6530</t>
  </si>
  <si>
    <t xml:space="preserve">Commerce de détail de quincaillerie </t>
  </si>
  <si>
    <t>Marchands de matériaux et fournitures de construction</t>
  </si>
  <si>
    <t>6531</t>
  </si>
  <si>
    <t>Quincailleries</t>
  </si>
  <si>
    <t>444130</t>
  </si>
  <si>
    <t>6532</t>
  </si>
  <si>
    <t>Commerce de détail de peinture, de vitres et de papier peint</t>
  </si>
  <si>
    <t>444120</t>
  </si>
  <si>
    <t>Magasins de peinture et de papier peint</t>
  </si>
  <si>
    <t>6533</t>
  </si>
  <si>
    <t>Commerce de détail de bois et de matériaux de construction</t>
  </si>
  <si>
    <t>6534</t>
  </si>
  <si>
    <t>Marchands d'autres matériaux de construction</t>
  </si>
  <si>
    <t>6540</t>
  </si>
  <si>
    <t xml:space="preserve">Commerce de détail d'articles de sport et de bicyclettes </t>
  </si>
  <si>
    <t>6541</t>
  </si>
  <si>
    <t>Commerce de détail d'articles de sport</t>
  </si>
  <si>
    <t>451119</t>
  </si>
  <si>
    <t>Tous les autres magasins d'articles de sport</t>
  </si>
  <si>
    <t>6542</t>
  </si>
  <si>
    <t>Commerce de détail de bicyclettes</t>
  </si>
  <si>
    <t>6550</t>
  </si>
  <si>
    <t>Commerce de détail d'instruments de musique et de disques</t>
  </si>
  <si>
    <t>6551</t>
  </si>
  <si>
    <t>Commerce de détail d'instruments de musique</t>
  </si>
  <si>
    <t>451140</t>
  </si>
  <si>
    <t>Magasins d'instruments et de fournitures de musique</t>
  </si>
  <si>
    <t>6552</t>
  </si>
  <si>
    <t>Commerce de détail de disques et de bandes magnétiques</t>
  </si>
  <si>
    <t>443146</t>
  </si>
  <si>
    <t>Magasins d'enregistrements vidéo et audio</t>
  </si>
  <si>
    <t>6560</t>
  </si>
  <si>
    <t xml:space="preserve">Bijouteries et ateliers de réparation de montres et de bijoux </t>
  </si>
  <si>
    <t>Bijouteries et magasins de bagages et de maroquinerie</t>
  </si>
  <si>
    <t>6561</t>
  </si>
  <si>
    <t>Bijouteries</t>
  </si>
  <si>
    <t>448310</t>
  </si>
  <si>
    <t>6562</t>
  </si>
  <si>
    <t>Ateliers de réparation de montres et de bijoux</t>
  </si>
  <si>
    <t>811490</t>
  </si>
  <si>
    <t>Autres services de réparation et d'entretien d'articles personnels et ménagers</t>
  </si>
  <si>
    <t>6570</t>
  </si>
  <si>
    <t xml:space="preserve">Commerce de détail d'appareils et de fournitures photographiques </t>
  </si>
  <si>
    <t>Réparation et entretien d'articles personnels et ménagers</t>
  </si>
  <si>
    <t>6571</t>
  </si>
  <si>
    <t>Commerce de détail d'appareils et de fournitures photographiques</t>
  </si>
  <si>
    <t>443145</t>
  </si>
  <si>
    <t>Magasins d'appareils et de fournitures photographiques</t>
  </si>
  <si>
    <t>6580</t>
  </si>
  <si>
    <t xml:space="preserve">Commerce de détail de jouets, d'articles de loisir, d'articles de fantaisie et de souvenirs </t>
  </si>
  <si>
    <t>6581</t>
  </si>
  <si>
    <t>Commerce de détail de jouets et d'articles de loisir</t>
  </si>
  <si>
    <t>451120</t>
  </si>
  <si>
    <t>Magasins d'articles de passe-temps, de jouets et de jeux</t>
  </si>
  <si>
    <t>6582</t>
  </si>
  <si>
    <t>Commerce de détail d'objets d'art et d'artisanat, de cadeaux, articles de fantaisie et de souvenirs</t>
  </si>
  <si>
    <t>453220</t>
  </si>
  <si>
    <t>Magasins de cadeaux, d'articles de fantaisie et de souvenirs</t>
  </si>
  <si>
    <t>6585</t>
  </si>
  <si>
    <t>Magasins de matériel d'encadrement</t>
  </si>
  <si>
    <t>6590</t>
  </si>
  <si>
    <t xml:space="preserve">Autres types de commerce de détail </t>
  </si>
  <si>
    <t>6591</t>
  </si>
  <si>
    <t>Commerce de détail de marchandise d'occasion</t>
  </si>
  <si>
    <t>453310</t>
  </si>
  <si>
    <t>Magasins de marchandises d'occasion</t>
  </si>
  <si>
    <t>6592</t>
  </si>
  <si>
    <t>Opticiens</t>
  </si>
  <si>
    <t>446130</t>
  </si>
  <si>
    <t>Magasins de produits optiques</t>
  </si>
  <si>
    <t>6593</t>
  </si>
  <si>
    <t>Galeries d'art et magasins de fournitures pour artistes</t>
  </si>
  <si>
    <t>453920</t>
  </si>
  <si>
    <t>Marchands d'oeuvres d'art</t>
  </si>
  <si>
    <t>6594</t>
  </si>
  <si>
    <t>Commerce de détail de bagages et de maroquinerie</t>
  </si>
  <si>
    <t>448320</t>
  </si>
  <si>
    <t>Magasins de bagages et de maroquinerie</t>
  </si>
  <si>
    <t>6595</t>
  </si>
  <si>
    <t>Commerce de détail de monuments funéraires et de pierres tombales</t>
  </si>
  <si>
    <t>6596</t>
  </si>
  <si>
    <t>Commerce de détail d'animaux de maison</t>
  </si>
  <si>
    <t>453910</t>
  </si>
  <si>
    <t>Animaleries et magasins de fournitures pour animaux</t>
  </si>
  <si>
    <t>6597</t>
  </si>
  <si>
    <t>Commerce de détail de pièces de monnaie et de timbres</t>
  </si>
  <si>
    <t>6598</t>
  </si>
  <si>
    <t>Commerce de détail de maisons mobiles</t>
  </si>
  <si>
    <t>453930</t>
  </si>
  <si>
    <t>Marchands de maisons mobiles</t>
  </si>
  <si>
    <t>6599</t>
  </si>
  <si>
    <t>6900</t>
  </si>
  <si>
    <t>Commerce de détails hors magasin</t>
  </si>
  <si>
    <t>Détaillants hors magasin</t>
  </si>
  <si>
    <t>6910</t>
  </si>
  <si>
    <t xml:space="preserve">Exploitants de distributeurs automatiques </t>
  </si>
  <si>
    <t>454210</t>
  </si>
  <si>
    <t>Exploitants de distributeurs automatiques</t>
  </si>
  <si>
    <t>6911</t>
  </si>
  <si>
    <t>6920</t>
  </si>
  <si>
    <t xml:space="preserve">Entreprises de vente directe </t>
  </si>
  <si>
    <t>Établissements de vente directe</t>
  </si>
  <si>
    <t>6921</t>
  </si>
  <si>
    <t>Entreprises de vente directe</t>
  </si>
  <si>
    <t>454390</t>
  </si>
  <si>
    <t>Autres établissements de vente directe</t>
  </si>
  <si>
    <t>7000</t>
  </si>
  <si>
    <t>Intermédiaires financiers de dépôts</t>
  </si>
  <si>
    <t>Intermédiation financière et activités connexes</t>
  </si>
  <si>
    <t>7010</t>
  </si>
  <si>
    <t xml:space="preserve">Banque centrale </t>
  </si>
  <si>
    <t>521110</t>
  </si>
  <si>
    <t>Autorités monétaires - banque centrale</t>
  </si>
  <si>
    <t>7011</t>
  </si>
  <si>
    <t>Banque centrale</t>
  </si>
  <si>
    <t>7020</t>
  </si>
  <si>
    <t xml:space="preserve">Banques à charte et autres intermédiaires de type bancaire </t>
  </si>
  <si>
    <t>Intermédiation financière par le biais de dépôts</t>
  </si>
  <si>
    <t>7021</t>
  </si>
  <si>
    <t>Banques à charte</t>
  </si>
  <si>
    <t>522111</t>
  </si>
  <si>
    <t>Activités bancaires aux particuliers et aux entreprises</t>
  </si>
  <si>
    <t>7029</t>
  </si>
  <si>
    <t>Autres intermédiaires de type bancaire</t>
  </si>
  <si>
    <t>7030</t>
  </si>
  <si>
    <t xml:space="preserve">Sociétés de fiducie </t>
  </si>
  <si>
    <t>Autres activités d'investissement financier</t>
  </si>
  <si>
    <t>7031</t>
  </si>
  <si>
    <t>Sociétés de fiducie</t>
  </si>
  <si>
    <t>523920</t>
  </si>
  <si>
    <t>Gestion de portefeuille</t>
  </si>
  <si>
    <t>7040</t>
  </si>
  <si>
    <t xml:space="preserve">Sociétés de prêts hypothécaires recevant des dépôts </t>
  </si>
  <si>
    <t>7041</t>
  </si>
  <si>
    <t>Sociétés de prêts hypothécaires recevant des dépôts</t>
  </si>
  <si>
    <t>7050</t>
  </si>
  <si>
    <t xml:space="preserve">Caisses d'épargne et de crédit </t>
  </si>
  <si>
    <t>522130</t>
  </si>
  <si>
    <t>Coopératives de crédit et caisses populaires locales</t>
  </si>
  <si>
    <t>7051</t>
  </si>
  <si>
    <t xml:space="preserve">Caisses locales d'épargne et de crédit </t>
  </si>
  <si>
    <t>7052</t>
  </si>
  <si>
    <t>Caisses centrales d'épargne et de crédit</t>
  </si>
  <si>
    <t>522321</t>
  </si>
  <si>
    <t>7100</t>
  </si>
  <si>
    <t>Sociétés de crédit à la consommation et aux entreprises</t>
  </si>
  <si>
    <t>7110</t>
  </si>
  <si>
    <t xml:space="preserve">Sociétés de prêts à la consommation </t>
  </si>
  <si>
    <t>Autres activités d'intermédiation financière non faite par le biais de dépôts</t>
  </si>
  <si>
    <t>7111</t>
  </si>
  <si>
    <t>Sociétés de prêts à la consommation</t>
  </si>
  <si>
    <t>522291</t>
  </si>
  <si>
    <t>Crédit à la consommation</t>
  </si>
  <si>
    <t>7120</t>
  </si>
  <si>
    <t xml:space="preserve">Sociétés de financement des entreprises </t>
  </si>
  <si>
    <t>7121</t>
  </si>
  <si>
    <t>Sociétés de financement des ventes</t>
  </si>
  <si>
    <t>522220</t>
  </si>
  <si>
    <t>Financement de ventes à crédit</t>
  </si>
  <si>
    <t>7122</t>
  </si>
  <si>
    <t>Sociétés de cartes de crédit</t>
  </si>
  <si>
    <t>522210</t>
  </si>
  <si>
    <t>Émission de cartes de crédit</t>
  </si>
  <si>
    <t>7123</t>
  </si>
  <si>
    <t>Sociétés d'affacturage</t>
  </si>
  <si>
    <t>522299</t>
  </si>
  <si>
    <t>Toutes les autres activités d'intermédiation financière non faite par le biais de dépôts</t>
  </si>
  <si>
    <t>7124</t>
  </si>
  <si>
    <t>Sociétés de crédit-bail</t>
  </si>
  <si>
    <t>7125</t>
  </si>
  <si>
    <t>Sociétés de capital de risque</t>
  </si>
  <si>
    <t>523910</t>
  </si>
  <si>
    <t>Activités diverses d'intermédiation</t>
  </si>
  <si>
    <t>7129</t>
  </si>
  <si>
    <t>Autres sociétés de financement des entreprises</t>
  </si>
  <si>
    <t>7200</t>
  </si>
  <si>
    <t>Sociétés d'investissement</t>
  </si>
  <si>
    <t>7210</t>
  </si>
  <si>
    <t xml:space="preserve">Sociétés de placement de portefeuille </t>
  </si>
  <si>
    <t>Autres fonds et instruments financiers</t>
  </si>
  <si>
    <t>7211</t>
  </si>
  <si>
    <t>Sociétés de placement (fonds mutuels)</t>
  </si>
  <si>
    <t>7212</t>
  </si>
  <si>
    <t>Fonds d'épargne-retraite</t>
  </si>
  <si>
    <t>526919</t>
  </si>
  <si>
    <t>Autres fonds de placement à capital variable</t>
  </si>
  <si>
    <t>7213</t>
  </si>
  <si>
    <t>Caisses séparées</t>
  </si>
  <si>
    <t>526930</t>
  </si>
  <si>
    <t>Fonds distincts (sauf les caisses de retraite)</t>
  </si>
  <si>
    <t>7214</t>
  </si>
  <si>
    <t>7215</t>
  </si>
  <si>
    <t>Sociétés de portefeuille (holdings)</t>
  </si>
  <si>
    <t>551113</t>
  </si>
  <si>
    <t>Sociétés de portefeuille</t>
  </si>
  <si>
    <t>7220</t>
  </si>
  <si>
    <t xml:space="preserve">Sociétés de prêts hypothécaires </t>
  </si>
  <si>
    <t>7221</t>
  </si>
  <si>
    <t>Sociétés de placement hypothécaire</t>
  </si>
  <si>
    <t>7222</t>
  </si>
  <si>
    <t>Fiducies de placement immobilier</t>
  </si>
  <si>
    <t>7229</t>
  </si>
  <si>
    <t>Autres sociétés de prêts hypothécaires</t>
  </si>
  <si>
    <t>7290</t>
  </si>
  <si>
    <t xml:space="preserve">Autres intermédiaires d'investissement </t>
  </si>
  <si>
    <t>7291</t>
  </si>
  <si>
    <t>Caisses de retraite en fiducie</t>
  </si>
  <si>
    <t>526111</t>
  </si>
  <si>
    <t>7292</t>
  </si>
  <si>
    <t>Fonds de succession, de fiducie et d'agence</t>
  </si>
  <si>
    <t>526989</t>
  </si>
  <si>
    <t>Tous les autres fonds et instruments financiers divers</t>
  </si>
  <si>
    <t>7299</t>
  </si>
  <si>
    <t>Autres intermédiaires d'investissement</t>
  </si>
  <si>
    <t>7300</t>
  </si>
  <si>
    <t>Sociétés d'assurances</t>
  </si>
  <si>
    <t>Sociétés d'assurance et activités connexes</t>
  </si>
  <si>
    <t>7310</t>
  </si>
  <si>
    <t xml:space="preserve">Sociétés d'assurance-vie </t>
  </si>
  <si>
    <t>Sociétés d'assurance</t>
  </si>
  <si>
    <t>7311</t>
  </si>
  <si>
    <t>Sociétés d'assurance-vie</t>
  </si>
  <si>
    <t>524111</t>
  </si>
  <si>
    <t>Sociétés d'assurance directe individuelle : vie, maladie et soins médicaux</t>
  </si>
  <si>
    <t>7320</t>
  </si>
  <si>
    <t xml:space="preserve">Sociétés d'assurance-dépôts </t>
  </si>
  <si>
    <t>7321</t>
  </si>
  <si>
    <t>Sociétés d'assurance-dépôts</t>
  </si>
  <si>
    <t>524129</t>
  </si>
  <si>
    <t>Autres sociétés d'assurance directe (sauf vie, maladie et soins médicaux)</t>
  </si>
  <si>
    <t>7330</t>
  </si>
  <si>
    <t xml:space="preserve">Sociétés d'assurance biens et risques divers </t>
  </si>
  <si>
    <t>7331</t>
  </si>
  <si>
    <t>Sociétés d'assurance-maladie</t>
  </si>
  <si>
    <t>7339</t>
  </si>
  <si>
    <t>Autres sociétés d'assurance biens et risques divers</t>
  </si>
  <si>
    <t>7400</t>
  </si>
  <si>
    <t>Autres intermédiaires financiers</t>
  </si>
  <si>
    <t>7410</t>
  </si>
  <si>
    <t xml:space="preserve">Courtiers et négociants en valeurs mobilières </t>
  </si>
  <si>
    <t>Intermédiation et courtage de valeurs mobilières et de contrats de marchandises</t>
  </si>
  <si>
    <t>7411</t>
  </si>
  <si>
    <t>Négociants de titres</t>
  </si>
  <si>
    <t>523110</t>
  </si>
  <si>
    <t>Services bancaires d'investissement et commerce des valeurs mobilières</t>
  </si>
  <si>
    <t>7412</t>
  </si>
  <si>
    <t>Courtiers boursiers</t>
  </si>
  <si>
    <t>523120</t>
  </si>
  <si>
    <t>Courtage de valeurs mobilières</t>
  </si>
  <si>
    <t>7413</t>
  </si>
  <si>
    <t>Courtiers en marchandises</t>
  </si>
  <si>
    <t>523130</t>
  </si>
  <si>
    <t>Négociation de contrats de marchandises</t>
  </si>
  <si>
    <t>7414</t>
  </si>
  <si>
    <t>Commerce de contrats de marchandises</t>
  </si>
  <si>
    <t>7420</t>
  </si>
  <si>
    <t xml:space="preserve">Courtiers en prêts hypothécaires </t>
  </si>
  <si>
    <t>522310</t>
  </si>
  <si>
    <t>Courtiers en prêts hypothécaires et non-hypothécaires</t>
  </si>
  <si>
    <t>7421</t>
  </si>
  <si>
    <t>Courtiers en prêts hypothécaires</t>
  </si>
  <si>
    <t>7430</t>
  </si>
  <si>
    <t>Bourses des valeurs et des marchandises</t>
  </si>
  <si>
    <t>523210</t>
  </si>
  <si>
    <t>Bourses de valeurs mobilières et de marchandises</t>
  </si>
  <si>
    <t>7431</t>
  </si>
  <si>
    <t>Bourses des valeurs</t>
  </si>
  <si>
    <t>7432</t>
  </si>
  <si>
    <t>Bourses des marchandises</t>
  </si>
  <si>
    <t>7490</t>
  </si>
  <si>
    <t xml:space="preserve">Autres intermédiaires financiers </t>
  </si>
  <si>
    <t>Activités liées à l'intermédiation financière</t>
  </si>
  <si>
    <t>7499</t>
  </si>
  <si>
    <t>522390</t>
  </si>
  <si>
    <t>Autres activités liées à l'intermédiation financière</t>
  </si>
  <si>
    <t>7500</t>
  </si>
  <si>
    <t>Services immobiliers (sauf les lotisseurs)</t>
  </si>
  <si>
    <t>Services immobiliers</t>
  </si>
  <si>
    <t>Bailleurs d'immeubles commerciaux</t>
  </si>
  <si>
    <t>7510</t>
  </si>
  <si>
    <t xml:space="preserve">Exploitants de bâtiments et de logements </t>
  </si>
  <si>
    <t>Bailleurs de biens immobiliers</t>
  </si>
  <si>
    <t>7511</t>
  </si>
  <si>
    <t>Exploitants de bâtiments résidentiels et de logements</t>
  </si>
  <si>
    <t>531111</t>
  </si>
  <si>
    <t>Bailleurs d'immeubles résidentiels et de logements (sauf les logements sociaux)</t>
  </si>
  <si>
    <t>Multilocatifs</t>
  </si>
  <si>
    <t>7512</t>
  </si>
  <si>
    <t>Exploitants de bâtiments non résidentiels</t>
  </si>
  <si>
    <t>531120</t>
  </si>
  <si>
    <t>Bailleurs d'immeubles non résidentiels (sauf les mini-entrepôts)</t>
  </si>
  <si>
    <t>7590</t>
  </si>
  <si>
    <t xml:space="preserve">Autres exploitants immobiliers </t>
  </si>
  <si>
    <t>7599</t>
  </si>
  <si>
    <t>Autres exploitants immobiliers</t>
  </si>
  <si>
    <t>531190</t>
  </si>
  <si>
    <t>Bailleurs d'autres biens immobiliers</t>
  </si>
  <si>
    <t>7600</t>
  </si>
  <si>
    <t>Agences d'assurances et agences immobilières</t>
  </si>
  <si>
    <t>7610</t>
  </si>
  <si>
    <t xml:space="preserve">Agences d'assurances et agences immobilières </t>
  </si>
  <si>
    <t>Agences et courtiers d'assurance et autres activités liées à l'assurance</t>
  </si>
  <si>
    <t>7611</t>
  </si>
  <si>
    <t>Agences d'assurances</t>
  </si>
  <si>
    <t>524210</t>
  </si>
  <si>
    <t>Agences et courtiers d'assurance</t>
  </si>
  <si>
    <t>7612</t>
  </si>
  <si>
    <t>Agences immobilières</t>
  </si>
  <si>
    <t>7613</t>
  </si>
  <si>
    <t>Experts en sinistres</t>
  </si>
  <si>
    <t>7700</t>
  </si>
  <si>
    <t>Services aux entreprises</t>
  </si>
  <si>
    <t>Services administratifs et services de soutien</t>
  </si>
  <si>
    <t>7710</t>
  </si>
  <si>
    <t xml:space="preserve">Bureaux de placement et services de location de personnel </t>
  </si>
  <si>
    <t>Services d'emploi</t>
  </si>
  <si>
    <t>7711</t>
  </si>
  <si>
    <t>Bureaux de placement</t>
  </si>
  <si>
    <t>561310</t>
  </si>
  <si>
    <t>Agences de placement et services de recherche de cadres</t>
  </si>
  <si>
    <t>7712</t>
  </si>
  <si>
    <t>Services de location de personnel</t>
  </si>
  <si>
    <t>561320</t>
  </si>
  <si>
    <t>Location de personnel suppléant</t>
  </si>
  <si>
    <t>7720</t>
  </si>
  <si>
    <t xml:space="preserve">Services d'informatique et services connexes </t>
  </si>
  <si>
    <t>518210</t>
  </si>
  <si>
    <t>Traitement de données, hébergement de données et services connexes</t>
  </si>
  <si>
    <t>7721</t>
  </si>
  <si>
    <t>Services d'informatique</t>
  </si>
  <si>
    <t>7722</t>
  </si>
  <si>
    <t>Réparation et entretien de matériel informatique</t>
  </si>
  <si>
    <t>7730</t>
  </si>
  <si>
    <t xml:space="preserve">Services de comptabilité et de tenue de livres </t>
  </si>
  <si>
    <t>Services de comptabilité, de préparation de déclarations de revenus, de tenue de livres et de paye</t>
  </si>
  <si>
    <t>7731</t>
  </si>
  <si>
    <t>Bureaux de comptables et d'experts-comptables</t>
  </si>
  <si>
    <t>541212</t>
  </si>
  <si>
    <t>Cabinets de comptables</t>
  </si>
  <si>
    <t>7739</t>
  </si>
  <si>
    <t>Autres services de comptabilité et de tenue de livres</t>
  </si>
  <si>
    <t>541215</t>
  </si>
  <si>
    <t>Services de tenue de livres et de paye et services connexes</t>
  </si>
  <si>
    <t>7740</t>
  </si>
  <si>
    <t xml:space="preserve">Services de publicité </t>
  </si>
  <si>
    <t>Publicité, relations publiques et services connexes</t>
  </si>
  <si>
    <t>7741</t>
  </si>
  <si>
    <t>Agences de publicité</t>
  </si>
  <si>
    <t>541810</t>
  </si>
  <si>
    <t>7742</t>
  </si>
  <si>
    <t>Représentants de médias</t>
  </si>
  <si>
    <t>541840</t>
  </si>
  <si>
    <t>7743</t>
  </si>
  <si>
    <t>Étalages et panneaux d'affichage publicitaire en extérieur</t>
  </si>
  <si>
    <t>541850</t>
  </si>
  <si>
    <t>Publicité par affichage</t>
  </si>
  <si>
    <t>7748</t>
  </si>
  <si>
    <t>Bureaux d’urbanistes</t>
  </si>
  <si>
    <t>541690</t>
  </si>
  <si>
    <t>Autres services de conseils scientifiques et techniques</t>
  </si>
  <si>
    <t>7749</t>
  </si>
  <si>
    <t>Autres services de publicité</t>
  </si>
  <si>
    <t>541899</t>
  </si>
  <si>
    <t>Tous les autres services liés à la publicité</t>
  </si>
  <si>
    <t>7750</t>
  </si>
  <si>
    <t>Bureaux d'architectes et d'ingénieurs et autres services scientifiques et techniques</t>
  </si>
  <si>
    <t>Services de conseils en gestion et de conseils scientifiques et techniques</t>
  </si>
  <si>
    <t>7751</t>
  </si>
  <si>
    <t>Bureaux d'architectes</t>
  </si>
  <si>
    <t>541310</t>
  </si>
  <si>
    <t>Services d'architecture</t>
  </si>
  <si>
    <t>7752</t>
  </si>
  <si>
    <t>Bureaux d'ingénieurs</t>
  </si>
  <si>
    <t>541330</t>
  </si>
  <si>
    <t>Services de génie</t>
  </si>
  <si>
    <t>7753</t>
  </si>
  <si>
    <t>Services de laboratoires de recherches</t>
  </si>
  <si>
    <t>7754</t>
  </si>
  <si>
    <t>Services de prospection et de relevés géophysiques et géodésiques</t>
  </si>
  <si>
    <t>7755</t>
  </si>
  <si>
    <t>Bureaux d’arpenteurs-géomètres</t>
  </si>
  <si>
    <t>7756</t>
  </si>
  <si>
    <t>Bureaux de chimistes ou de chimistes professionnels</t>
  </si>
  <si>
    <t>7757</t>
  </si>
  <si>
    <t>Services de géologues, de géophysiciens ou d’hydrogéologues</t>
  </si>
  <si>
    <t>7758</t>
  </si>
  <si>
    <t>Bureaux d’ingénieurs forestiers</t>
  </si>
  <si>
    <t>7759</t>
  </si>
  <si>
    <t>Autres services techniques</t>
  </si>
  <si>
    <t>7760</t>
  </si>
  <si>
    <t xml:space="preserve">Études d'avocats et de notaires </t>
  </si>
  <si>
    <t>Services juridiques</t>
  </si>
  <si>
    <t>7761</t>
  </si>
  <si>
    <t>É.Avoc_Not., cons.. loi, cons. jurid., memb. Barr. QC, procur., memb. Chamb. Not. Québec, Not. Publ.</t>
  </si>
  <si>
    <t>541110</t>
  </si>
  <si>
    <t>Études d'avocats</t>
  </si>
  <si>
    <t>7762</t>
  </si>
  <si>
    <t>Bureaux technologues professionnels, technologues sciences appliquées ou techniciens professionnels</t>
  </si>
  <si>
    <t>7763</t>
  </si>
  <si>
    <t>Huissiers de justice</t>
  </si>
  <si>
    <t>7770</t>
  </si>
  <si>
    <t xml:space="preserve">Bureaux de conseillers en gestion </t>
  </si>
  <si>
    <t>7771</t>
  </si>
  <si>
    <t>Bureaux de conseillers en gestion</t>
  </si>
  <si>
    <t>541619</t>
  </si>
  <si>
    <t>Autres services de conseils en gestion</t>
  </si>
  <si>
    <t>7790</t>
  </si>
  <si>
    <t xml:space="preserve">Autres services aux entreprises </t>
  </si>
  <si>
    <t>Services de soutien aux entreprises</t>
  </si>
  <si>
    <t>7791</t>
  </si>
  <si>
    <t>Services de sécurité et d'enquêtes</t>
  </si>
  <si>
    <t>561611</t>
  </si>
  <si>
    <t>Services d'enquêtes</t>
  </si>
  <si>
    <t>7792</t>
  </si>
  <si>
    <t>Bureaux de crédit</t>
  </si>
  <si>
    <t>561450</t>
  </si>
  <si>
    <t>Agences d'évaluation du crédit</t>
  </si>
  <si>
    <t>7793</t>
  </si>
  <si>
    <t>Agences de recouvrement</t>
  </si>
  <si>
    <t>561440</t>
  </si>
  <si>
    <t>7794</t>
  </si>
  <si>
    <t>Courtiers en douane</t>
  </si>
  <si>
    <t>7795</t>
  </si>
  <si>
    <t>Services de secrétariat téléphonique</t>
  </si>
  <si>
    <t>561420</t>
  </si>
  <si>
    <t>Centres d'appels téléphoniques</t>
  </si>
  <si>
    <t>7796</t>
  </si>
  <si>
    <t>Services de reproduction</t>
  </si>
  <si>
    <t>561430</t>
  </si>
  <si>
    <t>Centres de services aux entreprises</t>
  </si>
  <si>
    <t>7797</t>
  </si>
  <si>
    <t>Autres services spécialisés de design</t>
  </si>
  <si>
    <t>561490</t>
  </si>
  <si>
    <t>Autres services de soutien aux entreprises</t>
  </si>
  <si>
    <t>7799</t>
  </si>
  <si>
    <t>Autres services aux entreprises</t>
  </si>
  <si>
    <t>8100</t>
  </si>
  <si>
    <t>Services de l'administration fédérale</t>
  </si>
  <si>
    <t>Administration publique fédérale</t>
  </si>
  <si>
    <t>Édifices gouvernementaux</t>
  </si>
  <si>
    <t>8110</t>
  </si>
  <si>
    <t xml:space="preserve">Services de défense </t>
  </si>
  <si>
    <t>911110</t>
  </si>
  <si>
    <t>Services de défense</t>
  </si>
  <si>
    <t>8111</t>
  </si>
  <si>
    <t>8120</t>
  </si>
  <si>
    <t xml:space="preserve">Services de protection </t>
  </si>
  <si>
    <t>Services de protection fédéraux</t>
  </si>
  <si>
    <t>8121</t>
  </si>
  <si>
    <t>Tribunaux</t>
  </si>
  <si>
    <t>911210</t>
  </si>
  <si>
    <t>Tribunaux fédéraux</t>
  </si>
  <si>
    <t>8122</t>
  </si>
  <si>
    <t>Services correctionnels</t>
  </si>
  <si>
    <t>911220</t>
  </si>
  <si>
    <t>Services correctionnels fédéraux</t>
  </si>
  <si>
    <t>8123</t>
  </si>
  <si>
    <t>Services de police</t>
  </si>
  <si>
    <t>911230</t>
  </si>
  <si>
    <t>Services de police fédéraux</t>
  </si>
  <si>
    <t>8125</t>
  </si>
  <si>
    <t>Services de réglementation</t>
  </si>
  <si>
    <t>911240</t>
  </si>
  <si>
    <t>Services de réglementation fédéraux</t>
  </si>
  <si>
    <t>8129</t>
  </si>
  <si>
    <t>Autres services de protection</t>
  </si>
  <si>
    <t>911290</t>
  </si>
  <si>
    <t>Autres services de protection fédéraux</t>
  </si>
  <si>
    <t>8130</t>
  </si>
  <si>
    <t xml:space="preserve">Services relatifs au travail et à l'emploi et services d'immigration </t>
  </si>
  <si>
    <t>Services fédéraux relatifs à la main-d'oeuvre, à l'emploi et à l'immigration</t>
  </si>
  <si>
    <t>8131</t>
  </si>
  <si>
    <t>Services relatifs au travail et à l'emploi</t>
  </si>
  <si>
    <t>911310</t>
  </si>
  <si>
    <t>Services fédéraux relatifs à la main-d'oeuvre et à l'emploi</t>
  </si>
  <si>
    <t>8132</t>
  </si>
  <si>
    <t>Services d'immigration</t>
  </si>
  <si>
    <t>911320</t>
  </si>
  <si>
    <t>8139</t>
  </si>
  <si>
    <t>Autres services relatifs au travail, à l'emploi et à l'immigration</t>
  </si>
  <si>
    <t>911390</t>
  </si>
  <si>
    <t>Autres services fédéraux relatifs à la main-d'oeuvre, à l'emploi et à l'immigration</t>
  </si>
  <si>
    <t>8140</t>
  </si>
  <si>
    <t xml:space="preserve">Affaires étrangères et aide internationale </t>
  </si>
  <si>
    <t>Affaires étrangères et aide internationale</t>
  </si>
  <si>
    <t>8141</t>
  </si>
  <si>
    <t>Affaires étrangères</t>
  </si>
  <si>
    <t>911410</t>
  </si>
  <si>
    <t>8142</t>
  </si>
  <si>
    <t>Aide internationale</t>
  </si>
  <si>
    <t>911420</t>
  </si>
  <si>
    <t>8150</t>
  </si>
  <si>
    <t xml:space="preserve">Services administratifs généraux </t>
  </si>
  <si>
    <t>911910</t>
  </si>
  <si>
    <t>Autres services de l'administration publique fédérale</t>
  </si>
  <si>
    <t>8151</t>
  </si>
  <si>
    <t>Organismes des pouvoirs exécutif et législatif</t>
  </si>
  <si>
    <t>8152</t>
  </si>
  <si>
    <t>Gestion des finances et de l'économie</t>
  </si>
  <si>
    <t>8153</t>
  </si>
  <si>
    <t>Gestion de la fiscalité</t>
  </si>
  <si>
    <t>8154</t>
  </si>
  <si>
    <t>Gestion des affaires intergouvernementales</t>
  </si>
  <si>
    <t>8159</t>
  </si>
  <si>
    <t>Autres services administratifs généraux</t>
  </si>
  <si>
    <t>8160</t>
  </si>
  <si>
    <t xml:space="preserve">Gestion des ressources humaines </t>
  </si>
  <si>
    <t>8161</t>
  </si>
  <si>
    <t>Gestion des services de santé</t>
  </si>
  <si>
    <t>8162</t>
  </si>
  <si>
    <t>Gestion des services sociaux</t>
  </si>
  <si>
    <t>8163</t>
  </si>
  <si>
    <t>Gestion de l'éducation</t>
  </si>
  <si>
    <t>8164</t>
  </si>
  <si>
    <t>Gestion des loisirs et de la culture</t>
  </si>
  <si>
    <t>8170</t>
  </si>
  <si>
    <t xml:space="preserve">Gestion des services économiques </t>
  </si>
  <si>
    <t>8171</t>
  </si>
  <si>
    <t>Gestion des transports et des communications</t>
  </si>
  <si>
    <t>8172</t>
  </si>
  <si>
    <t>Gestion des programmes de conservation des richesses naturelles et de développement industriel</t>
  </si>
  <si>
    <t>8173</t>
  </si>
  <si>
    <t>Gestion de l'environnement</t>
  </si>
  <si>
    <t>8174</t>
  </si>
  <si>
    <t>Gestion de l'habitation</t>
  </si>
  <si>
    <t>8175</t>
  </si>
  <si>
    <t>Gestion de l'aménagement et de mise en valeur du territoire</t>
  </si>
  <si>
    <t>8176</t>
  </si>
  <si>
    <t>Gestion de la recherche</t>
  </si>
  <si>
    <t>8200</t>
  </si>
  <si>
    <t>Services de l'administration provinciale</t>
  </si>
  <si>
    <t>Administrations publiques provinciales et territoriales</t>
  </si>
  <si>
    <t>8220</t>
  </si>
  <si>
    <t>Services de protection provinciaux</t>
  </si>
  <si>
    <t>8221</t>
  </si>
  <si>
    <t>912110</t>
  </si>
  <si>
    <t>Tribunaux provinciaux</t>
  </si>
  <si>
    <t>8222</t>
  </si>
  <si>
    <t>912120</t>
  </si>
  <si>
    <t>Services correctionnels provinciaux</t>
  </si>
  <si>
    <t>8223</t>
  </si>
  <si>
    <t>912130</t>
  </si>
  <si>
    <t>Services de police provinciaux</t>
  </si>
  <si>
    <t>8224</t>
  </si>
  <si>
    <t>Services de lutte contre l'incendie</t>
  </si>
  <si>
    <t>912140</t>
  </si>
  <si>
    <t>Services provinciaux de lutte contre les incendies</t>
  </si>
  <si>
    <t>8225</t>
  </si>
  <si>
    <t>912150</t>
  </si>
  <si>
    <t>Services de réglementation provinciaux</t>
  </si>
  <si>
    <t>8229</t>
  </si>
  <si>
    <t>912190</t>
  </si>
  <si>
    <t>Autres services de protection provinciaux</t>
  </si>
  <si>
    <t>8230</t>
  </si>
  <si>
    <t xml:space="preserve">Services relatifs au travail et à l'emploi </t>
  </si>
  <si>
    <t>912210</t>
  </si>
  <si>
    <t>Services provinciaux relatifs à la main-d'oeuvre et à l'emploi</t>
  </si>
  <si>
    <t>8231</t>
  </si>
  <si>
    <t>8250</t>
  </si>
  <si>
    <t>912910</t>
  </si>
  <si>
    <t>Autres services des administrations publiques provinciales et territoriales</t>
  </si>
  <si>
    <t>8251</t>
  </si>
  <si>
    <t>8252</t>
  </si>
  <si>
    <t>8253</t>
  </si>
  <si>
    <t>8254</t>
  </si>
  <si>
    <t>8259</t>
  </si>
  <si>
    <t>8260</t>
  </si>
  <si>
    <t>8261</t>
  </si>
  <si>
    <t>8262</t>
  </si>
  <si>
    <t>8263</t>
  </si>
  <si>
    <t>8264</t>
  </si>
  <si>
    <t>8270</t>
  </si>
  <si>
    <t>8271</t>
  </si>
  <si>
    <t>8272</t>
  </si>
  <si>
    <t>8273</t>
  </si>
  <si>
    <t>8274</t>
  </si>
  <si>
    <t>8275</t>
  </si>
  <si>
    <t>Gestion de l'aménagement et de la mise en valeur du territoire</t>
  </si>
  <si>
    <t>8276</t>
  </si>
  <si>
    <t>8300</t>
  </si>
  <si>
    <t>Services des administrations locales</t>
  </si>
  <si>
    <t>Administrations publiques locales, municipales et régionales</t>
  </si>
  <si>
    <t>8320</t>
  </si>
  <si>
    <t>Services de protection municipaux</t>
  </si>
  <si>
    <t>8321</t>
  </si>
  <si>
    <t>Tribunaux et services correctionnels</t>
  </si>
  <si>
    <t>913110</t>
  </si>
  <si>
    <t>Cours municipales</t>
  </si>
  <si>
    <t>8323</t>
  </si>
  <si>
    <t>913130</t>
  </si>
  <si>
    <t>Services de police municipaux</t>
  </si>
  <si>
    <t>8324</t>
  </si>
  <si>
    <t>913140</t>
  </si>
  <si>
    <t>Services municipaux de lutte contre les incendies</t>
  </si>
  <si>
    <t>8325</t>
  </si>
  <si>
    <t>913150</t>
  </si>
  <si>
    <t>Services de réglementation municipaux</t>
  </si>
  <si>
    <t>8329</t>
  </si>
  <si>
    <t>913190</t>
  </si>
  <si>
    <t>Autres services de protection municipaux</t>
  </si>
  <si>
    <t>8350</t>
  </si>
  <si>
    <t>Services administratifs généraux</t>
  </si>
  <si>
    <t>8351</t>
  </si>
  <si>
    <t>913910</t>
  </si>
  <si>
    <t>Autres services des administrations publiques locales, municipales et régionales</t>
  </si>
  <si>
    <t>8352</t>
  </si>
  <si>
    <t>8353</t>
  </si>
  <si>
    <t>8354</t>
  </si>
  <si>
    <t>8359</t>
  </si>
  <si>
    <t>8360</t>
  </si>
  <si>
    <t>8361</t>
  </si>
  <si>
    <t>8362</t>
  </si>
  <si>
    <t>8363</t>
  </si>
  <si>
    <t>8364</t>
  </si>
  <si>
    <t>8370</t>
  </si>
  <si>
    <t>8371</t>
  </si>
  <si>
    <t>Gestion des transports</t>
  </si>
  <si>
    <t>8372</t>
  </si>
  <si>
    <t>8373</t>
  </si>
  <si>
    <t>8374</t>
  </si>
  <si>
    <t>8375</t>
  </si>
  <si>
    <t>8400</t>
  </si>
  <si>
    <t>Organismes internationaux et autres organismes extraterritoriaux</t>
  </si>
  <si>
    <t>919110</t>
  </si>
  <si>
    <t>Organismes publics internationaux et autres organismes publics extra-territoriaux</t>
  </si>
  <si>
    <t>8410</t>
  </si>
  <si>
    <t xml:space="preserve">Organismes internationaux et autres organismes extraterritoriaux </t>
  </si>
  <si>
    <t>8411</t>
  </si>
  <si>
    <t>8500</t>
  </si>
  <si>
    <t>Services d'enseignement</t>
  </si>
  <si>
    <t>Enseignement</t>
  </si>
  <si>
    <t>8510</t>
  </si>
  <si>
    <t xml:space="preserve">Enseignement maternel, primaire et secondaire </t>
  </si>
  <si>
    <t>611110</t>
  </si>
  <si>
    <t>Écoles primaires et secondaires</t>
  </si>
  <si>
    <t>8511</t>
  </si>
  <si>
    <t>8520</t>
  </si>
  <si>
    <t xml:space="preserve">Enseignement postsecondaire non universitaire </t>
  </si>
  <si>
    <t>611210</t>
  </si>
  <si>
    <t>Collèges communautaires et cégeps</t>
  </si>
  <si>
    <t>8521</t>
  </si>
  <si>
    <t>Enseignement postsecondaire non universitaire</t>
  </si>
  <si>
    <t>8530</t>
  </si>
  <si>
    <t xml:space="preserve">Enseignement universitaire </t>
  </si>
  <si>
    <t>611310</t>
  </si>
  <si>
    <t>Universités</t>
  </si>
  <si>
    <t>8531</t>
  </si>
  <si>
    <t>Enseignement universitaire</t>
  </si>
  <si>
    <t>8540</t>
  </si>
  <si>
    <t xml:space="preserve">Enseignement de formation personnelle et populaire </t>
  </si>
  <si>
    <t>611690</t>
  </si>
  <si>
    <t>Tous les autres établissements d'enseignement et de formation</t>
  </si>
  <si>
    <t>8541</t>
  </si>
  <si>
    <t>Enseignement de formation personnelle et populaire</t>
  </si>
  <si>
    <t>8550</t>
  </si>
  <si>
    <t xml:space="preserve">Musées et archives </t>
  </si>
  <si>
    <t>Établissements du patrimoine</t>
  </si>
  <si>
    <t>Culture et loisirs</t>
  </si>
  <si>
    <t>8551</t>
  </si>
  <si>
    <t>Musées et archives</t>
  </si>
  <si>
    <t>712115</t>
  </si>
  <si>
    <t>Musées d'histoire et de sciences</t>
  </si>
  <si>
    <t>8560</t>
  </si>
  <si>
    <t xml:space="preserve">Bibliothèques </t>
  </si>
  <si>
    <t>Autres services d'information</t>
  </si>
  <si>
    <t>8561</t>
  </si>
  <si>
    <t>Bibliothèques</t>
  </si>
  <si>
    <t>519121</t>
  </si>
  <si>
    <t>8590</t>
  </si>
  <si>
    <t xml:space="preserve">Autres services d'enseignement </t>
  </si>
  <si>
    <t>Autres établissements d'enseignement et de formation</t>
  </si>
  <si>
    <t>8591</t>
  </si>
  <si>
    <t>Autres services d'enseignement</t>
  </si>
  <si>
    <t>8600</t>
  </si>
  <si>
    <t>Services de santé et services sociaux</t>
  </si>
  <si>
    <t>Hôpitaux</t>
  </si>
  <si>
    <t>8610</t>
  </si>
  <si>
    <t xml:space="preserve">Centres hospitaliers </t>
  </si>
  <si>
    <t>Hôpitaux généraux et hôpitaux de soins chirurgicaux</t>
  </si>
  <si>
    <t>8611</t>
  </si>
  <si>
    <t>Centres hospitaliers de soins de courte durée</t>
  </si>
  <si>
    <t>622111</t>
  </si>
  <si>
    <t>Hôpitaux généraux (sauf pédiatriques)</t>
  </si>
  <si>
    <t>8613</t>
  </si>
  <si>
    <t>Centres hospitaliers de soins prolongés pour convalescents</t>
  </si>
  <si>
    <t>622310</t>
  </si>
  <si>
    <t>Hôpitaux spécialisés (sauf psychiatriques et pour alcooliques et toxicomanes)</t>
  </si>
  <si>
    <t>8614</t>
  </si>
  <si>
    <t>Centres hospitaliers de soins prolongés pour malades à long terme</t>
  </si>
  <si>
    <t>8620</t>
  </si>
  <si>
    <t xml:space="preserve">Centres d'accueil </t>
  </si>
  <si>
    <t>Autres établissements de soins pour bénéficiaires internes</t>
  </si>
  <si>
    <t>Hébergement</t>
  </si>
  <si>
    <t>8621</t>
  </si>
  <si>
    <t>Centres de transition</t>
  </si>
  <si>
    <t>623999</t>
  </si>
  <si>
    <t>Tous les autres établissements de soins pour bénéficiaires internes</t>
  </si>
  <si>
    <t>8622</t>
  </si>
  <si>
    <t>Centres de réadaptation pour handicapés physiques</t>
  </si>
  <si>
    <t>623993</t>
  </si>
  <si>
    <t>Maisons pour les handicapés physiques ou les personnes ayant une incapacité</t>
  </si>
  <si>
    <t>8624</t>
  </si>
  <si>
    <t>Centres de réadaptation pour handicapés mentaux</t>
  </si>
  <si>
    <t>623222</t>
  </si>
  <si>
    <t>Maisons pour personnes souffrant de troubles psychiques</t>
  </si>
  <si>
    <t>8625</t>
  </si>
  <si>
    <t>Centres de réadaptation pour mésadaptés sociaux</t>
  </si>
  <si>
    <t>623992</t>
  </si>
  <si>
    <t>Maisons pour enfants perturbés affectivement</t>
  </si>
  <si>
    <t>8626</t>
  </si>
  <si>
    <t>Centres de réadaptation pour alcooliques et toxicomanes</t>
  </si>
  <si>
    <t>623221</t>
  </si>
  <si>
    <t>Établissements résidentiels pour alcoolisme et toxicomanie</t>
  </si>
  <si>
    <t>8627</t>
  </si>
  <si>
    <t>Centres d'hébergement pour des personnes victimes de violence</t>
  </si>
  <si>
    <t>8628</t>
  </si>
  <si>
    <t>Centres d’hébergement</t>
  </si>
  <si>
    <t>8629</t>
  </si>
  <si>
    <t>Centre d'aide et de lutte contre agressions caractère sexuel et centre aide aux victimes (CALACS)</t>
  </si>
  <si>
    <t>8630</t>
  </si>
  <si>
    <t xml:space="preserve">Services de soins de santé hors institution </t>
  </si>
  <si>
    <t>Autres services de soins de santé ambulatoires</t>
  </si>
  <si>
    <t>Cliniques et cabinets</t>
  </si>
  <si>
    <t>8631</t>
  </si>
  <si>
    <t>Centres locaux de services communautaires</t>
  </si>
  <si>
    <t>621494</t>
  </si>
  <si>
    <t>Centres communautaires de soins de santé</t>
  </si>
  <si>
    <t>8640</t>
  </si>
  <si>
    <t xml:space="preserve">Services sociaux hors institution </t>
  </si>
  <si>
    <t>Services individuels et familiaux</t>
  </si>
  <si>
    <t>Services sociaux</t>
  </si>
  <si>
    <t>8641</t>
  </si>
  <si>
    <t>Garderies pour enfants</t>
  </si>
  <si>
    <t>624410</t>
  </si>
  <si>
    <t>Services de garderie</t>
  </si>
  <si>
    <t>8644</t>
  </si>
  <si>
    <t>Centres de travail adapté</t>
  </si>
  <si>
    <t>624310</t>
  </si>
  <si>
    <t>Services de réadaptation professionnelle</t>
  </si>
  <si>
    <t>8645</t>
  </si>
  <si>
    <t>Services de maintien à domicile</t>
  </si>
  <si>
    <t>624120</t>
  </si>
  <si>
    <t>Services aux personnes âgées et aux personnes ayant une incapacité</t>
  </si>
  <si>
    <t>8648</t>
  </si>
  <si>
    <t>Services d'aide de nature affective ou psychologique</t>
  </si>
  <si>
    <t>624190</t>
  </si>
  <si>
    <t>Autres services individuels et familiaux</t>
  </si>
  <si>
    <t>8649</t>
  </si>
  <si>
    <t>Centres de services sociaux</t>
  </si>
  <si>
    <t>8650</t>
  </si>
  <si>
    <t xml:space="preserve">Cabinets privés de médecins, chirurgiens et dentistes </t>
  </si>
  <si>
    <t>621110</t>
  </si>
  <si>
    <t>Cabinets de médecins</t>
  </si>
  <si>
    <t>8651</t>
  </si>
  <si>
    <t>Cabinets de médecins généralistes</t>
  </si>
  <si>
    <t>8652</t>
  </si>
  <si>
    <t>Cabinets de médecins et de chirurgiens spécialistes</t>
  </si>
  <si>
    <t>8653</t>
  </si>
  <si>
    <t>Cabinets de dentistes</t>
  </si>
  <si>
    <t>621210</t>
  </si>
  <si>
    <t>8660</t>
  </si>
  <si>
    <t xml:space="preserve">Cabinets d'autres praticiens du domaine de la santé </t>
  </si>
  <si>
    <t>Cabinets d'autres praticiens de la santé</t>
  </si>
  <si>
    <t>8661</t>
  </si>
  <si>
    <t>Cabinets de chiropraticiens et d'ostéopathes</t>
  </si>
  <si>
    <t>621310</t>
  </si>
  <si>
    <t>Cabinets de chiropraticiens</t>
  </si>
  <si>
    <t>8662</t>
  </si>
  <si>
    <t>Cabinets d'infirmiers</t>
  </si>
  <si>
    <t>621390</t>
  </si>
  <si>
    <t>Cabinets de tous les autres praticiens de la santé</t>
  </si>
  <si>
    <t>8664</t>
  </si>
  <si>
    <t>Cabinets de nutritionnistes et de diététistes</t>
  </si>
  <si>
    <t>8665</t>
  </si>
  <si>
    <t>Cabinets de physiothérapeutes et d'ergothérapeutes</t>
  </si>
  <si>
    <t>621340</t>
  </si>
  <si>
    <t>Cabinets de physiothérapeutes, d'ergothérapeutes, d'orthophonistes et d'audiologistes</t>
  </si>
  <si>
    <t>8666</t>
  </si>
  <si>
    <t>Cabinets d'optométristes</t>
  </si>
  <si>
    <t>621320</t>
  </si>
  <si>
    <t>8667</t>
  </si>
  <si>
    <t>Cabinets de podiatres</t>
  </si>
  <si>
    <t>8668</t>
  </si>
  <si>
    <t>Cabinets de denturologistes</t>
  </si>
  <si>
    <t>8669</t>
  </si>
  <si>
    <t>Cabinets d'autres praticiens du domaine de la santé</t>
  </si>
  <si>
    <t>8670</t>
  </si>
  <si>
    <t xml:space="preserve">Cabinets de spécialistes du domaine des services sociaux </t>
  </si>
  <si>
    <t>8671</t>
  </si>
  <si>
    <t>Cabinets de psychologues</t>
  </si>
  <si>
    <t>621330</t>
  </si>
  <si>
    <t>Cabinets de praticiens en santé mentale (sauf les médecins)</t>
  </si>
  <si>
    <t>8672</t>
  </si>
  <si>
    <t>Cabinets de travailleurs sociaux</t>
  </si>
  <si>
    <t>8679</t>
  </si>
  <si>
    <t>Cabinets d'autres spécialistes du domaine des services sociaux</t>
  </si>
  <si>
    <t>8680</t>
  </si>
  <si>
    <t xml:space="preserve">Services connexes aux établissements de santé </t>
  </si>
  <si>
    <t>621510</t>
  </si>
  <si>
    <t>Laboratoires médicaux et d'analyses diagnostiques</t>
  </si>
  <si>
    <t>8681</t>
  </si>
  <si>
    <t>Laboratoires médicaux</t>
  </si>
  <si>
    <t>8682</t>
  </si>
  <si>
    <t>Laboratoires radiologiques</t>
  </si>
  <si>
    <t>8683</t>
  </si>
  <si>
    <t>Laboratoires médicaux et radiologiques mixtes</t>
  </si>
  <si>
    <t>8684</t>
  </si>
  <si>
    <t>Laboratoires de santé publique</t>
  </si>
  <si>
    <t>8685</t>
  </si>
  <si>
    <t>Banques de sang</t>
  </si>
  <si>
    <t>621990</t>
  </si>
  <si>
    <t>Tous les autres services de soins de santé ambulatoires</t>
  </si>
  <si>
    <t>8686</t>
  </si>
  <si>
    <t>Autres laboratoires du domaine de la santé</t>
  </si>
  <si>
    <t>8689</t>
  </si>
  <si>
    <t>Services d'ambulance</t>
  </si>
  <si>
    <t>621911</t>
  </si>
  <si>
    <t>Services d'ambulance (sauf les services d'ambulance aérienne)</t>
  </si>
  <si>
    <t>8690</t>
  </si>
  <si>
    <t xml:space="preserve">Associations et organismes des domaines de la santé et des services sociaux </t>
  </si>
  <si>
    <t>813310</t>
  </si>
  <si>
    <t>Organismes d'action sociale</t>
  </si>
  <si>
    <t>8691</t>
  </si>
  <si>
    <t>Associations et organismes de promotion des soins de santé et de sécurité publique</t>
  </si>
  <si>
    <t>8692</t>
  </si>
  <si>
    <t>Organismes de réglementation en matière de soins de santé</t>
  </si>
  <si>
    <t>813920</t>
  </si>
  <si>
    <t>Organisations professionnelles</t>
  </si>
  <si>
    <t>8693</t>
  </si>
  <si>
    <t>Organismes de recherche sur les soins de santé</t>
  </si>
  <si>
    <t>8694</t>
  </si>
  <si>
    <t>Organismes de planification et de soutien des services sociaux</t>
  </si>
  <si>
    <t>8699</t>
  </si>
  <si>
    <t>Autres associations et organismes des domaines de la santé et des services sociaux</t>
  </si>
  <si>
    <t>9100</t>
  </si>
  <si>
    <t>Services d'hébergement</t>
  </si>
  <si>
    <t>Hôtellerie</t>
  </si>
  <si>
    <t>9110</t>
  </si>
  <si>
    <t xml:space="preserve">Hôtels, motels et camps pour touristes </t>
  </si>
  <si>
    <t>Hébergement des voyageurs</t>
  </si>
  <si>
    <t>9111</t>
  </si>
  <si>
    <t>Hôtels et auberges routières</t>
  </si>
  <si>
    <t>721112</t>
  </si>
  <si>
    <t>Auberges routières</t>
  </si>
  <si>
    <t>9112</t>
  </si>
  <si>
    <t>Motels</t>
  </si>
  <si>
    <t>721114</t>
  </si>
  <si>
    <t>9113</t>
  </si>
  <si>
    <t>Camps et cabines pour touristes</t>
  </si>
  <si>
    <t>721192</t>
  </si>
  <si>
    <t>Chalets et cabines sans service</t>
  </si>
  <si>
    <t>9120</t>
  </si>
  <si>
    <t xml:space="preserve">Pensions de famille et hôtels privés </t>
  </si>
  <si>
    <t>721310</t>
  </si>
  <si>
    <t>Maisons de chambres et pensions de famille</t>
  </si>
  <si>
    <t>9121</t>
  </si>
  <si>
    <t>Pensions de famille et hôtels privés</t>
  </si>
  <si>
    <t>9130</t>
  </si>
  <si>
    <t xml:space="preserve">Terrains de camping et parcs à roulottes </t>
  </si>
  <si>
    <t>Parcs pour véhicules récréatifs (VR) et camps de loisirs</t>
  </si>
  <si>
    <t>9131</t>
  </si>
  <si>
    <t>Terrains de camping et parcs à roulottes</t>
  </si>
  <si>
    <t>721211</t>
  </si>
  <si>
    <t>Parcs pour véhicules récréatifs (VR) et campings</t>
  </si>
  <si>
    <t>9140</t>
  </si>
  <si>
    <t xml:space="preserve">Pourvoyeurs de chasse et de pêche et camps de vacances </t>
  </si>
  <si>
    <t>9141</t>
  </si>
  <si>
    <t>Pourvoyeurs de chasse et de pêche</t>
  </si>
  <si>
    <t>721212</t>
  </si>
  <si>
    <t>Camps de chasse et de pêche</t>
  </si>
  <si>
    <t>9149</t>
  </si>
  <si>
    <t>Camps de vacances</t>
  </si>
  <si>
    <t>721213</t>
  </si>
  <si>
    <t>Camps récréatifs et de vacances (sauf de chasse et de pêche)</t>
  </si>
  <si>
    <t>9210</t>
  </si>
  <si>
    <t xml:space="preserve">Restauration </t>
  </si>
  <si>
    <t>Services de restauration spéciaux</t>
  </si>
  <si>
    <t>Restaurants et bars</t>
  </si>
  <si>
    <t>9211</t>
  </si>
  <si>
    <t>Restaurants avec permis d'alcool</t>
  </si>
  <si>
    <t>722511</t>
  </si>
  <si>
    <t>Restaurants à service complet</t>
  </si>
  <si>
    <t>9212</t>
  </si>
  <si>
    <t>Restaurants sans permis d'alcool</t>
  </si>
  <si>
    <t>9213</t>
  </si>
  <si>
    <t>Services de mets à emporter</t>
  </si>
  <si>
    <t>722512</t>
  </si>
  <si>
    <t>Établissements de restauration à service restreint</t>
  </si>
  <si>
    <t>9214</t>
  </si>
  <si>
    <t>Traiteurs</t>
  </si>
  <si>
    <t>722320</t>
  </si>
  <si>
    <t>9215</t>
  </si>
  <si>
    <t>Cabanes à sucre</t>
  </si>
  <si>
    <t>9220</t>
  </si>
  <si>
    <t xml:space="preserve">Tavernes, bars et boîtes de nuit </t>
  </si>
  <si>
    <t>722410</t>
  </si>
  <si>
    <t>Débits de boissons alcoolisées</t>
  </si>
  <si>
    <t>9221</t>
  </si>
  <si>
    <t>Tavernes, bars et boîtes de nuit</t>
  </si>
  <si>
    <t>9600</t>
  </si>
  <si>
    <t>Services de divertissement et de loisirs</t>
  </si>
  <si>
    <t>Divertissement, loisirs, jeux de hasard et loteries</t>
  </si>
  <si>
    <t>9610</t>
  </si>
  <si>
    <t>Production et distribution de films et de matériel audiovisuel</t>
  </si>
  <si>
    <t>Industries du film et de vidéo</t>
  </si>
  <si>
    <t>9611</t>
  </si>
  <si>
    <t>Production de films et de matériel visuel</t>
  </si>
  <si>
    <t>512110</t>
  </si>
  <si>
    <t>Production de films et de vidéos</t>
  </si>
  <si>
    <t>9612</t>
  </si>
  <si>
    <t>Distribution de films et de matériel visuel</t>
  </si>
  <si>
    <t>512120</t>
  </si>
  <si>
    <t>Distribution de films et de vidéos</t>
  </si>
  <si>
    <t>9613</t>
  </si>
  <si>
    <t>Laboratoires de films et de matériel visuel</t>
  </si>
  <si>
    <t>512190</t>
  </si>
  <si>
    <t>Postproduction et autres industries du film et de la vidéo</t>
  </si>
  <si>
    <t>9614</t>
  </si>
  <si>
    <t>Services d'enregistrement du son</t>
  </si>
  <si>
    <t>512240</t>
  </si>
  <si>
    <t>Studios d'enregistrement sonore</t>
  </si>
  <si>
    <t>9615</t>
  </si>
  <si>
    <t>9619</t>
  </si>
  <si>
    <t>Autres services relatifs aux films et au domaine de l'audiovisuel</t>
  </si>
  <si>
    <t>9620</t>
  </si>
  <si>
    <t xml:space="preserve">Projection de films cinématographiques </t>
  </si>
  <si>
    <t>9621</t>
  </si>
  <si>
    <t>Salles de cinéma ordinaires</t>
  </si>
  <si>
    <t>512130</t>
  </si>
  <si>
    <t>Présentation de films et de vidéos</t>
  </si>
  <si>
    <t>9622</t>
  </si>
  <si>
    <t>Projection de films en extérieur</t>
  </si>
  <si>
    <t>9629</t>
  </si>
  <si>
    <t>Autres salles de cinéma</t>
  </si>
  <si>
    <t>9630</t>
  </si>
  <si>
    <t xml:space="preserve">Théâtres et autres spectacles </t>
  </si>
  <si>
    <t>Compagnies d'arts d'interprétation</t>
  </si>
  <si>
    <t>9631</t>
  </si>
  <si>
    <t>Agences de spectacles et d'artistes</t>
  </si>
  <si>
    <t>711111</t>
  </si>
  <si>
    <t>Compagnies de théâtre (sauf de comédie musicale)</t>
  </si>
  <si>
    <t>9632</t>
  </si>
  <si>
    <t>Artistes, auteurs et interprètes indépendants</t>
  </si>
  <si>
    <t>9639</t>
  </si>
  <si>
    <t>Autres théâtres et spectacles</t>
  </si>
  <si>
    <t>711511</t>
  </si>
  <si>
    <t>Artistes visuels et artisans indépendants</t>
  </si>
  <si>
    <t>9640</t>
  </si>
  <si>
    <t xml:space="preserve">Sports commerciaux </t>
  </si>
  <si>
    <t>Sports-spectacles</t>
  </si>
  <si>
    <t>9641</t>
  </si>
  <si>
    <t>Clubs sportifs professionnels</t>
  </si>
  <si>
    <t>Équipes et clubs sportifs jouant devant un public payant</t>
  </si>
  <si>
    <t>9642</t>
  </si>
  <si>
    <t>Athlètes professionnels et promoteurs indépendants</t>
  </si>
  <si>
    <t>Agents et représentants d'artistes, de professionnels de la scène et d'autres personalités publiques</t>
  </si>
  <si>
    <t>9643</t>
  </si>
  <si>
    <t>Hippodromes</t>
  </si>
  <si>
    <t>711213</t>
  </si>
  <si>
    <t>9644</t>
  </si>
  <si>
    <t>Autres champs de course</t>
  </si>
  <si>
    <t>Autres installations de cours et activités connexes</t>
  </si>
  <si>
    <t>9650</t>
  </si>
  <si>
    <t xml:space="preserve">Clubs sportifs et services de loisirs </t>
  </si>
  <si>
    <t>Autres services de divertissement et de loisirs</t>
  </si>
  <si>
    <t>9651</t>
  </si>
  <si>
    <t>Clubs de golf</t>
  </si>
  <si>
    <t>713910</t>
  </si>
  <si>
    <t>Terrains de golf et country clubs</t>
  </si>
  <si>
    <t>9652</t>
  </si>
  <si>
    <t>Clubs de curling</t>
  </si>
  <si>
    <t>713940</t>
  </si>
  <si>
    <t>Centres de sports récréatifs et de conditionnement physique</t>
  </si>
  <si>
    <t>9653</t>
  </si>
  <si>
    <t>Installations de ski</t>
  </si>
  <si>
    <t>713920</t>
  </si>
  <si>
    <t>Centres de ski</t>
  </si>
  <si>
    <t>9654</t>
  </si>
  <si>
    <t>Location de bateaux et ports de plaisance</t>
  </si>
  <si>
    <t>713930</t>
  </si>
  <si>
    <t>Marinas</t>
  </si>
  <si>
    <t>9655</t>
  </si>
  <si>
    <t xml:space="preserve">Équipes, ligues et clubs sportifs jouant devant un public non payant </t>
  </si>
  <si>
    <t>9659</t>
  </si>
  <si>
    <t>Autres clubs sportifs et services de loisirs</t>
  </si>
  <si>
    <t>9660</t>
  </si>
  <si>
    <t xml:space="preserve">Loteries et jeux de hasard </t>
  </si>
  <si>
    <t>Jeux de hasard et loteries</t>
  </si>
  <si>
    <t>9661</t>
  </si>
  <si>
    <t>Loteries et jeux de hasard</t>
  </si>
  <si>
    <t>713299</t>
  </si>
  <si>
    <t>Tous les autres jeux de hasard et loteries</t>
  </si>
  <si>
    <t>9690</t>
  </si>
  <si>
    <t xml:space="preserve">Autres services de divertissement et de loisirs </t>
  </si>
  <si>
    <t>9691</t>
  </si>
  <si>
    <t>Salles de quilles et salles de billard</t>
  </si>
  <si>
    <t>713950</t>
  </si>
  <si>
    <t>Salles de quilles</t>
  </si>
  <si>
    <t>9692</t>
  </si>
  <si>
    <t>Parcs d'attractions, fêtes foraines et cirques</t>
  </si>
  <si>
    <t>713110</t>
  </si>
  <si>
    <t>Parcs d'attractions et jardins thématiques</t>
  </si>
  <si>
    <t>9693</t>
  </si>
  <si>
    <t>Salles, studios et écoles de danse</t>
  </si>
  <si>
    <t>9694</t>
  </si>
  <si>
    <t>Jeux automatiques</t>
  </si>
  <si>
    <t>713120</t>
  </si>
  <si>
    <t>Salles de jeux électroniques</t>
  </si>
  <si>
    <t>9695</t>
  </si>
  <si>
    <t>Pistes de patinage à roulettes</t>
  </si>
  <si>
    <t>9696</t>
  </si>
  <si>
    <t>Jardins botaniques et zoologiques</t>
  </si>
  <si>
    <t>712130</t>
  </si>
  <si>
    <t>Jardins zoologiques et botaniques</t>
  </si>
  <si>
    <t>9697</t>
  </si>
  <si>
    <t>Centres récréatifs</t>
  </si>
  <si>
    <t>9699</t>
  </si>
  <si>
    <t>9700</t>
  </si>
  <si>
    <t>Services personnels et domestiques</t>
  </si>
  <si>
    <t>Services personnels et services de blanchissage</t>
  </si>
  <si>
    <t>9710</t>
  </si>
  <si>
    <t xml:space="preserve">Salons de coiffure et salons de beauté </t>
  </si>
  <si>
    <t>Services de soins personnels</t>
  </si>
  <si>
    <t>9711</t>
  </si>
  <si>
    <t>Salons de coiffure pour hommes</t>
  </si>
  <si>
    <t>812114</t>
  </si>
  <si>
    <t>9712</t>
  </si>
  <si>
    <t>Salons de beauté pour femmes</t>
  </si>
  <si>
    <t>812115</t>
  </si>
  <si>
    <t>Salons de beauté</t>
  </si>
  <si>
    <t>9713</t>
  </si>
  <si>
    <t>Salons de coiffure et de beauté pour hommes et femmes</t>
  </si>
  <si>
    <t>812116</t>
  </si>
  <si>
    <t>Salons de coiffure unisexes</t>
  </si>
  <si>
    <t>9714</t>
  </si>
  <si>
    <t>Autres services de soins personnels</t>
  </si>
  <si>
    <t>812990</t>
  </si>
  <si>
    <t>Tous les autres services personnels</t>
  </si>
  <si>
    <t>9715</t>
  </si>
  <si>
    <t>Vente de services de bronzage artificiel</t>
  </si>
  <si>
    <t>9720</t>
  </si>
  <si>
    <t xml:space="preserve">Services de blanchissage et de nettoyage à sec </t>
  </si>
  <si>
    <t>Services de nettoyage à sec et de blanchissage</t>
  </si>
  <si>
    <t>9721</t>
  </si>
  <si>
    <t>Blanchissage ou nettoyage à sec mécanisés</t>
  </si>
  <si>
    <t>812320</t>
  </si>
  <si>
    <t>Services de nettoyage à sec et de blanchissage (sauf le libre-service)</t>
  </si>
  <si>
    <t>9722</t>
  </si>
  <si>
    <t>Distributeurs ou agents de nettoyeurs à sec</t>
  </si>
  <si>
    <t>9723</t>
  </si>
  <si>
    <t>Blanchissage ou nettoyage à sec libre-service</t>
  </si>
  <si>
    <t>812310</t>
  </si>
  <si>
    <t>Blanchisseries et nettoyeurs à sec libre-service</t>
  </si>
  <si>
    <t>9724</t>
  </si>
  <si>
    <t>Entretien, pressage ou réparation de vêtements</t>
  </si>
  <si>
    <t>9725</t>
  </si>
  <si>
    <t>Fourniture de linge</t>
  </si>
  <si>
    <t>812330</t>
  </si>
  <si>
    <t>Fourniture de linge et d'uniformes</t>
  </si>
  <si>
    <t>9726</t>
  </si>
  <si>
    <t>Nettoyage de moquettes</t>
  </si>
  <si>
    <t>561740</t>
  </si>
  <si>
    <t>Services de nettoyage de tapis et de meubles rembourrés</t>
  </si>
  <si>
    <t>9729</t>
  </si>
  <si>
    <t>Autres services de blanchissage et de nettoyage à sec</t>
  </si>
  <si>
    <t>9730</t>
  </si>
  <si>
    <t xml:space="preserve">Pompes funèbres </t>
  </si>
  <si>
    <t>Services funéraires</t>
  </si>
  <si>
    <t>9731</t>
  </si>
  <si>
    <t>Salons funéraires</t>
  </si>
  <si>
    <t>812210</t>
  </si>
  <si>
    <t>9732</t>
  </si>
  <si>
    <t>Cimetières et crématoriums</t>
  </si>
  <si>
    <t>812220</t>
  </si>
  <si>
    <t>9740</t>
  </si>
  <si>
    <t xml:space="preserve">Ménages </t>
  </si>
  <si>
    <t>814110</t>
  </si>
  <si>
    <t>Ménages privés</t>
  </si>
  <si>
    <t>9741</t>
  </si>
  <si>
    <t>Ménages</t>
  </si>
  <si>
    <t>9790</t>
  </si>
  <si>
    <t xml:space="preserve">Autres services personnels et domestiques </t>
  </si>
  <si>
    <t>Autres services personnels</t>
  </si>
  <si>
    <t>9791</t>
  </si>
  <si>
    <t>Cordonneries</t>
  </si>
  <si>
    <t>811430</t>
  </si>
  <si>
    <t>Réparation de chaussures et de maroquinerie</t>
  </si>
  <si>
    <t>9792</t>
  </si>
  <si>
    <t>Nettoyage, réparation et entreposage de fourrures</t>
  </si>
  <si>
    <t>9799</t>
  </si>
  <si>
    <t>Autres services personnels et domestiques</t>
  </si>
  <si>
    <t>9800</t>
  </si>
  <si>
    <t>Associations</t>
  </si>
  <si>
    <t>Organismes religieux, fondations, groupes citoyens et organisations professionnelles et similaires</t>
  </si>
  <si>
    <t>9810</t>
  </si>
  <si>
    <t xml:space="preserve">Organisations religieuses </t>
  </si>
  <si>
    <t>813110</t>
  </si>
  <si>
    <t>Organismes religieux</t>
  </si>
  <si>
    <t>9811</t>
  </si>
  <si>
    <t>Organisations religieuses</t>
  </si>
  <si>
    <t>9820</t>
  </si>
  <si>
    <t xml:space="preserve">Associations commerciales </t>
  </si>
  <si>
    <t>Associations gens aff., organisations professionn. et syndicales et autres associations personnes</t>
  </si>
  <si>
    <t>9821</t>
  </si>
  <si>
    <t>Associations commerciales</t>
  </si>
  <si>
    <t>813990</t>
  </si>
  <si>
    <t>Autres associations</t>
  </si>
  <si>
    <t>9830</t>
  </si>
  <si>
    <t xml:space="preserve">Associations professionnelles </t>
  </si>
  <si>
    <t>9831</t>
  </si>
  <si>
    <t>Associations professionnelles du domaine de la santé et des services sociaux</t>
  </si>
  <si>
    <t>9839</t>
  </si>
  <si>
    <t>Autres associations professionnelles</t>
  </si>
  <si>
    <t>9840</t>
  </si>
  <si>
    <t xml:space="preserve">Syndicats ouvriers </t>
  </si>
  <si>
    <t>9841</t>
  </si>
  <si>
    <t>Syndicats ouvriers</t>
  </si>
  <si>
    <t>813930</t>
  </si>
  <si>
    <t>Organisations syndicales</t>
  </si>
  <si>
    <t>9850</t>
  </si>
  <si>
    <t xml:space="preserve">Organisations politiques </t>
  </si>
  <si>
    <t>9851</t>
  </si>
  <si>
    <t>Organisations politiques</t>
  </si>
  <si>
    <t>813940</t>
  </si>
  <si>
    <t>9860</t>
  </si>
  <si>
    <t xml:space="preserve">Organisations civiques et amicales </t>
  </si>
  <si>
    <t>813410</t>
  </si>
  <si>
    <t>Organisations civiques et sociales</t>
  </si>
  <si>
    <t>9861</t>
  </si>
  <si>
    <t>Organisations civiques et amicales</t>
  </si>
  <si>
    <t>9900</t>
  </si>
  <si>
    <t>Autres services</t>
  </si>
  <si>
    <t>9910</t>
  </si>
  <si>
    <t xml:space="preserve">Services de location de machines et matériel industriels </t>
  </si>
  <si>
    <t>Location et location à bail de machines et matériel d'usage commercial et industriel</t>
  </si>
  <si>
    <t>9911</t>
  </si>
  <si>
    <t>Location de machines et matériel industriels</t>
  </si>
  <si>
    <t>532490</t>
  </si>
  <si>
    <t>Location et location à bail d'autres machines et matériel d'usage commercial et industriel</t>
  </si>
  <si>
    <t>9912</t>
  </si>
  <si>
    <t>Location d'appareils audiovisuels</t>
  </si>
  <si>
    <t>532210</t>
  </si>
  <si>
    <t>Location d'appareils électroniques domestiques et d'appareils ménagers</t>
  </si>
  <si>
    <t>9913</t>
  </si>
  <si>
    <t>Location de meubles et de machines de bureau</t>
  </si>
  <si>
    <t>532420</t>
  </si>
  <si>
    <t>Location et location à bail de machines et matériel de bureau</t>
  </si>
  <si>
    <t>9914</t>
  </si>
  <si>
    <t>Location d'équipement, de matériel et d'outils</t>
  </si>
  <si>
    <t>9919</t>
  </si>
  <si>
    <t>Autres services de location</t>
  </si>
  <si>
    <t>9920</t>
  </si>
  <si>
    <t xml:space="preserve">Services de location d'automobiles et de camions </t>
  </si>
  <si>
    <t>Location et location à bail de matériel automobile</t>
  </si>
  <si>
    <t>9921</t>
  </si>
  <si>
    <t>Services de location d'automobiles et de camions</t>
  </si>
  <si>
    <t>532120</t>
  </si>
  <si>
    <t>Location et location à bail de camions, de remorques utilitaires et de véhicules de plaisance</t>
  </si>
  <si>
    <t>9930</t>
  </si>
  <si>
    <t xml:space="preserve">Photographes </t>
  </si>
  <si>
    <t>Autres services professionnels, scientifiques et techniques</t>
  </si>
  <si>
    <t>9931</t>
  </si>
  <si>
    <t>Photographes</t>
  </si>
  <si>
    <t>541920</t>
  </si>
  <si>
    <t>Services photographiques</t>
  </si>
  <si>
    <t>9940</t>
  </si>
  <si>
    <t xml:space="preserve">Autres services de réparation </t>
  </si>
  <si>
    <t>9941</t>
  </si>
  <si>
    <t>Réparation de moteurs électriques</t>
  </si>
  <si>
    <t>811310</t>
  </si>
  <si>
    <t>Réparat. et entret. machines et mat. usage comm. et ind. (sauf véhi.Auto. et mat.électro)</t>
  </si>
  <si>
    <t>9942</t>
  </si>
  <si>
    <t>Soudage</t>
  </si>
  <si>
    <t>9949</t>
  </si>
  <si>
    <t>Autres services de réparation</t>
  </si>
  <si>
    <t>9950</t>
  </si>
  <si>
    <t xml:space="preserve">Services relatifs aux bâtiments et aux habitations </t>
  </si>
  <si>
    <t>Services relatifs aux bâtiments et aux logements</t>
  </si>
  <si>
    <t>9951</t>
  </si>
  <si>
    <t>Services de désinfection et d'extermination</t>
  </si>
  <si>
    <t>561710</t>
  </si>
  <si>
    <t>Services d'extermination et de lutte antiparasitaire</t>
  </si>
  <si>
    <t>9952</t>
  </si>
  <si>
    <t>Services de nettoyage de vitres</t>
  </si>
  <si>
    <t>561721</t>
  </si>
  <si>
    <t>9953</t>
  </si>
  <si>
    <t>Services de conciergerie et d'entretien</t>
  </si>
  <si>
    <t>561722</t>
  </si>
  <si>
    <t>Services de conciergerie (sauf le nettoyage de vitres)</t>
  </si>
  <si>
    <t>9959</t>
  </si>
  <si>
    <t>Autres services relatifs aux bâtiments et aux habitations</t>
  </si>
  <si>
    <t>561799</t>
  </si>
  <si>
    <t>Tous les autres services relatifs aux bâtiments et aux logements</t>
  </si>
  <si>
    <t>9960</t>
  </si>
  <si>
    <t xml:space="preserve">Services de voyages </t>
  </si>
  <si>
    <t>Services de préparation de voyages et de réservation</t>
  </si>
  <si>
    <t>9961</t>
  </si>
  <si>
    <t>Agences de voyages et de vente de billets</t>
  </si>
  <si>
    <t>561510</t>
  </si>
  <si>
    <t>Agences de voyage</t>
  </si>
  <si>
    <t>9962</t>
  </si>
  <si>
    <t>Grossistes et commerçants en voyage</t>
  </si>
  <si>
    <t>561520</t>
  </si>
  <si>
    <t>Voyagistes</t>
  </si>
  <si>
    <t>9990</t>
  </si>
  <si>
    <t xml:space="preserve">Autres services </t>
  </si>
  <si>
    <t>9991</t>
  </si>
  <si>
    <t>Parcs et garages de stationnement</t>
  </si>
  <si>
    <t>812930</t>
  </si>
  <si>
    <t>Stationnements et garages</t>
  </si>
  <si>
    <t>9999</t>
  </si>
  <si>
    <t>C_CAE_Système</t>
  </si>
  <si>
    <t>CAE_Code_de_Branche</t>
  </si>
  <si>
    <t xml:space="preserve">CAE_Description </t>
  </si>
  <si>
    <t>Code_Petit_Segment</t>
  </si>
  <si>
    <t>Code_Grand_Segment</t>
  </si>
  <si>
    <t>P202</t>
  </si>
  <si>
    <t>G200</t>
  </si>
  <si>
    <t>P113</t>
  </si>
  <si>
    <t>G100</t>
  </si>
  <si>
    <t>P102</t>
  </si>
  <si>
    <t>P209</t>
  </si>
  <si>
    <t>P203</t>
  </si>
  <si>
    <t>P205</t>
  </si>
  <si>
    <t>P212</t>
  </si>
  <si>
    <t>P201</t>
  </si>
  <si>
    <t>P213</t>
  </si>
  <si>
    <t>P210</t>
  </si>
  <si>
    <t>P207</t>
  </si>
  <si>
    <t>P105</t>
  </si>
  <si>
    <t>P208</t>
  </si>
  <si>
    <t>P204</t>
  </si>
  <si>
    <t>P108</t>
  </si>
  <si>
    <t>P115</t>
  </si>
  <si>
    <t>P107</t>
  </si>
  <si>
    <t>P114</t>
  </si>
  <si>
    <t>P214</t>
  </si>
  <si>
    <t>P211</t>
  </si>
  <si>
    <t>P104</t>
  </si>
  <si>
    <t>P103</t>
  </si>
  <si>
    <t>P111</t>
  </si>
  <si>
    <t>P109</t>
  </si>
  <si>
    <t>P101</t>
  </si>
  <si>
    <t>P401</t>
  </si>
  <si>
    <t>G400</t>
  </si>
  <si>
    <t>P302</t>
  </si>
  <si>
    <t>G300</t>
  </si>
  <si>
    <t>P303</t>
  </si>
  <si>
    <t>P106</t>
  </si>
  <si>
    <t>P305</t>
  </si>
  <si>
    <t>P304</t>
  </si>
  <si>
    <t>P301</t>
  </si>
  <si>
    <t>P307</t>
  </si>
  <si>
    <t>P110</t>
  </si>
  <si>
    <t>P112</t>
  </si>
  <si>
    <t>P306</t>
  </si>
  <si>
    <t>ZGM</t>
  </si>
  <si>
    <t>Z010</t>
  </si>
  <si>
    <t>Résidentiel à valider</t>
  </si>
  <si>
    <t>P405</t>
  </si>
  <si>
    <t>Résidentiel à valider*</t>
  </si>
  <si>
    <t>Z020</t>
  </si>
  <si>
    <t>Affaires à valider</t>
  </si>
  <si>
    <t>P116</t>
  </si>
  <si>
    <t>Z030</t>
  </si>
  <si>
    <t>CIDREQ - Non disponible</t>
  </si>
  <si>
    <t>Z100</t>
  </si>
  <si>
    <t>Unifamiliale, Duplex, Triplex à valider</t>
  </si>
  <si>
    <t>P402</t>
  </si>
  <si>
    <t>Unifamiliale, Duplex, Triplex, unité individuelle</t>
  </si>
  <si>
    <t>Z101</t>
  </si>
  <si>
    <t>Unifamilial</t>
  </si>
  <si>
    <t>Z102</t>
  </si>
  <si>
    <t>Duplex</t>
  </si>
  <si>
    <t>Z103</t>
  </si>
  <si>
    <t>Triplex</t>
  </si>
  <si>
    <t>Z200</t>
  </si>
  <si>
    <t>Immeubles à condos à valider (nombre d'unités inconnu)</t>
  </si>
  <si>
    <t>P403</t>
  </si>
  <si>
    <t>Condo</t>
  </si>
  <si>
    <t>Z210</t>
  </si>
  <si>
    <t>Immeuble à condos 4 à 10 unités</t>
  </si>
  <si>
    <t>Z211</t>
  </si>
  <si>
    <t>Immeuble à condos 11 à 49 unités</t>
  </si>
  <si>
    <t>Z212</t>
  </si>
  <si>
    <t>Immeuble à condos 50 à 199 unités</t>
  </si>
  <si>
    <t>Z213</t>
  </si>
  <si>
    <t>Immeuble à condos 200 et + unités</t>
  </si>
  <si>
    <t>Z220</t>
  </si>
  <si>
    <t>Unité de condo individuelle</t>
  </si>
  <si>
    <t>Z300</t>
  </si>
  <si>
    <t xml:space="preserve">Immeubles à logement à valider (nombre de logements inconnu) </t>
  </si>
  <si>
    <t>Z310</t>
  </si>
  <si>
    <t>Immeuble à logement 4 à 10 unités</t>
  </si>
  <si>
    <t>Z311</t>
  </si>
  <si>
    <t>Immeuble à logement 11 à 49 unités</t>
  </si>
  <si>
    <t>Z312</t>
  </si>
  <si>
    <t>Immeuble à logement 50 à 199 unités</t>
  </si>
  <si>
    <t>Z313</t>
  </si>
  <si>
    <t>Immeuble à logement 200 et + unités</t>
  </si>
  <si>
    <t>Z320</t>
  </si>
  <si>
    <t>Unité de logement individuelle</t>
  </si>
  <si>
    <t>Z400</t>
  </si>
  <si>
    <t>Résidence pour personnes âgées</t>
  </si>
  <si>
    <t>P404</t>
  </si>
  <si>
    <t>Z500</t>
  </si>
  <si>
    <t>Coop d'habitation</t>
  </si>
  <si>
    <t>P406</t>
  </si>
  <si>
    <t>Définition</t>
  </si>
  <si>
    <t>Terme à définir</t>
  </si>
  <si>
    <t>Nombre</t>
  </si>
  <si>
    <t>Bonification Microclimat</t>
  </si>
  <si>
    <t>Type de compresseur</t>
  </si>
  <si>
    <t>Type d'équipement efficace</t>
  </si>
  <si>
    <t>C-Équipement électrique efficace</t>
  </si>
  <si>
    <t>https://energir.com/files/energir_common/PE210-2_FR_20230401.pdf</t>
  </si>
  <si>
    <t>&gt; 300 000 Btu/hr</t>
  </si>
  <si>
    <t>https://energir.com/files/energir_common/import/Fichiers/Affaires/EE_Appareilsadmissibles/FR/PE210_FR.pdf</t>
  </si>
  <si>
    <t>&lt; 300 000 Btu/hr</t>
  </si>
  <si>
    <t>Subventions pour une Chaudière :</t>
  </si>
  <si>
    <t>https://energir.com/files/energir_common/import/Fichiers/Affaires/EE_Appareilsadmissibles/FR/aerocond.pdf</t>
  </si>
  <si>
    <t>Subventions pour un Aérotherme :</t>
  </si>
  <si>
    <t>Ressources pour les appareils donnant droit aux subventions en efficacité énergétique
(PEE : Programme Équipement Efficace) :</t>
  </si>
  <si>
    <t>Capacité (MBH)</t>
  </si>
  <si>
    <t>Type d'installation</t>
  </si>
  <si>
    <t>Modèle</t>
  </si>
  <si>
    <t>Marque</t>
  </si>
  <si>
    <t>Type d'équipement</t>
  </si>
  <si>
    <t>B-Équipement au gaz naturel</t>
  </si>
  <si>
    <t>Type de bâtiment</t>
  </si>
  <si>
    <t>Tarif</t>
  </si>
  <si>
    <t>Type de projet</t>
  </si>
  <si>
    <t>A-Bâtiment</t>
  </si>
  <si>
    <t>Sélectionnez un terme dans la liste ci-dessus pour plus d'informations.</t>
  </si>
  <si>
    <t>Microclimat</t>
  </si>
  <si>
    <t>Thermopompe à très haute efficacité (unité murale)</t>
  </si>
  <si>
    <t>Thermopompe efficace (unité murale)</t>
  </si>
  <si>
    <t>Thermopompe aérothermique avec compresseur à vitesse variable et récupération de la chaleur</t>
  </si>
  <si>
    <t>Thermopompe aérothermique avec compresseur à vitesse variable</t>
  </si>
  <si>
    <t>Thermopompe aérothermique avec compresseur à vitesse constante ou à stages et récupération de la chaleur</t>
  </si>
  <si>
    <t>Thermopompe aérothermique avec compresseur à vitesse constante ou à stages</t>
  </si>
  <si>
    <t>Capacité de chauffage nominale aux conditions normalisées de la thermopompe installée. La condition normalisée est toujours celle à haute température (+8,3°C).</t>
  </si>
  <si>
    <t>Marque et modèle: La marque et le modèle inscrit doit concorder avec l'information contenu dans les listes plus haut si du PEE est appliqué.</t>
  </si>
  <si>
    <t>Dans le cas d'une nouvelle construction, le PEE et le PRC seront octroyé via le contrat de raccordement signé entre Énergir et le client.</t>
  </si>
  <si>
    <t>Marché dont les activités sont associées à la fourniture de services.</t>
  </si>
  <si>
    <t>Marché dont les activités sont associées à la fourniture de services et qui est un Organisme public.</t>
  </si>
  <si>
    <t>Travaux de remplacement de l’ensemble des composants suivants d’un Bâtiment : systèmes de commande, système de chauffage, de ventilation et de conditionnement d’air (CVCA), système d’éclairage, cloisons architecturales intérieures, fenêtres, isolation des murs extérieurs et toiture.</t>
  </si>
  <si>
    <t>Rénovation majeure</t>
  </si>
  <si>
    <t>NB</t>
  </si>
  <si>
    <t>BE</t>
  </si>
  <si>
    <t>Sub HQ</t>
  </si>
  <si>
    <t>à vitesse variable et récupération de chaleur</t>
  </si>
  <si>
    <t>à vitesse variable</t>
  </si>
  <si>
    <t>à vitesse constante ou à stages et récupération de chaleur</t>
  </si>
  <si>
    <t>à vitesse constante ou à stages</t>
  </si>
  <si>
    <t>Tarif G</t>
  </si>
  <si>
    <t>Tarif autre</t>
  </si>
  <si>
    <t>M</t>
  </si>
  <si>
    <t>Mesure</t>
  </si>
  <si>
    <t>Aide HQ</t>
  </si>
  <si>
    <t>$HQ</t>
  </si>
  <si>
    <t>Bonif Tarif</t>
  </si>
  <si>
    <t>Produit facteur M</t>
  </si>
  <si>
    <t>Facteur M</t>
  </si>
  <si>
    <t>Bonif microclimat</t>
  </si>
  <si>
    <t>Murale très haute efficacité</t>
  </si>
  <si>
    <t>Murale efficace</t>
  </si>
  <si>
    <t>Thermopompe</t>
  </si>
  <si>
    <t>Unité de toit</t>
  </si>
  <si>
    <t>Calcul aide HQ</t>
  </si>
  <si>
    <t>Sub Énergir</t>
  </si>
  <si>
    <t>PEE total</t>
  </si>
  <si>
    <t>Capacité</t>
  </si>
  <si>
    <t>équipement</t>
  </si>
  <si>
    <t>Chaudière</t>
  </si>
  <si>
    <t>Make-up air indirect</t>
  </si>
  <si>
    <t>Générateur d'air chaud</t>
  </si>
  <si>
    <t>Unité de toit hybride</t>
  </si>
  <si>
    <t>Aérotherme</t>
  </si>
  <si>
    <t>Tableau résumé PRRC</t>
  </si>
  <si>
    <t>Ajout</t>
  </si>
  <si>
    <t>Remplacement</t>
  </si>
  <si>
    <t>Liste Équipement gaz</t>
  </si>
  <si>
    <t>Autre Tarif</t>
  </si>
  <si>
    <t>Unité de toit hybride (rooftop)</t>
  </si>
  <si>
    <t>Bâtiment de 5 ans et moins</t>
  </si>
  <si>
    <t>Bâtiment de plus de 5 ans</t>
  </si>
  <si>
    <t>Nouvelle construction</t>
  </si>
  <si>
    <t>X</t>
  </si>
  <si>
    <t xml:space="preserve">Thermopompe à très haute efficacité </t>
  </si>
  <si>
    <t>Thermopompe efficace</t>
  </si>
  <si>
    <t>Énergie 
Niveau d'appui
Tarif G (bonifié)
$/kWh</t>
  </si>
  <si>
    <t>Énergie 
Niveau d'appui
Autres tarifs
$/kWh</t>
  </si>
  <si>
    <t xml:space="preserve">BE </t>
  </si>
  <si>
    <t>avec compresseur à vitesse variable et récupération de la chaleur</t>
  </si>
  <si>
    <t>avec compresseur à vitesse variable</t>
  </si>
  <si>
    <t>avec compresseur à vitesse constante ou à stages et récupération de la chaleur</t>
  </si>
  <si>
    <t>avec compresseur à vitesse constante ou à stages</t>
  </si>
  <si>
    <t>Nature
BE</t>
  </si>
  <si>
    <t>Nature
NB</t>
  </si>
  <si>
    <t>No Mesure</t>
  </si>
  <si>
    <t>HQ unité de toit</t>
  </si>
  <si>
    <t>Espace clos avec centralisation des évacuations d'air</t>
  </si>
  <si>
    <t>Espace clos avec mur solaire</t>
  </si>
  <si>
    <t>Centralisation des évacuations d'air</t>
  </si>
  <si>
    <t>Non applicable</t>
  </si>
  <si>
    <t>Bonification selon l'emplacement du condenseur 
Microclimat</t>
  </si>
  <si>
    <t>Niveau d'appui
Tarif G
$/kWh</t>
  </si>
  <si>
    <t>Niveau d'appui
Autres tarifs
$/kWh</t>
  </si>
  <si>
    <t>M
Énergie admissible (kWh)</t>
  </si>
  <si>
    <t>Type de thermopompe</t>
  </si>
  <si>
    <t>HQ Thermopompe</t>
  </si>
  <si>
    <t>Aide financière Hydro-Québec</t>
  </si>
  <si>
    <t>Mesure qui consiste à installer des appareils de climatisation et de chauffage fonctionnant selon un cycle réversible de réfrigération. Ces appareils puisent ou rejettent la chaleur dans l’air ambiant (à l’extérieur). Les thermopompes sont munies d’un compresseur à vitesse variable. Les thermopompes peuvent opérer soit en mode chauffage, soit en mode climatisation pour l’ensemble des zones qu’elles desservent. Le fonctionnement simultané dans les deux modes n’est pas possible. Pour que la thermopompe soit considérée efficace, elle doit soit être présente sur la liste du NEEP ou posséder les caractéristiques suivantes :
HSPF2 &gt;= 8,5 (10 HSPF équivalent)
SEER2 &gt;= 15 (15 SEER équivalent)
COP à 5°F &gt;= 1,75 à la capacité maximale d'opération</t>
  </si>
  <si>
    <t>Mesure qui consiste à installer des appareils de climatisation et de chauffage, fonctionnant selon un cycle réversible de réfrigération. Ces appareils puisent ou rejettent la chaleur dans l’air ambiant (à l’extérieur). Les thermopompes sont munies d’un compresseur à vitesse variable. Les thermopompes peuvent opérer soit en mode chauffage soit en mode climatisation pour l’ensemble des zones qu’elles desservent. Le fonctionnement simultané dans les deux modes n’est pas possible. Pour que la thermopompe soit considérée à très haute efficacité, elle doit soit être présente sur la liste du NEEP et posséder les caractéristiques suivantes :
HSPF2 &gt;= 8,5 (10 HSPF équivalent)
SEER2 &gt;= 15 (15 SEER équivalent)
COP à 5°F &gt;= 1,75 à la capacité maximale d'opération
capacité max 5°F (Btu/h) / capacité max. (Btu/h) 47°F &gt;= 0,7</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</si>
  <si>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constante ou à stages (exemple : compresseur digital) . Les thermopompes peuvent opérer soit en mode chauffage, soit en mode climatisation pour l’ensemble des zones qu’elles desservent. Le fonctionnement simultané dans les deux modes n’est pas possible.</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</si>
  <si>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constante ou à stages (exemple : compresseur digital) . Les thermopompes peuvent opérer simultanément en mode chauffage et mode climatisation pour l’ensemble des zones qu’elles desservent. En second lieu, l’appareil possède un mécanisme (exemple : désurchauffeur) qui permet de récupérer de l’énergie du cycle de refroidissement, qui est renvoyée vers le cycle de chauffage.</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</si>
  <si>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variable ou d’un autre type de technologie permettant au compresseur de faire varier sa capacité selon la charge climatisation ou de chauffage. Les thermopompes peuvent opérer soit en mode chauffage, soit en mode climatisation pour l’ensemble des zones qu’elles desservent. Le fonctionnement simultané dans les deux modes n’est pas possible.</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</si>
  <si>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variable ou d’un autre type de technologie permettant au compresseur de faire varier sa capacité selon la charge climatisation ou de chauffage. Les thermopompes peuvent opérer simultanément en mode chauffage et mode climatisation pour l’ensemble des zones qu’elles desservent. En second lieu, l’énergie récupérée par les unités intérieures fonctionnant dans un mode peut être transférée vers une ou plusieurs autres unités intérieures fonctionnant dans l’autre mode.</t>
  </si>
  <si>
    <t>Le terme microclimat est utilisé pour spécifier l'endroit où sont situés les condenseurs des thermopompes aérothermiques. Cet endroit doit posséder une des caractéristiques suivantes :
-  Centralisation des évacuations d'air directement vers les condenseurs situés à l’extérieur.
-  Condenseurs situés dans un espace clos avec jeux de volets. L’espace clos peut être situé sur le toit ou dans le stationnement du bâtiment. Lorsque les volets sont fermés, l’air extérieur ne circule plus dans l’espace clos. Dans ce cas-ci, un système de chauffage d’appoint permet de maintenir l’espace clos à une température minimale (ex : -12°C). La source d’énergie pour le système de chauffage d’appoint doit principalement provenir d’un mur solaire et/ou de la centralisation des évacuations d'air.</t>
  </si>
  <si>
    <t>Montant PEE</t>
  </si>
  <si>
    <t>45</t>
  </si>
  <si>
    <t>115120150</t>
  </si>
  <si>
    <t>Code CAE</t>
  </si>
  <si>
    <t>Description CAE</t>
  </si>
  <si>
    <t>Code_SCIAN</t>
  </si>
  <si>
    <t>Code_CAE</t>
  </si>
  <si>
    <t>C_CAE</t>
  </si>
  <si>
    <t>C_SCIAN</t>
  </si>
  <si>
    <t>No_Énergir</t>
  </si>
  <si>
    <t>Bâtiment qui est en cours de conception ou de construction.  Un agrandissement à un bâtiment existant compte aussi comme une nouvelle construction.</t>
  </si>
  <si>
    <t>Numéro AHRI</t>
  </si>
  <si>
    <t>Entrez le numéro AHRI associé à la thermopompe de l'unité murale. Assurez-vous de saisir le numéro figurant dans la liste du AHRI</t>
  </si>
  <si>
    <r>
      <t xml:space="preserve">Calculateur de l'aide d'Énergir et d'Hydro-Québec
</t>
    </r>
    <r>
      <rPr>
        <b/>
        <sz val="14"/>
        <color indexed="9"/>
        <rFont val="Arial"/>
        <family val="2"/>
      </rPr>
      <t>Définition et liens utiles pour l'onglet Calcul Energir et HQ</t>
    </r>
  </si>
  <si>
    <t xml:space="preserve">Description SCIAN </t>
  </si>
  <si>
    <t xml:space="preserve">Secteur </t>
  </si>
  <si>
    <t>Sous-secteur</t>
  </si>
  <si>
    <t>Capacité de chauffage nominale aux conditions normalisées de la thermopompe installée.</t>
  </si>
  <si>
    <t>Le terme microclimat est utilisé pour spécifier l'endroit où sont situés les condenseurs des thermopompes aérothermiques. Cet endroit doit posséder une des caractéristiques suivantes :</t>
  </si>
  <si>
    <t xml:space="preserve"> </t>
  </si>
  <si>
    <t>Biénergie</t>
  </si>
  <si>
    <t>GES en lien avec les pertes de réfrigérant</t>
  </si>
  <si>
    <t>Forme d'énergie
ou réfrigérant</t>
  </si>
  <si>
    <t>111</t>
  </si>
  <si>
    <t>1129</t>
  </si>
  <si>
    <t>1119</t>
  </si>
  <si>
    <t>1113</t>
  </si>
  <si>
    <t>114</t>
  </si>
  <si>
    <t>11411</t>
  </si>
  <si>
    <t>113</t>
  </si>
  <si>
    <t>11331</t>
  </si>
  <si>
    <t>212</t>
  </si>
  <si>
    <t>2122</t>
  </si>
  <si>
    <t>2123</t>
  </si>
  <si>
    <t>21111</t>
  </si>
  <si>
    <t>21311</t>
  </si>
  <si>
    <t>311</t>
  </si>
  <si>
    <t>3116</t>
  </si>
  <si>
    <t>3114</t>
  </si>
  <si>
    <t>3115</t>
  </si>
  <si>
    <t>3112</t>
  </si>
  <si>
    <t>31122</t>
  </si>
  <si>
    <t>3118</t>
  </si>
  <si>
    <t>3113</t>
  </si>
  <si>
    <t>3119</t>
  </si>
  <si>
    <t>312</t>
  </si>
  <si>
    <t>3122</t>
  </si>
  <si>
    <t>326</t>
  </si>
  <si>
    <t>3262</t>
  </si>
  <si>
    <t>313</t>
  </si>
  <si>
    <t>3133</t>
  </si>
  <si>
    <t>314</t>
  </si>
  <si>
    <t>3141</t>
  </si>
  <si>
    <t>3149</t>
  </si>
  <si>
    <t>315</t>
  </si>
  <si>
    <t>3152</t>
  </si>
  <si>
    <t>321</t>
  </si>
  <si>
    <t>32111</t>
  </si>
  <si>
    <t>32121</t>
  </si>
  <si>
    <t>3219</t>
  </si>
  <si>
    <t>337</t>
  </si>
  <si>
    <t>33721</t>
  </si>
  <si>
    <t>322</t>
  </si>
  <si>
    <t>3221</t>
  </si>
  <si>
    <t>3222</t>
  </si>
  <si>
    <t>331</t>
  </si>
  <si>
    <t>3312</t>
  </si>
  <si>
    <t>3315</t>
  </si>
  <si>
    <t>3314</t>
  </si>
  <si>
    <t>332</t>
  </si>
  <si>
    <t>3323</t>
  </si>
  <si>
    <t>33261</t>
  </si>
  <si>
    <t>33341</t>
  </si>
  <si>
    <t>3327</t>
  </si>
  <si>
    <t>3329</t>
  </si>
  <si>
    <t>333</t>
  </si>
  <si>
    <t>336</t>
  </si>
  <si>
    <t>33621</t>
  </si>
  <si>
    <t>3363</t>
  </si>
  <si>
    <t>33661</t>
  </si>
  <si>
    <t>335</t>
  </si>
  <si>
    <t>3342</t>
  </si>
  <si>
    <t>327</t>
  </si>
  <si>
    <t>3273</t>
  </si>
  <si>
    <t>3279</t>
  </si>
  <si>
    <t>32721</t>
  </si>
  <si>
    <t>3274</t>
  </si>
  <si>
    <t>325</t>
  </si>
  <si>
    <t>3253</t>
  </si>
  <si>
    <t>3252</t>
  </si>
  <si>
    <t>339</t>
  </si>
  <si>
    <t>33451</t>
  </si>
  <si>
    <t>236</t>
  </si>
  <si>
    <t>2362</t>
  </si>
  <si>
    <t>237</t>
  </si>
  <si>
    <t>238</t>
  </si>
  <si>
    <t>2389</t>
  </si>
  <si>
    <t>2381</t>
  </si>
  <si>
    <t>2383</t>
  </si>
  <si>
    <t>2382</t>
  </si>
  <si>
    <t>488</t>
  </si>
  <si>
    <t>4881</t>
  </si>
  <si>
    <t>4883</t>
  </si>
  <si>
    <t>485</t>
  </si>
  <si>
    <t>486</t>
  </si>
  <si>
    <t>4869</t>
  </si>
  <si>
    <t>517</t>
  </si>
  <si>
    <t>5151</t>
  </si>
  <si>
    <t>492</t>
  </si>
  <si>
    <t>2211</t>
  </si>
  <si>
    <t>2213</t>
  </si>
  <si>
    <t>4111</t>
  </si>
  <si>
    <t>413</t>
  </si>
  <si>
    <t>4131</t>
  </si>
  <si>
    <t>4132</t>
  </si>
  <si>
    <t>4145</t>
  </si>
  <si>
    <t>414</t>
  </si>
  <si>
    <t>4141</t>
  </si>
  <si>
    <t>4142</t>
  </si>
  <si>
    <t>4143</t>
  </si>
  <si>
    <t>415</t>
  </si>
  <si>
    <t>4151</t>
  </si>
  <si>
    <t>416</t>
  </si>
  <si>
    <t>4163</t>
  </si>
  <si>
    <t>417</t>
  </si>
  <si>
    <t>4172</t>
  </si>
  <si>
    <t>4161</t>
  </si>
  <si>
    <t>4179</t>
  </si>
  <si>
    <t>418</t>
  </si>
  <si>
    <t>4181</t>
  </si>
  <si>
    <t>4182</t>
  </si>
  <si>
    <t>4183</t>
  </si>
  <si>
    <t>4189</t>
  </si>
  <si>
    <t>445</t>
  </si>
  <si>
    <t>4451</t>
  </si>
  <si>
    <t>4461</t>
  </si>
  <si>
    <t>4539</t>
  </si>
  <si>
    <t>448</t>
  </si>
  <si>
    <t>4481</t>
  </si>
  <si>
    <t>442</t>
  </si>
  <si>
    <t>4422</t>
  </si>
  <si>
    <t>441</t>
  </si>
  <si>
    <t>4412</t>
  </si>
  <si>
    <t>4471</t>
  </si>
  <si>
    <t>4413</t>
  </si>
  <si>
    <t>452</t>
  </si>
  <si>
    <t>4441</t>
  </si>
  <si>
    <t>4483</t>
  </si>
  <si>
    <t>8114</t>
  </si>
  <si>
    <t>454</t>
  </si>
  <si>
    <t>522</t>
  </si>
  <si>
    <t>524</t>
  </si>
  <si>
    <t>531</t>
  </si>
  <si>
    <t>5242</t>
  </si>
  <si>
    <t>561</t>
  </si>
  <si>
    <t>54121</t>
  </si>
  <si>
    <t>5418</t>
  </si>
  <si>
    <t>5416</t>
  </si>
  <si>
    <t>5614</t>
  </si>
  <si>
    <t>911</t>
  </si>
  <si>
    <t>9114</t>
  </si>
  <si>
    <t>912</t>
  </si>
  <si>
    <t>913</t>
  </si>
  <si>
    <t>611</t>
  </si>
  <si>
    <t>5191</t>
  </si>
  <si>
    <t>6116</t>
  </si>
  <si>
    <t>622</t>
  </si>
  <si>
    <t>62211</t>
  </si>
  <si>
    <t>62399</t>
  </si>
  <si>
    <t>6219</t>
  </si>
  <si>
    <t>6241</t>
  </si>
  <si>
    <t>721</t>
  </si>
  <si>
    <t>72121</t>
  </si>
  <si>
    <t>7223</t>
  </si>
  <si>
    <t>713</t>
  </si>
  <si>
    <t>5121</t>
  </si>
  <si>
    <t>71121</t>
  </si>
  <si>
    <t>7139</t>
  </si>
  <si>
    <t>812</t>
  </si>
  <si>
    <t>813</t>
  </si>
  <si>
    <t>5324</t>
  </si>
  <si>
    <t>5419</t>
  </si>
  <si>
    <t>5617</t>
  </si>
  <si>
    <t>5615</t>
  </si>
  <si>
    <t>5122</t>
  </si>
  <si>
    <t>51223</t>
  </si>
  <si>
    <t>51711</t>
  </si>
  <si>
    <t>519130</t>
  </si>
  <si>
    <t>517910</t>
  </si>
  <si>
    <t>52229</t>
  </si>
  <si>
    <t>5262</t>
  </si>
  <si>
    <t>711410</t>
  </si>
  <si>
    <t>711218</t>
  </si>
  <si>
    <t>713990</t>
  </si>
  <si>
    <t>7132</t>
  </si>
  <si>
    <t>51721</t>
  </si>
  <si>
    <t>E. Installation et mise en fonction</t>
  </si>
  <si>
    <t>F. Contingences</t>
  </si>
  <si>
    <t>D. Ingénierie ou services professionnels</t>
  </si>
  <si>
    <t>Utilisation de thermopompe</t>
  </si>
  <si>
    <t>R-717</t>
  </si>
  <si>
    <t>FE2</t>
  </si>
  <si>
    <t>Dioxyde de carbone (R-744)</t>
  </si>
  <si>
    <t>IPCC Fifth Assessment Report, 2014 (AR5)</t>
  </si>
  <si>
    <t>HFE-263mf</t>
  </si>
  <si>
    <t>CF3CH2OCH3</t>
  </si>
  <si>
    <t>HFE-365mcf3</t>
  </si>
  <si>
    <t>CF3CF2CH2OCH3</t>
  </si>
  <si>
    <t>R-1234yf</t>
  </si>
  <si>
    <t>CF3CFCH2</t>
  </si>
  <si>
    <t>R-1234ze</t>
  </si>
  <si>
    <t>CF3CHCHF</t>
  </si>
  <si>
    <t>R-1270 (Propylène)</t>
  </si>
  <si>
    <t>C3H6</t>
  </si>
  <si>
    <t>Linde (source IPCC 2007 AR4)</t>
  </si>
  <si>
    <t>R-600a</t>
  </si>
  <si>
    <t>Isobutane</t>
  </si>
  <si>
    <t>Bilan des achats et des ventes d’halocarbures et des reprises d’halocarbures usés en 2017 et 2018 au Québec, Annexe1, MELCC</t>
  </si>
  <si>
    <t>C3H8 (Propane)</t>
  </si>
  <si>
    <t>CH3CH2F (Initialement: C2H5F)</t>
  </si>
  <si>
    <t>R-600</t>
  </si>
  <si>
    <t>R-601</t>
  </si>
  <si>
    <t>Pentane</t>
  </si>
  <si>
    <t>Chlorure de méthylène</t>
  </si>
  <si>
    <t>CH2Cl2</t>
  </si>
  <si>
    <t>R-601a</t>
  </si>
  <si>
    <t>Isopentane</t>
  </si>
  <si>
    <t>Chlorure de méthyle</t>
  </si>
  <si>
    <t>CH3Cl</t>
  </si>
  <si>
    <t>Chloroforme</t>
  </si>
  <si>
    <t>CHCl3</t>
  </si>
  <si>
    <t>HFE-569sf2 (HFE-7200)</t>
  </si>
  <si>
    <t>C4F9OC2H5</t>
  </si>
  <si>
    <t>CH3CHF2 (Initialement C2H4F2)</t>
  </si>
  <si>
    <t>Méthyl chloroforme</t>
  </si>
  <si>
    <t>CH2FCHF2 (Initialement C2H3F3)</t>
  </si>
  <si>
    <t>Halon-1201</t>
  </si>
  <si>
    <t>CHBrF2</t>
  </si>
  <si>
    <t>HFE-356mec3</t>
  </si>
  <si>
    <t>CH3OCF2CHFCF3</t>
  </si>
  <si>
    <t>HFE-356pcc3</t>
  </si>
  <si>
    <t>CH3OCF2CF2CHF2</t>
  </si>
  <si>
    <t>HFE-449sl (HFE-7100)</t>
  </si>
  <si>
    <t>C4F9OCH3</t>
  </si>
  <si>
    <t>HFE-356pcf3</t>
  </si>
  <si>
    <t>CHF2OCH2CF2CHF2</t>
  </si>
  <si>
    <t>R-454b</t>
  </si>
  <si>
    <t>31,1 % R-1234yf / 68,9 % R-32</t>
  </si>
  <si>
    <t>Facteur calculé selon la composition du produit</t>
  </si>
  <si>
    <t>HCFE-235da2</t>
  </si>
  <si>
    <t>CHF2OCHCLCF3</t>
  </si>
  <si>
    <t>HFE-143a</t>
  </si>
  <si>
    <t>CH3OCF3</t>
  </si>
  <si>
    <t>HFE-347mcc3</t>
  </si>
  <si>
    <t>CH3OCF2CF2CF3</t>
  </si>
  <si>
    <t>R-450A</t>
  </si>
  <si>
    <t>0,42(134a)+0,58(1234ze)</t>
  </si>
  <si>
    <t>R-513A</t>
  </si>
  <si>
    <t>0,44(R134a) + 0,56(R1234yf) Mélange</t>
  </si>
  <si>
    <t>HFE-374pc2</t>
  </si>
  <si>
    <t>CHF2CF2OCH2CH3</t>
  </si>
  <si>
    <t>HFE-245cb2</t>
  </si>
  <si>
    <t>CF3CF2OCH3 (InitialementCH3OCHCLCF3)</t>
  </si>
  <si>
    <t>CH2FCF2CHF2 (Initialement: C3H3F5)</t>
  </si>
  <si>
    <t>HFE-356pcf2</t>
  </si>
  <si>
    <t>CHF2CH2OCF2CHF2</t>
  </si>
  <si>
    <t>CH3CF2CH2CF3 (Initialement: C4H5F5)</t>
  </si>
  <si>
    <t>HFE-245fa2</t>
  </si>
  <si>
    <t>CHF2OCH2CF3</t>
  </si>
  <si>
    <t>HFE-245fa1</t>
  </si>
  <si>
    <t>CHF2CH2OCF3</t>
  </si>
  <si>
    <t>HFE-347mcf2</t>
  </si>
  <si>
    <t>CHF2CH2OCF2CF3</t>
  </si>
  <si>
    <t>CHF2CH2CF3</t>
  </si>
  <si>
    <t>CHF2CH2CF3 (Initialement: C3H3F5)</t>
  </si>
  <si>
    <t>HFE-347pcf2</t>
  </si>
  <si>
    <t>CHF2CF2OCH2CF3 (Initialement CHF2OCH2CF3)</t>
  </si>
  <si>
    <t>HFE-338mcf2</t>
  </si>
  <si>
    <t>CF3CH2OCF2CF3</t>
  </si>
  <si>
    <t>HFE-236fa</t>
  </si>
  <si>
    <t>CF3CH2OCF3</t>
  </si>
  <si>
    <t>CH2FCF2CF3 (Initialement: C3H2F6)</t>
  </si>
  <si>
    <t>0,5(HFC-134a)+0,466(HFC-125)+0,034(600)</t>
  </si>
  <si>
    <t>0,77(HFC-125)+0,19(HFC-134a)+0,04(E170)</t>
  </si>
  <si>
    <t>Facteur calculé selon la composition du produit (E170 négligé)</t>
  </si>
  <si>
    <t>HFE-43-10pccc124 (H-Galden 1040x)</t>
  </si>
  <si>
    <t>CHF2OCF2OC2F4OCHF2</t>
  </si>
  <si>
    <t>HFE-338pcc13 (HG-01)</t>
  </si>
  <si>
    <t>CHF2OCF2CF2OCHF2</t>
  </si>
  <si>
    <t>HFE-329mcc2</t>
  </si>
  <si>
    <t>CHF2CF2OCF2CF3</t>
  </si>
  <si>
    <t>0,05(R290)+0,75(HCFC-22)+0,2(PFC-218)</t>
  </si>
  <si>
    <t>CHF2CF3 (Initialement C2HF5)</t>
  </si>
  <si>
    <t>CF3CHFCF3 (Initialement: C3HF7)</t>
  </si>
  <si>
    <t>0,45(22)+0,07(152a)+0,055(142b)+0,425(PFC-318)</t>
  </si>
  <si>
    <t>CH3CF3 (Initialement C2H3F3)</t>
  </si>
  <si>
    <t>HFE-236ca12 (HG-10)</t>
  </si>
  <si>
    <t>CHF2OCF2OCHF2</t>
  </si>
  <si>
    <t>HFE-134</t>
  </si>
  <si>
    <t>CHF2OCHF2</t>
  </si>
  <si>
    <t>HFE-227ea</t>
  </si>
  <si>
    <t>CF3CHFOCF3</t>
  </si>
  <si>
    <t>Perfluorohexane (PFC-51-14)</t>
  </si>
  <si>
    <t>n-C6F14</t>
  </si>
  <si>
    <t>CF3CH2CF3 (Intialement: C3H2F6)</t>
  </si>
  <si>
    <t>Perfluoropentane (PFC-41-12)</t>
  </si>
  <si>
    <t>n-C5F12</t>
  </si>
  <si>
    <t>Perfluorobutane (PFC-31-10)</t>
  </si>
  <si>
    <t>PFPMIE</t>
  </si>
  <si>
    <t>CF3OCF(CF3)CF2OCF2OCF3</t>
  </si>
  <si>
    <t>HFE-125</t>
  </si>
  <si>
    <t>CHF2OCF3</t>
  </si>
  <si>
    <t>Conversion électricité (gaz naturel déplacé)</t>
  </si>
  <si>
    <t>Conversion électricité (résistance)</t>
  </si>
  <si>
    <t>Nom du participant :</t>
  </si>
  <si>
    <t>A-Organisme participant</t>
  </si>
  <si>
    <t>Description sommaire du participant</t>
  </si>
  <si>
    <t>Participant</t>
  </si>
  <si>
    <t xml:space="preserve">*Le signataire déclare qu'il est dûment autorisé à prendre des engagements au nom du participant, qu'il a pris connaissance des exigences et conditions du programme pour lequel il demande une aide financière </t>
  </si>
  <si>
    <t xml:space="preserve">   N° de dossier pour Énergir</t>
  </si>
  <si>
    <t>Section réservée à Énergir</t>
  </si>
  <si>
    <t>Âge du bâtiment</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</si>
  <si>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constante ou à stages (exemple : compresseur digital). Les thermopompes peuvent opérer soit en mode chauffage, soit en mode climatisation pour l’ensemble des zones qu’elles desservent. Le fonctionnement simultané dans les deux modes n’est pas possible.</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</si>
  <si>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constante ou à stages (exemple : compresseur digital). Les thermopompes peuvent opérer simultanément en mode chauffage et mode climatisation pour l’ensemble des zones qu’elles desservent. En second lieu, l’appareil possède un mécanisme (exemple : désurchauffeur) qui permet de récupérer de l’énergie du cycle de refroidissement, qui est renvoyée vers le cycle de chauffage.</t>
  </si>
  <si>
    <t>Ne pas afficher au participant</t>
  </si>
  <si>
    <t>▪ Subventions pour un aérotherme</t>
  </si>
  <si>
    <t>Entrez le numéro AHRI associé à la thermopompe de l'unité murale. Assurez-vous de saisir le numéro figurant dans la liste du AHRI.</t>
  </si>
  <si>
    <t>La condition normalisée est toujours celle à haute température (+ 8,3 °C).</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</si>
  <si>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variable ou d’un autre type de technologie permettant au compresseur de faire varier sa capacité selon la charge de climatisation ou de chauffage. Les thermopompes peuvent opérer simultanément en mode chauffage et mode climatisation pour l’ensemble des zones qu’elles desservent. En second lieu, l’énergie récupérée par les unités intérieures fonctionnant dans un mode peut être transférée vers une ou plusieurs autres unités intérieures fonctionnant dans l’autre mode.</t>
  </si>
  <si>
    <t>Mesure qui consiste à installer des appareils de climatisation et de chauffage fonctionnant selon un cycle réversible de réfrigération. Ces appareils puisent ou rejettent la chaleur dans l’air ambiant (à l’extérieur). Les thermopompes sont munies d’un ou plusieurs compresseurs à vitesse variable ou d’un autre type de technologie permettant au compresseur de faire varier sa capacité selon la charge de climatisation ou de chauffage. Les thermopompes peuvent opérer soit en mode chauffage, soit en mode climatisation pour l’ensemble des zones qu’elles desservent. Le fonctionnement simultané dans les deux modes n’est pas possible.</t>
  </si>
  <si>
    <t>Mesure qui consiste à installer des appareils de climatisation et de chauffage fonctionnant selon un cycle réversible de réfrigération. Ces appareils puisent ou rejettent la chaleur dans l’air ambiant (à l’extérieur). Les thermopompes sont munies d’un compresseur à vitesse variable. Les thermopompes peuvent opérer soit en mode chauffage, soit en mode climatisation pour l’ensemble des zones qu’elles desservent. Le fonctionnement simultané dans les deux modes n’est pas possible. Pour que la thermopompe soit considérée comme efficace, elle doit soit être présente sur la liste du NEEP ou posséder les caractéristiques suivantes :
HSPF2 &gt;= 8,5 (10 HSPF équivalent)
SEER2 &gt;= 15 (15 SEER équivalent)
COP à 5 °F &gt;= 1,75 à la capacité maximale d'opération</t>
  </si>
  <si>
    <t>Mesure qui consiste à installer des appareils de climatisation et de chauffage, fonctionnant selon un cycle réversible de réfrigération. Ces appareils puisent ou rejettent la chaleur dans l’air ambiant (à l’extérieur). Les thermopompes sont munies d’un compresseur à vitesse variable. Les thermopompes peuvent opérer soit en mode chauffage soit en mode climatisation pour l’ensemble des zones qu’elles desservent. Le fonctionnement simultané dans les deux modes n’est pas possible. Pour que la thermopompe soit considérée à très haute efficacité, elle doit être présente sur la liste du NEEP et posséder les caractéristiques suivantes :
HSPF2 &gt;= 8,5 (10 HSPF équivalent)
SEER2 &gt;= 15 (15 SEER équivalent)
COP à 5 °F &gt;= 1,75 à la capacité maximale d'opération
Capacité max 5 °F (Btu/h) / capacité max. (Btu/h) 47 °F &gt;= 0,7</t>
  </si>
  <si>
    <t>Marché dont les activités sont associées à la fourniture de services et qui est un organisme public.</t>
  </si>
  <si>
    <t>Puissance
de chauffage
à 47 °F (kW)</t>
  </si>
  <si>
    <r>
      <t>Superficie bâtiment (m</t>
    </r>
    <r>
      <rPr>
        <vertAlign val="superscript"/>
        <sz val="7"/>
        <rFont val="Arial"/>
        <family val="2"/>
      </rPr>
      <t>2</t>
    </r>
    <r>
      <rPr>
        <sz val="7"/>
        <rFont val="Arial"/>
        <family val="2"/>
      </rPr>
      <t>)</t>
    </r>
  </si>
  <si>
    <t>Comment remplir le Plan d'implantation des mesures</t>
  </si>
  <si>
    <t>46</t>
  </si>
  <si>
    <t>PRP_Version</t>
  </si>
  <si>
    <t>R-414B</t>
  </si>
  <si>
    <t>0,5(R-22)+0,39(HCFC-124)+,015*(600a)+0,095(142b)</t>
  </si>
  <si>
    <t>HFC-134a</t>
  </si>
  <si>
    <t>CH2FCF3</t>
  </si>
  <si>
    <t>HFC-236ea</t>
  </si>
  <si>
    <t>CHF2CHFCF3 (Intialement: C3H2F6)</t>
  </si>
  <si>
    <t>R-426A</t>
  </si>
  <si>
    <t>0,051(HFC-125)+0,93(134a)+0,013(600a)+0,006(601a)</t>
  </si>
  <si>
    <t>R-414A</t>
  </si>
  <si>
    <t>0,51(R-22)+0,285(HCFC-124)+,04*(600a)+0,165(142b)</t>
  </si>
  <si>
    <t>R-420A</t>
  </si>
  <si>
    <t>0,88(HFC-134a)+0,12(HCFC-142b)</t>
  </si>
  <si>
    <t>R-407E</t>
  </si>
  <si>
    <t>0,25(HFC-32)+0,15(HFC-125)+0,6(HFC-134a)</t>
  </si>
  <si>
    <t>R-425A</t>
  </si>
  <si>
    <t>0,185(HFC-32)+0,695(HFC-134a)+0,12(HFC-227ea)</t>
  </si>
  <si>
    <t>R-415A</t>
  </si>
  <si>
    <t>0,82(HFC-22)+0,18(HFC-152a)</t>
  </si>
  <si>
    <t>Halon-2402</t>
  </si>
  <si>
    <t>CBrF2CBrF2</t>
  </si>
  <si>
    <t>R-409B</t>
  </si>
  <si>
    <t>0,65(HCFC-22)+0,25(HCFC-124)+0,1(HCFC-142b)</t>
  </si>
  <si>
    <t>R-409A</t>
  </si>
  <si>
    <t>0,6(HCFC-22)+0,25(HCFC-124)+0,15(HCFC-142b)</t>
  </si>
  <si>
    <t>R-407D</t>
  </si>
  <si>
    <t>0,15(HFC-32)+0,15(HFC-125)+0,7(HFC-134a)</t>
  </si>
  <si>
    <t>R-411A</t>
  </si>
  <si>
    <t>0,015*(R-1270)+0,875(HFC-22)+,11(HFC-152a)</t>
  </si>
  <si>
    <t>R-407C</t>
  </si>
  <si>
    <t>0,23(HFC-32)+0,25(HFC-125)+0,52(HFC-134a)</t>
  </si>
  <si>
    <t>HFC-43-10mee</t>
  </si>
  <si>
    <t>CF3CHFCHFCF2CF3 (Intialement: C5H2F10)</t>
  </si>
  <si>
    <t>R-411B</t>
  </si>
  <si>
    <t>0,03*(R-1270)+0,94(HFC-22)+,03(HFC-152a)</t>
  </si>
  <si>
    <t>R-418A</t>
  </si>
  <si>
    <t>0,015(propane)+0,96(HCFC-22)+0,025(HFC-152a)</t>
  </si>
  <si>
    <t>Tétrachlorure de carbone</t>
  </si>
  <si>
    <t>CCl4</t>
  </si>
  <si>
    <t>Halon-1211</t>
  </si>
  <si>
    <t>CBrClF2</t>
  </si>
  <si>
    <t>HCFC-22 (R-22)</t>
  </si>
  <si>
    <t>CHClF2</t>
  </si>
  <si>
    <t>R-406A</t>
  </si>
  <si>
    <t>0,55(HCFC-22)+,04(R-600a)+0,41(HCFC-142b)</t>
  </si>
  <si>
    <t>HFE-236ea2</t>
  </si>
  <si>
    <t>CHF2OCHFCF3</t>
  </si>
  <si>
    <t>R-410B</t>
  </si>
  <si>
    <t>0,45(HFC-125)+0,55(HFC-32)</t>
  </si>
  <si>
    <t>R-407A</t>
  </si>
  <si>
    <t>0,4(HFC-134a)+0,4(HFC-125)+0,2(HFC-32)</t>
  </si>
  <si>
    <t>R-410A</t>
  </si>
  <si>
    <t>0,5(HFC-125)+0,5(HFC-32)</t>
  </si>
  <si>
    <t>R-413A</t>
  </si>
  <si>
    <t>0,09(PFC-218)+0,88(HFC-134a)+0,03*(600a)</t>
  </si>
  <si>
    <t>Ressources pour les appareils donnant droit aux subventions en efficacité énergétique (PEE : Programme équipement efficace) :</t>
  </si>
  <si>
    <t>Sources :</t>
  </si>
  <si>
    <t>https://www23.statcan.gc.ca/imdb/p3VD_f.pl?Function=getVD&amp;TVD=1369825</t>
  </si>
  <si>
    <t>https://www.quebec.ca/entreprises-et-travailleurs-autonomes/obtenir-renseignements-entreprise/codes-activites-economiques</t>
  </si>
  <si>
    <t>Classe de bâtiment</t>
  </si>
  <si>
    <t>Calcul PED et PEE</t>
  </si>
  <si>
    <t>PED</t>
  </si>
  <si>
    <t>Consommation annuelle</t>
  </si>
  <si>
    <t>Liste des types de bâtiment</t>
  </si>
  <si>
    <t>% réduction de GES</t>
  </si>
  <si>
    <t>Constantes</t>
  </si>
  <si>
    <t>$ Subv. / tonne de GES évité</t>
  </si>
  <si>
    <t>Facteur de conversion GES pour la BIE</t>
  </si>
  <si>
    <t>Facteur de conversion GES pour le GNR</t>
  </si>
  <si>
    <t>Plafond</t>
  </si>
  <si>
    <t xml:space="preserve">Réduction </t>
  </si>
  <si>
    <t>GES (tonnes)</t>
  </si>
  <si>
    <t>PED déjà reçu**</t>
  </si>
  <si>
    <t>Aide financière Énergir***</t>
  </si>
  <si>
    <t>PED déjà reçu</t>
  </si>
  <si>
    <t>Programme d'encouragement à la décarbonation (PED)</t>
  </si>
  <si>
    <t>**</t>
  </si>
  <si>
    <t>***</t>
  </si>
  <si>
    <t>Le montant exprimé est une approximation de la subvention. Le montant exact vous sera confirmé par Énergir une fois le projet soumis.</t>
  </si>
  <si>
    <t xml:space="preserve">Le montant maximum de subvention octroyé pour un bâtiment est de 15 000 $. Un client ayant déjà reçu du PED pour une autre mesure </t>
  </si>
  <si>
    <t>C- Programme PED</t>
  </si>
  <si>
    <t>D-Équipement électrique efficace</t>
  </si>
  <si>
    <t>E-Aide financière</t>
  </si>
  <si>
    <t>Type de technologie</t>
  </si>
  <si>
    <t>SANS équipement efficace</t>
  </si>
  <si>
    <t xml:space="preserve"> AVEC équipement efficace</t>
  </si>
  <si>
    <t>Sans taxes</t>
  </si>
  <si>
    <t>Avec taxes</t>
  </si>
  <si>
    <t>Taxes</t>
  </si>
  <si>
    <t>▪ Plan de projet rempli par un ingénieur</t>
  </si>
  <si>
    <t>▪ Preuve de propriété</t>
  </si>
  <si>
    <t>▪ Procuration</t>
  </si>
  <si>
    <t>▪ Étude de faisabilité</t>
  </si>
  <si>
    <t>▪ Fiche technique des équipements</t>
  </si>
  <si>
    <t>▪ Simulation énergétique du bâtiment</t>
  </si>
  <si>
    <t>▪ Simulation tarifaire</t>
  </si>
  <si>
    <t>Contribution
sans taxes ($)</t>
  </si>
  <si>
    <t>Contribution
avec taxes ($)</t>
  </si>
  <si>
    <t>Contribution
sans taxes (%)</t>
  </si>
  <si>
    <t>N° d'imputation
comptable</t>
  </si>
  <si>
    <t>Énergie électrique (kWh)
M</t>
  </si>
  <si>
    <t>Mesure qui consiste à installer des appareils de climatisation et de chauffage, fonctionnant selon un cycle réversible de réfrigération. Ces appareils puisent ou rejettent la chaleur dans l’air ambiant (à l’extérieur). Les thermopompes sont munies d’un compresseur avec vitesse variable. Les thermopompes peuvent opérer soit en mode chauffage, soit en mode climatisation pour l’ensemble des zones qu’elles desservent. Le fonctionnement simultané dans les deux modes n’est pas possible. Pour que la thermopompe soit considérée à très haute efficacité, elle doit soit être présente sur la liste du NEEP et posséder les caractéristiques suivantes :
HSPF2 &gt;= 8,5 (10 HSPF équivalent)
SEER2 &gt;= 15 (15 SEER équivalent)
COP à 5 °F &gt;= 1,75 à la capacité maximale d'opération
capacité max 5 °F (Btu/h) / capacité max. (Btu/h) 47 °F &gt;= 0,7</t>
  </si>
  <si>
    <t>Mesure qui consiste à installer des appareils de climatisation et de chauffage, fonctionnant selon un cycle réversible de réfrigération. Ces appareils puisent ou rejettent la chaleur dans l’air ambiant (à l’extérieur). Les thermopompes sont munies d’un compresseur avec vitesse variable. Les thermopompes peuvent opérer soit en mode chauffage, soit en mode climatisation pour l’ensemble des zones qu’elles desservent. Le fonctionnement simultané dans les deux modes n’est pas possible. Pour que la thermopompe soit considérée efficace, elle doit soit être présente sur la liste du NEEP ou posséder les caractéristiques suivantes :
HSPF2 &gt;= 8,5 (10 HSPF équivalent)
SEER2 &gt;= 15 (15 SEER équivalent)
COP à 5 °F &gt;= 1,75 à la capacité maximale d'opération</t>
  </si>
  <si>
    <t>Espace clos avec mur solaire et centralisation des évacuations d'air</t>
  </si>
  <si>
    <t>Énergie électrique (kWh)</t>
  </si>
  <si>
    <t>S. O.</t>
  </si>
  <si>
    <t>Bâtiment qui est en cours de conception ou de construction. Un agrandissement à un bâtiment existant compte aussi comme une nouvelle construction.</t>
  </si>
  <si>
    <t>Rénovation / conversion</t>
  </si>
  <si>
    <t>Travaux de remplacement de l’ensemble des composants suivants d’un bâtiment : systèmes de commande, système de chauffage, de ventilation et de conditionnement d’air (CVCA), système d’éclairage, cloisons architecturales intérieures, fenêtres, isolation des murs extérieurs et toiture.</t>
  </si>
  <si>
    <t>Multi-location (résidentiel)</t>
  </si>
  <si>
    <t>Autres types d'installations</t>
  </si>
  <si>
    <t>Commercial, institutionnel SANS équipement efficace</t>
  </si>
  <si>
    <t>Commercial, institutionnel AVEC équipement efficace</t>
  </si>
  <si>
    <r>
      <rPr>
        <b/>
        <sz val="8"/>
        <color indexed="8"/>
        <rFont val="Arial"/>
        <family val="2"/>
      </rPr>
      <t>Note :</t>
    </r>
    <r>
      <rPr>
        <sz val="8"/>
        <color indexed="8"/>
        <rFont val="Arial"/>
        <family val="2"/>
      </rPr>
      <t xml:space="preserve"> Sélectionnez le tarif qui s’applique à l’abonnement du bâtiment. Le tarif qui s'applique est celui du bâtiment avant la conversion à la biénergie.</t>
    </r>
  </si>
  <si>
    <t>Unité murale (bi-blocs) – thermopompe efficace</t>
  </si>
  <si>
    <t>Unité murale (bi-blocs) – thermopompe à très haute efficacité</t>
  </si>
  <si>
    <t>Institutionnel privé</t>
  </si>
  <si>
    <r>
      <t>Réduction de la consommation de gaz (m</t>
    </r>
    <r>
      <rPr>
        <vertAlign val="superscript"/>
        <sz val="8"/>
        <color indexed="8"/>
        <rFont val="Arial"/>
        <family val="2"/>
      </rPr>
      <t>3</t>
    </r>
    <r>
      <rPr>
        <sz val="8"/>
        <color indexed="8"/>
        <rFont val="Arial"/>
        <family val="2"/>
      </rPr>
      <t>) des mesures biénergie*</t>
    </r>
  </si>
  <si>
    <t>La cellule est liée au plan d'implantation. Assurez-vous que toutes les économies de gaz sont incluses dans cette cellule.</t>
  </si>
  <si>
    <r>
      <t>(</t>
    </r>
    <r>
      <rPr>
        <b/>
        <sz val="8"/>
        <color indexed="8"/>
        <rFont val="Arial"/>
        <family val="2"/>
      </rPr>
      <t>ex. :</t>
    </r>
    <r>
      <rPr>
        <sz val="8"/>
        <color indexed="8"/>
        <rFont val="Arial"/>
        <family val="2"/>
      </rPr>
      <t xml:space="preserve"> consommation de GNR ou projet de biénergie pour une phase subséquente) verra ce montant être réduit du montant calculé pour la mesure actuelle. Dans l'absence d'information, entrer 0 $.</t>
    </r>
  </si>
  <si>
    <t>GNR (Biénergie)</t>
  </si>
  <si>
    <t>Gaz Métro et Règlement sur la déclaration obligatoire de certaines émission de contaminants dans l'atmosphère, Loi sur la qualité de l'environnement, Q-2, a.2.2, 109.1 et 124.1
Utilisation des données pour usages industriels.</t>
  </si>
  <si>
    <t>GN</t>
  </si>
  <si>
    <t>Crédit fédéral</t>
  </si>
  <si>
    <t>Crédit provincial</t>
  </si>
  <si>
    <t>Crédit d'impôt du fédéral</t>
  </si>
  <si>
    <t>Crédit d'impôt du provincial</t>
  </si>
  <si>
    <t>1. Demande d'aide financière</t>
  </si>
  <si>
    <t>Biénergie - Parcours sur mesure</t>
  </si>
  <si>
    <t>OIQ:</t>
  </si>
  <si>
    <t>2. Plan d'implantation des mesures</t>
  </si>
  <si>
    <t>3. Rapport détaillé des coûts</t>
  </si>
  <si>
    <r>
      <t>version n</t>
    </r>
    <r>
      <rPr>
        <sz val="5"/>
        <color indexed="8"/>
        <rFont val="Calibri"/>
        <family val="2"/>
      </rPr>
      <t>°1</t>
    </r>
    <r>
      <rPr>
        <sz val="5"/>
        <color indexed="8"/>
        <rFont val="Calibri"/>
        <family val="2"/>
      </rPr>
      <t xml:space="preserve"> 2026-04</t>
    </r>
  </si>
  <si>
    <t>4. Calculateur de l'aide d'Énergir et d'Hydro-Québec</t>
  </si>
  <si>
    <t>Instructions pour remplir le Plan d'implantation</t>
  </si>
  <si>
    <t>MJ/Unité</t>
  </si>
  <si>
    <t>kWh/Unité</t>
  </si>
  <si>
    <t>Btu/Unité</t>
  </si>
  <si>
    <t>Émission (g/Unité)</t>
  </si>
  <si>
    <r>
      <t>kg/GJ CO</t>
    </r>
    <r>
      <rPr>
        <b/>
        <vertAlign val="subscript"/>
        <sz val="10"/>
        <color indexed="9"/>
        <rFont val="Arial"/>
        <family val="2"/>
      </rPr>
      <t>2e</t>
    </r>
  </si>
  <si>
    <r>
      <t>CO</t>
    </r>
    <r>
      <rPr>
        <b/>
        <vertAlign val="subscript"/>
        <sz val="10"/>
        <color indexed="9"/>
        <rFont val="Arial"/>
        <family val="2"/>
      </rPr>
      <t>2</t>
    </r>
  </si>
  <si>
    <r>
      <t>CH</t>
    </r>
    <r>
      <rPr>
        <b/>
        <vertAlign val="subscript"/>
        <sz val="10"/>
        <color indexed="9"/>
        <rFont val="Arial"/>
        <family val="2"/>
      </rPr>
      <t>4</t>
    </r>
  </si>
  <si>
    <r>
      <t>CO</t>
    </r>
    <r>
      <rPr>
        <b/>
        <vertAlign val="subscript"/>
        <sz val="10"/>
        <color indexed="9"/>
        <rFont val="Arial"/>
        <family val="2"/>
      </rPr>
      <t>2e</t>
    </r>
  </si>
  <si>
    <r>
      <t>CO</t>
    </r>
    <r>
      <rPr>
        <b/>
        <vertAlign val="subscript"/>
        <sz val="10"/>
        <color indexed="9"/>
        <rFont val="Arial"/>
        <family val="2"/>
      </rPr>
      <t>2e</t>
    </r>
    <r>
      <rPr>
        <b/>
        <sz val="10"/>
        <color indexed="9"/>
        <rFont val="Arial"/>
        <family val="2"/>
      </rPr>
      <t xml:space="preserve"> Neutralité</t>
    </r>
  </si>
  <si>
    <r>
      <t>N</t>
    </r>
    <r>
      <rPr>
        <b/>
        <vertAlign val="subscript"/>
        <sz val="10"/>
        <color indexed="9"/>
        <rFont val="Arial"/>
        <family val="2"/>
      </rPr>
      <t>2</t>
    </r>
    <r>
      <rPr>
        <b/>
        <sz val="10"/>
        <color indexed="9"/>
        <rFont val="Arial"/>
        <family val="2"/>
      </rPr>
      <t>O</t>
    </r>
  </si>
  <si>
    <t>Biométhanol (100%)</t>
  </si>
  <si>
    <r>
      <rPr>
        <b/>
        <i/>
        <sz val="10"/>
        <color indexed="32"/>
        <rFont val="Arial"/>
        <family val="2"/>
      </rPr>
      <t xml:space="preserve">Les données sont tirées de:     </t>
    </r>
    <r>
      <rPr>
        <sz val="10"/>
        <rFont val="Arial"/>
        <family val="2"/>
      </rPr>
      <t>Règlement sur la déclaration obligatoire de certaines émission de contaminants dans l'atmosphère, Loi sur la qualité de l'environnement, Q-2, a.2.2, 109.1 et 124.1 Forintek avec valeur de facteur d'émission égale au déchets ligneux, Annexe 13 du Rapport d'inventaire national du Canada 1990-2010 partie 3
Facteur d’émission du guide des facteurs d’émissions de l’ADEME version 5.0, Gaz Métro pour le pouvoir calorifique du gaz naturel</t>
    </r>
  </si>
  <si>
    <t>Facteurs d'émission et de conversion</t>
  </si>
  <si>
    <t>Dépenses internes</t>
  </si>
  <si>
    <t>Nom de l'employé</t>
  </si>
  <si>
    <t>Profession</t>
  </si>
  <si>
    <r>
      <t>n</t>
    </r>
    <r>
      <rPr>
        <sz val="10"/>
        <color indexed="9"/>
        <rFont val="Calibri"/>
        <family val="2"/>
      </rPr>
      <t>°</t>
    </r>
    <r>
      <rPr>
        <sz val="10"/>
        <color indexed="9"/>
        <rFont val="Arial"/>
        <family val="2"/>
      </rPr>
      <t xml:space="preserve"> OIQ</t>
    </r>
  </si>
  <si>
    <t>Nombre d'années d'expérience</t>
  </si>
  <si>
    <t>Période des travaux
(jj-mm-aa à jj-mm-aa)</t>
  </si>
  <si>
    <t>Nombre d'heures travaillées</t>
  </si>
  <si>
    <t>Tarif horaire ($)</t>
  </si>
  <si>
    <t>Coût ($)</t>
  </si>
  <si>
    <t>A</t>
  </si>
  <si>
    <t>B</t>
  </si>
  <si>
    <t>A x B</t>
  </si>
  <si>
    <t>TPS</t>
  </si>
  <si>
    <t>TVQ</t>
  </si>
  <si>
    <t>Autorisation du client :</t>
  </si>
  <si>
    <t>Par la présente, j’autorise Énergir à demander des informations additionnelles. Ces informations demeureront strictement confidentielles.</t>
  </si>
  <si>
    <t>jour / mois / année</t>
  </si>
  <si>
    <t>Mesure Thermopompe Aérothermique sur un conditionneur d'air</t>
  </si>
  <si>
    <t>Type de mesure</t>
  </si>
  <si>
    <t>Thermopompe aérothermique sur un conditionneur d'air en toiture (rooftop)</t>
  </si>
  <si>
    <t>Thermopompe aérothermique sur un conditionneur d'air assemblé</t>
  </si>
  <si>
    <t>Autre mesure applicable au projet* (ex.: Géothermie)</t>
  </si>
  <si>
    <t>Calcul OSE Rooftop</t>
  </si>
  <si>
    <t>a</t>
  </si>
  <si>
    <t>b</t>
  </si>
  <si>
    <t>Mesure Thermopompe Aérothermique sur une boucle d'eau</t>
  </si>
  <si>
    <t>Type de boucle d'eau</t>
  </si>
  <si>
    <t>Boucle d'eau mitigée</t>
  </si>
  <si>
    <t>Boucle d'eau chaude basse température (inférieur à 130F)</t>
  </si>
  <si>
    <t>Boucle d'eau chaude haute température (supérieur ou égale à 130F)</t>
  </si>
  <si>
    <t>Option de chauffage</t>
  </si>
  <si>
    <t>Sans boite de récupération de chaleur</t>
  </si>
  <si>
    <t>Avec boite de récupération de chaleur</t>
  </si>
  <si>
    <t>Type d'unité bibloc</t>
  </si>
  <si>
    <t>N° AHRI
ou ID ENERGY STAR</t>
  </si>
  <si>
    <t>Unité bibloc certifié ENERGY STAR</t>
  </si>
  <si>
    <t>Unité bibloc certifié ENERGY STAR climat froid</t>
  </si>
  <si>
    <t>Unité bibloc certifié AHRI</t>
  </si>
  <si>
    <t>kWh (HQ)</t>
  </si>
  <si>
    <t>Bonif microclimat A</t>
  </si>
  <si>
    <t>Bonif microclimat B</t>
  </si>
  <si>
    <t>kWh HQ</t>
  </si>
  <si>
    <t>Autre intrant</t>
  </si>
  <si>
    <t>Aide rooftop</t>
  </si>
  <si>
    <t>AideTP air-eau</t>
  </si>
  <si>
    <t>Aide VRF</t>
  </si>
  <si>
    <t>Aide bibloc</t>
  </si>
  <si>
    <t>Calcul OSE TP air-eau</t>
  </si>
  <si>
    <t>Autres caractéristique (Thermopompe air-eau et air-air + de 5 tonnes seulement)</t>
  </si>
  <si>
    <t>Thermopompe air-eau</t>
  </si>
  <si>
    <t xml:space="preserve">Ce gabarit uniformisé est mis à la disposition des participants du Programme Biénergie - Parcours sur mesure. Il permet de déclarer correctement les dépenses internes relatives aux mesures financées dans le cadre du programme. Énergir se réserve le droit de vérifier et de remettre en question les informations présentées dans le tableau ci-dessous (par exemple si les tarifs horaires s'écartent de manière significative des taux habituellement reconnus dans l’industrie). </t>
  </si>
  <si>
    <t>5. Dépenses internes - Gabarit de déclaration</t>
  </si>
  <si>
    <t>Calcul OSE TP VRF</t>
  </si>
  <si>
    <t>Sans boîte de récupération de chaleur</t>
  </si>
  <si>
    <t>Avec boîte de récupération de chaleur</t>
  </si>
  <si>
    <t>Niveau d'appui
Tarif G et Flex G
$/kWh</t>
  </si>
  <si>
    <t>Calcul OSE TP bibloc</t>
  </si>
  <si>
    <t>kwh HQ</t>
  </si>
  <si>
    <t>*Inscrire manuellement toute autre mesure d'OSE non inclue dans les tableau plus haut si applicable au projet et inclure une copie du calculateur OSE lors du dépôt de la demande</t>
  </si>
  <si>
    <t>Mesure Thermopompe aérothermqiue sur une boucle de réfrigérant (VRF)</t>
  </si>
  <si>
    <t>Mesure Thermopompe aérothermique sur une unité bibloc</t>
  </si>
  <si>
    <t>E-Site</t>
  </si>
  <si>
    <t>F-Consommation d'énergie</t>
  </si>
  <si>
    <t>G-Projet</t>
  </si>
  <si>
    <t>H-Sommaire coûts projet</t>
  </si>
  <si>
    <t>I-Données financières</t>
  </si>
  <si>
    <t>J-Signature</t>
  </si>
  <si>
    <t>Avant travaux:</t>
  </si>
  <si>
    <t>Après travaux:</t>
  </si>
  <si>
    <t>▪ Rapport de mise en fonction du projet rempli par un ingénieur</t>
  </si>
  <si>
    <t>▪ Copies des factures, des notes de coûts pertinentes et toute autre pièce justificative
   exigée, afin de refléter les coûts réels du projet</t>
  </si>
  <si>
    <t>▪ Fiches techniques des équipements et chiffriers ou feuilles de calcul Excel</t>
  </si>
  <si>
    <t>Énergir se réserve le droit de modifier le programme ou d’y mettre fin en tout temps, sans préavis.
Énergir s’engage à traiter les demandes qui lui sont soumises dans des délais qu’elle juge raisonnables.</t>
  </si>
  <si>
    <t>FACTURE</t>
  </si>
  <si>
    <t>No de facture :</t>
  </si>
  <si>
    <t>Coordonnées de l'émetteur :</t>
  </si>
  <si>
    <t>Date :</t>
  </si>
  <si>
    <t>Tél. :</t>
  </si>
  <si>
    <t>Facturé à :</t>
  </si>
  <si>
    <t>1717, rue du Havre</t>
  </si>
  <si>
    <t>Montréal (Québec)</t>
  </si>
  <si>
    <t>H2K 2X3</t>
  </si>
  <si>
    <t xml:space="preserve">Demande d'aide financière </t>
  </si>
  <si>
    <t xml:space="preserve">pour le volet : </t>
  </si>
  <si>
    <t>Biénergie commercial - institutionnel</t>
  </si>
  <si>
    <t>Montant</t>
  </si>
  <si>
    <t>Dossier (0000XXXXXX) :</t>
  </si>
  <si>
    <t xml:space="preserve">Description de l'aide financière : </t>
  </si>
  <si>
    <t>Subvention MELCCFP*</t>
  </si>
  <si>
    <t>S/O</t>
  </si>
  <si>
    <t>Subvention Hydro-Québec</t>
  </si>
  <si>
    <t>Subvention Énergir</t>
  </si>
  <si>
    <t>*La subvention du MELCCFP est non taxable</t>
  </si>
  <si>
    <t>Numéro d’enregistrement TPS :</t>
  </si>
  <si>
    <t>Numéro d’enregistrement TVQ :</t>
  </si>
  <si>
    <r>
      <rPr>
        <b/>
        <sz val="10"/>
        <color indexed="56"/>
        <rFont val="Arial"/>
        <family val="2"/>
      </rPr>
      <t>Important :</t>
    </r>
    <r>
      <rPr>
        <sz val="10"/>
        <rFont val="Arial"/>
        <family val="2"/>
      </rPr>
      <t xml:space="preserve"> Les champs encadrés en bleu sont obligatoires.</t>
    </r>
  </si>
  <si>
    <r>
      <rPr>
        <b/>
        <sz val="11"/>
        <color indexed="56"/>
        <rFont val="Calibri"/>
        <family val="2"/>
      </rPr>
      <t>Avant travaux:</t>
    </r>
    <r>
      <rPr>
        <sz val="11"/>
        <color indexed="10"/>
        <rFont val="Calibri"/>
        <family val="2"/>
      </rPr>
      <t xml:space="preserve"> </t>
    </r>
    <r>
      <rPr>
        <sz val="11"/>
        <color indexed="56"/>
        <rFont val="Calibri"/>
        <family val="2"/>
      </rPr>
      <t>saisir les informations préliminaires</t>
    </r>
  </si>
  <si>
    <t>Signature après travaux</t>
  </si>
  <si>
    <t>L’installation de toutes les mesures a été complétée en date du</t>
  </si>
  <si>
    <t>Responsable principal de l'implantation des mesures</t>
  </si>
  <si>
    <t>Nom de l'entreprise :</t>
  </si>
  <si>
    <t>Nom de la personne-responsable :</t>
  </si>
  <si>
    <t xml:space="preserve">N° OIQ : </t>
  </si>
  <si>
    <r>
      <rPr>
        <b/>
        <sz val="11"/>
        <color indexed="56"/>
        <rFont val="Calibri"/>
        <family val="2"/>
      </rPr>
      <t>Après travaux:</t>
    </r>
    <r>
      <rPr>
        <sz val="11"/>
        <color indexed="56"/>
        <rFont val="Calibri"/>
        <family val="2"/>
      </rPr>
      <t xml:space="preserve"> mettre à jour les informations saisies préliminairement, puis compléter la section Signature après travaux</t>
    </r>
  </si>
  <si>
    <t>Nom de l'entreprise cliente :</t>
  </si>
  <si>
    <t>Nom de la personne-ressource client :</t>
  </si>
  <si>
    <t>Titre :</t>
  </si>
  <si>
    <t>Numéro de compte Énergir :</t>
  </si>
  <si>
    <t>▪ Copie des factures d’électricité pendant une période de 12 mois
   avant les travaux (si applicable)</t>
  </si>
  <si>
    <t>▪ Chiffriers ou feuilles de calcul</t>
  </si>
  <si>
    <r>
      <rPr>
        <b/>
        <sz val="14"/>
        <color indexed="40"/>
        <rFont val="Calibri"/>
        <family val="2"/>
      </rPr>
      <t xml:space="preserve">Faire parvenir ce formulaire en format Excel à : </t>
    </r>
    <r>
      <rPr>
        <b/>
        <u/>
        <sz val="14"/>
        <color indexed="40"/>
        <rFont val="Calibri"/>
        <family val="2"/>
      </rPr>
      <t>ventescmj@energir.com</t>
    </r>
  </si>
  <si>
    <t>TOTAL DES COÛTS DU PROJET</t>
  </si>
  <si>
    <r>
      <rPr>
        <b/>
        <sz val="14"/>
        <color indexed="40"/>
        <rFont val="Calibri"/>
        <family val="2"/>
      </rPr>
      <t xml:space="preserve">Faire parvenir ce formulaire en format Excel à : </t>
    </r>
    <r>
      <rPr>
        <b/>
        <u/>
        <sz val="14"/>
        <color indexed="40"/>
        <rFont val="Calibri"/>
        <family val="2"/>
      </rPr>
      <t>ventescmj@energir.com</t>
    </r>
  </si>
  <si>
    <t>ff</t>
  </si>
  <si>
    <t>Correspondant principal avec Énergir</t>
  </si>
  <si>
    <t>▪ Demande d'aide financière (onglet 1) signée par le signataire autorisé en
  format Excel et en format pdf</t>
  </si>
  <si>
    <t>▪ Plan d'implantation rempli (onglet 2)</t>
  </si>
  <si>
    <t>▪ Rapport détaillé des coûts rempli (onglet 3 - Section Estimation des coûts
   uniquement)</t>
  </si>
  <si>
    <t>▪ Calcul de l'aide d'Énergir et d'Hydro-Québec rempli (onglet 4)</t>
  </si>
  <si>
    <t>▪ Rapport détaillé des coûts rempli (onglet 3 - Section Suivi des coûts
   uniquement)</t>
  </si>
  <si>
    <t>▪ Calcul de l'aide d'Énergir et d'Hydro-Québec rempli (onglet 4 - Mise à jour
    des informations saisies préliminairement)</t>
  </si>
  <si>
    <t>▪ Dépenses internes, si applicable (onglet 5)</t>
  </si>
  <si>
    <t>Signataire autorisé 
(lettre moulée)</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</si>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</sst>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00_)\ _$_ ;_ * \(#,##0.00\)\ _$_ ;_ * &quot;-&quot;??_)\ _$_ ;_ @_ "/>
    <numFmt numFmtId="165" formatCode="0.000"/>
    <numFmt numFmtId="166" formatCode="#,##0.0"/>
    <numFmt numFmtId="167" formatCode="_ * #,##0_)\ &quot;$&quot;_ ;_ * \(#,##0\)\ &quot;$&quot;_ ;_ * &quot;-&quot;??_)\ &quot;$&quot;_ ;_ @_ "/>
    <numFmt numFmtId="168" formatCode="#,##0.00\ &quot;$&quot;"/>
    <numFmt numFmtId="169" formatCode="yyyy\-mm\-dd;@"/>
    <numFmt numFmtId="170" formatCode="#,##0\ _$"/>
    <numFmt numFmtId="171" formatCode="#,##0\ &quot;$&quot;"/>
    <numFmt numFmtId="172" formatCode="0.0%"/>
    <numFmt numFmtId="173" formatCode="_(* #,##0.00_);_(* \(#,##0.00\);_(* &quot;-&quot;??_);_(@_)"/>
    <numFmt numFmtId="174" formatCode="#,##0.0000\ &quot;$&quot;"/>
    <numFmt numFmtId="175" formatCode="#,##0.0000"/>
    <numFmt numFmtId="176" formatCode="_ * #,##0.0000_)\ &quot;$&quot;_ ;_ * \(#,##0.0000\)\ &quot;$&quot;_ ;_ * &quot;-&quot;????_)\ &quot;$&quot;_ ;_ @_ "/>
    <numFmt numFmtId="177" formatCode="_ * #,##0.0000_)\ _$_ ;_ * \(#,##0.0000\)\ _$_ ;_ * &quot;-&quot;??_)\ _$_ ;_ @_ "/>
    <numFmt numFmtId="178" formatCode="0.0000"/>
    <numFmt numFmtId="179" formatCode="_ * #,##0.0000_)\ _$_ ;_ * \(#,##0.0000\)\ _$_ ;_ * &quot;-&quot;????_)\ _$_ ;_ @_ "/>
    <numFmt numFmtId="180" formatCode="#,##0.00\ _$"/>
    <numFmt numFmtId="181" formatCode="#,##0.000"/>
    <numFmt numFmtId="182" formatCode="_ * #,##0.00_)\ [$€-1]_ ;_ * \(#,##0.00\)\ [$€-1]_ ;_ * &quot;-&quot;??_)\ [$€-1]_ "/>
    <numFmt numFmtId="183" formatCode="_-&quot;$&quot;* #,##0.00_-;\-&quot;$&quot;* #,##0.00_-;_-&quot;$&quot;* &quot;-&quot;??_-;_-@_-"/>
    <numFmt numFmtId="184" formatCode="yyyy/mm/dd;@"/>
    <numFmt numFmtId="185" formatCode="_ * #,##0.0_)\ _$_ ;_ * \(#,##0.0\)\ _$_ ;_ * &quot;-&quot;??_)\ _$_ ;_ @_ "/>
  </numFmts>
  <fonts count="155">
    <font>
      <sz val="10"/>
      <name val="Arial"/>
    </font>
    <font>
      <sz val="10"/>
      <name val="Arial"/>
      <family val="2"/>
    </font>
    <font>
      <b/>
      <sz val="10"/>
      <name val="Arial"/>
      <family val="2"/>
    </font>
    <font>
      <sz val="9"/>
      <name val="Arial"/>
      <family val="2"/>
    </font>
    <font>
      <b/>
      <sz val="12"/>
      <name val="Arial"/>
      <family val="2"/>
    </font>
    <font>
      <sz val="9"/>
      <color indexed="9"/>
      <name val="Arial"/>
      <family val="2"/>
    </font>
    <font>
      <b/>
      <sz val="14"/>
      <name val="Arial"/>
      <family val="2"/>
    </font>
    <font>
      <b/>
      <sz val="9"/>
      <name val="Arial"/>
      <family val="2"/>
    </font>
    <font>
      <sz val="10"/>
      <name val="Arial"/>
      <family val="2"/>
    </font>
    <font>
      <sz val="8"/>
      <name val="Arial"/>
      <family val="2"/>
    </font>
    <font>
      <b/>
      <sz val="10"/>
      <color indexed="16"/>
      <name val="Arial"/>
      <family val="2"/>
    </font>
    <font>
      <b/>
      <sz val="8"/>
      <name val="Arial"/>
      <family val="2"/>
    </font>
    <font>
      <b/>
      <sz val="8.5"/>
      <name val="Arial"/>
      <family val="2"/>
    </font>
    <font>
      <sz val="10"/>
      <color indexed="16"/>
      <name val="Arial"/>
      <family val="2"/>
    </font>
    <font>
      <sz val="8"/>
      <name val="Arial"/>
      <family val="2"/>
    </font>
    <font>
      <sz val="8"/>
      <color indexed="16"/>
      <name val="Arial"/>
      <family val="2"/>
    </font>
    <font>
      <b/>
      <sz val="18"/>
      <name val="Arial"/>
      <family val="2"/>
    </font>
    <font>
      <b/>
      <sz val="10"/>
      <name val="Arial"/>
      <family val="2"/>
    </font>
    <font>
      <sz val="9"/>
      <name val="Arial"/>
      <family val="2"/>
    </font>
    <font>
      <b/>
      <sz val="7"/>
      <name val="Arial"/>
      <family val="2"/>
    </font>
    <font>
      <sz val="7"/>
      <name val="Arial"/>
      <family val="2"/>
    </font>
    <font>
      <u/>
      <sz val="10"/>
      <color indexed="12"/>
      <name val="Arial"/>
      <family val="2"/>
    </font>
    <font>
      <b/>
      <sz val="8"/>
      <name val="Arial"/>
      <family val="2"/>
    </font>
    <font>
      <vertAlign val="superscript"/>
      <sz val="8"/>
      <name val="Arial"/>
      <family val="2"/>
    </font>
    <font>
      <sz val="7"/>
      <color indexed="9"/>
      <name val="Arial"/>
      <family val="2"/>
    </font>
    <font>
      <b/>
      <sz val="20"/>
      <name val="Arial"/>
      <family val="2"/>
    </font>
    <font>
      <b/>
      <sz val="11"/>
      <name val="Arial"/>
      <family val="2"/>
    </font>
    <font>
      <i/>
      <sz val="10"/>
      <name val="Arial"/>
      <family val="2"/>
    </font>
    <font>
      <b/>
      <i/>
      <sz val="9"/>
      <name val="Arial"/>
      <family val="2"/>
    </font>
    <font>
      <u/>
      <sz val="8"/>
      <name val="Arial"/>
      <family val="2"/>
    </font>
    <font>
      <b/>
      <i/>
      <sz val="8"/>
      <name val="Arial"/>
      <family val="2"/>
    </font>
    <font>
      <i/>
      <sz val="8"/>
      <name val="Arial"/>
      <family val="2"/>
    </font>
    <font>
      <sz val="10"/>
      <name val="Arial"/>
      <family val="2"/>
    </font>
    <font>
      <sz val="8"/>
      <name val="Arial"/>
      <family val="2"/>
    </font>
    <font>
      <sz val="8"/>
      <color indexed="9"/>
      <name val="Arial"/>
      <family val="2"/>
    </font>
    <font>
      <sz val="10"/>
      <color indexed="8"/>
      <name val="Arial"/>
      <family val="2"/>
    </font>
    <font>
      <vertAlign val="subscript"/>
      <sz val="8"/>
      <name val="Arial"/>
      <family val="2"/>
    </font>
    <font>
      <b/>
      <sz val="8"/>
      <name val="Arial"/>
      <family val="2"/>
    </font>
    <font>
      <sz val="8"/>
      <color indexed="8"/>
      <name val="Arial"/>
      <family val="2"/>
    </font>
    <font>
      <sz val="8"/>
      <color indexed="16"/>
      <name val="Arial"/>
      <family val="2"/>
    </font>
    <font>
      <b/>
      <sz val="7"/>
      <name val="Arial"/>
      <family val="2"/>
    </font>
    <font>
      <sz val="7"/>
      <name val="Arial"/>
      <family val="2"/>
    </font>
    <font>
      <b/>
      <sz val="8"/>
      <color indexed="9"/>
      <name val="Arial"/>
      <family val="2"/>
    </font>
    <font>
      <sz val="10"/>
      <color indexed="9"/>
      <name val="Arial"/>
      <family val="2"/>
    </font>
    <font>
      <sz val="10"/>
      <name val="Arial"/>
      <family val="2"/>
    </font>
    <font>
      <sz val="8"/>
      <color indexed="81"/>
      <name val="Tahoma"/>
      <family val="2"/>
    </font>
    <font>
      <sz val="16"/>
      <name val="Chaloult_Cond_Demi_Gras"/>
    </font>
    <font>
      <sz val="8"/>
      <name val="Wingdings 3"/>
      <family val="1"/>
      <charset val="2"/>
    </font>
    <font>
      <i/>
      <sz val="8"/>
      <color indexed="9"/>
      <name val="Arial"/>
      <family val="2"/>
    </font>
    <font>
      <sz val="9"/>
      <color indexed="81"/>
      <name val="Tahoma"/>
      <family val="2"/>
    </font>
    <font>
      <sz val="8"/>
      <color indexed="81"/>
      <name val="Arial"/>
      <family val="2"/>
    </font>
    <font>
      <b/>
      <sz val="8"/>
      <color indexed="81"/>
      <name val="Arial"/>
      <family val="2"/>
    </font>
    <font>
      <sz val="17"/>
      <name val="Chaloult_Cond_Demi_Gras"/>
    </font>
    <font>
      <b/>
      <sz val="8"/>
      <name val="Arial Narrow"/>
      <family val="2"/>
    </font>
    <font>
      <sz val="8"/>
      <name val="Arial Narrow"/>
      <family val="2"/>
    </font>
    <font>
      <b/>
      <sz val="14"/>
      <color indexed="9"/>
      <name val="Arial"/>
      <family val="2"/>
    </font>
    <font>
      <u/>
      <sz val="8"/>
      <color indexed="12"/>
      <name val="Arial"/>
      <family val="2"/>
    </font>
    <font>
      <vertAlign val="superscript"/>
      <sz val="7"/>
      <name val="Arial"/>
      <family val="2"/>
    </font>
    <font>
      <sz val="10"/>
      <name val="Arial"/>
      <family val="2"/>
    </font>
    <font>
      <sz val="11"/>
      <color indexed="8"/>
      <name val="Calibri"/>
      <family val="2"/>
    </font>
    <font>
      <b/>
      <sz val="8"/>
      <color indexed="8"/>
      <name val="Arial"/>
      <family val="2"/>
    </font>
    <font>
      <vertAlign val="superscript"/>
      <sz val="8"/>
      <color indexed="8"/>
      <name val="Arial"/>
      <family val="2"/>
    </font>
    <font>
      <sz val="5"/>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b/>
      <sz val="11"/>
      <color indexed="9"/>
      <name val="Calibri"/>
      <family val="2"/>
    </font>
    <font>
      <b/>
      <sz val="10"/>
      <color indexed="9"/>
      <name val="Arial"/>
      <family val="2"/>
    </font>
    <font>
      <sz val="11"/>
      <name val="Calibri"/>
      <family val="2"/>
    </font>
    <font>
      <b/>
      <vertAlign val="subscript"/>
      <sz val="10"/>
      <color indexed="9"/>
      <name val="Arial"/>
      <family val="2"/>
    </font>
    <font>
      <b/>
      <i/>
      <sz val="10"/>
      <color indexed="32"/>
      <name val="Arial"/>
      <family val="2"/>
    </font>
    <font>
      <sz val="10"/>
      <color indexed="56"/>
      <name val="Calibri"/>
      <family val="2"/>
    </font>
    <font>
      <sz val="10"/>
      <color indexed="9"/>
      <name val="Calibri"/>
      <family val="2"/>
    </font>
    <font>
      <sz val="16"/>
      <name val="Arial"/>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9"/>
      <color indexed="81"/>
      <name val="Tahoma"/>
      <family val="2"/>
    </font>
    <font>
      <sz val="8"/>
      <color indexed="8"/>
      <name val="Tahoma"/>
      <family val="2"/>
    </font>
    <font>
      <b/>
      <sz val="10"/>
      <color indexed="56"/>
      <name val="Arial"/>
      <family val="2"/>
    </font>
    <font>
      <sz val="11"/>
      <color indexed="56"/>
      <name val="Calibri"/>
      <family val="2"/>
    </font>
    <font>
      <b/>
      <u/>
      <sz val="14"/>
      <color indexed="40"/>
      <name val="Calibri"/>
      <family val="2"/>
    </font>
    <font>
      <b/>
      <sz val="14"/>
      <color indexed="40"/>
      <name val="Calibri"/>
      <family val="2"/>
    </font>
    <font>
      <sz val="11"/>
      <color theme="1"/>
      <name val="Calibri"/>
      <family val="2"/>
      <scheme val="minor"/>
    </font>
    <font>
      <sz val="11"/>
      <color rgb="FFFF0000"/>
      <name val="Calibri"/>
      <family val="2"/>
      <scheme val="minor"/>
    </font>
    <font>
      <u/>
      <sz val="11"/>
      <color theme="10"/>
      <name val="Calibri"/>
      <family val="2"/>
      <scheme val="minor"/>
    </font>
    <font>
      <sz val="10"/>
      <color theme="1"/>
      <name val="Arial"/>
      <family val="2"/>
    </font>
    <font>
      <b/>
      <sz val="11"/>
      <color theme="1"/>
      <name val="Calibri"/>
      <family val="2"/>
      <scheme val="minor"/>
    </font>
    <font>
      <sz val="8"/>
      <color theme="0"/>
      <name val="Arial"/>
      <family val="2"/>
    </font>
    <font>
      <b/>
      <sz val="7"/>
      <color theme="0"/>
      <name val="Arial"/>
      <family val="2"/>
    </font>
    <font>
      <b/>
      <sz val="10"/>
      <color theme="0"/>
      <name val="Arial"/>
      <family val="2"/>
    </font>
    <font>
      <sz val="7"/>
      <color rgb="FFFF0000"/>
      <name val="Arial"/>
      <family val="2"/>
    </font>
    <font>
      <sz val="8"/>
      <color theme="1"/>
      <name val="Arial"/>
      <family val="2"/>
    </font>
    <font>
      <sz val="10"/>
      <color rgb="FFFF0000"/>
      <name val="Arial"/>
      <family val="2"/>
    </font>
    <font>
      <sz val="11"/>
      <color rgb="FFFF0000"/>
      <name val="Calibri"/>
      <family val="2"/>
    </font>
    <font>
      <b/>
      <sz val="10"/>
      <color rgb="FFFF0000"/>
      <name val="Arial"/>
      <family val="2"/>
    </font>
    <font>
      <sz val="11"/>
      <name val="Calibri"/>
      <family val="2"/>
      <scheme val="minor"/>
    </font>
    <font>
      <u/>
      <sz val="11"/>
      <name val="Calibri"/>
      <family val="2"/>
      <scheme val="minor"/>
    </font>
    <font>
      <b/>
      <sz val="14"/>
      <color theme="1"/>
      <name val="Calibri"/>
      <family val="2"/>
      <scheme val="minor"/>
    </font>
    <font>
      <b/>
      <sz val="14"/>
      <color rgb="FFFF0000"/>
      <name val="Calibri"/>
      <family val="2"/>
      <scheme val="minor"/>
    </font>
    <font>
      <sz val="11"/>
      <color rgb="FF242424"/>
      <name val="Calibri"/>
      <family val="2"/>
    </font>
    <font>
      <b/>
      <sz val="16"/>
      <color rgb="FF002060"/>
      <name val="Arial"/>
      <family val="2"/>
    </font>
    <font>
      <b/>
      <sz val="11"/>
      <color rgb="FF002060"/>
      <name val="Arial"/>
      <family val="2"/>
    </font>
    <font>
      <u/>
      <sz val="8"/>
      <color theme="10"/>
      <name val="Arial"/>
      <family val="2"/>
    </font>
    <font>
      <sz val="10"/>
      <color rgb="FF000000"/>
      <name val="Arial"/>
      <family val="2"/>
    </font>
    <font>
      <sz val="10"/>
      <color theme="1"/>
      <name val="Calibri"/>
      <family val="2"/>
      <scheme val="minor"/>
    </font>
    <font>
      <sz val="9"/>
      <color theme="1"/>
      <name val="Calibri"/>
      <family val="2"/>
      <scheme val="minor"/>
    </font>
    <font>
      <b/>
      <sz val="10"/>
      <color rgb="FF002855"/>
      <name val="Arial"/>
      <family val="2"/>
    </font>
    <font>
      <sz val="10"/>
      <color rgb="FF002855"/>
      <name val="Arial"/>
      <family val="2"/>
    </font>
    <font>
      <b/>
      <sz val="10"/>
      <color rgb="FFFFFFFF"/>
      <name val="Arial"/>
      <family val="2"/>
    </font>
    <font>
      <sz val="10"/>
      <color rgb="FFFFFFFF"/>
      <name val="Arial"/>
      <family val="2"/>
    </font>
    <font>
      <u/>
      <sz val="10"/>
      <color rgb="FFFFFFFF"/>
      <name val="Arial"/>
      <family val="2"/>
    </font>
    <font>
      <sz val="10"/>
      <color rgb="FF002060"/>
      <name val="Arial"/>
      <family val="2"/>
    </font>
    <font>
      <sz val="10"/>
      <color theme="0"/>
      <name val="Arial"/>
      <family val="2"/>
    </font>
    <font>
      <b/>
      <sz val="10"/>
      <color theme="1"/>
      <name val="Calibri"/>
      <family val="2"/>
      <scheme val="minor"/>
    </font>
    <font>
      <sz val="5"/>
      <color theme="1"/>
      <name val="Calibri"/>
      <family val="2"/>
      <scheme val="minor"/>
    </font>
    <font>
      <b/>
      <sz val="8"/>
      <color theme="0"/>
      <name val="Arial"/>
      <family val="2"/>
    </font>
    <font>
      <sz val="7"/>
      <color theme="0"/>
      <name val="Arial"/>
      <family val="2"/>
    </font>
    <font>
      <sz val="10"/>
      <color rgb="FF002D5B"/>
      <name val="Calibri"/>
      <family val="2"/>
      <scheme val="minor"/>
    </font>
    <font>
      <sz val="11"/>
      <color rgb="FF002060"/>
      <name val="Calibri"/>
      <family val="2"/>
      <scheme val="minor"/>
    </font>
    <font>
      <b/>
      <sz val="8"/>
      <color theme="1"/>
      <name val="Arial"/>
      <family val="2"/>
    </font>
    <font>
      <sz val="11"/>
      <color rgb="FF002855"/>
      <name val="Arial"/>
      <family val="2"/>
    </font>
    <font>
      <sz val="10"/>
      <color rgb="FF002D5B"/>
      <name val="Arial"/>
      <family val="2"/>
    </font>
    <font>
      <sz val="11"/>
      <color rgb="FFFF0000"/>
      <name val="Arial"/>
      <family val="2"/>
    </font>
    <font>
      <b/>
      <sz val="10"/>
      <color rgb="FF002D5B"/>
      <name val="Arial"/>
      <family val="2"/>
    </font>
    <font>
      <sz val="8"/>
      <color rgb="FF002855"/>
      <name val="Arial"/>
      <family val="2"/>
    </font>
    <font>
      <b/>
      <sz val="20"/>
      <color rgb="FF004070"/>
      <name val="Arial"/>
      <family val="2"/>
    </font>
    <font>
      <b/>
      <sz val="20"/>
      <color rgb="FF004070"/>
      <name val="Calibri"/>
      <family val="2"/>
      <scheme val="minor"/>
    </font>
    <font>
      <sz val="10"/>
      <color rgb="FF000000"/>
      <name val="Calibri"/>
      <family val="2"/>
      <scheme val="minor"/>
    </font>
    <font>
      <b/>
      <sz val="10"/>
      <color rgb="FFFFFFFF"/>
      <name val="Calibri"/>
      <family val="2"/>
      <scheme val="minor"/>
    </font>
    <font>
      <sz val="10"/>
      <color theme="0"/>
      <name val="Calibri"/>
      <family val="2"/>
      <scheme val="minor"/>
    </font>
    <font>
      <sz val="8"/>
      <color theme="1"/>
      <name val="Calibri"/>
      <family val="2"/>
      <scheme val="minor"/>
    </font>
    <font>
      <b/>
      <sz val="10"/>
      <color rgb="FF002D5B"/>
      <name val="Calibri"/>
      <family val="2"/>
      <scheme val="minor"/>
    </font>
    <font>
      <sz val="10"/>
      <name val="Calibri"/>
      <family val="2"/>
      <scheme val="minor"/>
    </font>
    <font>
      <b/>
      <u/>
      <sz val="14"/>
      <color rgb="FF00B0F0"/>
      <name val="Calibri"/>
      <family val="2"/>
      <scheme val="minor"/>
    </font>
    <font>
      <b/>
      <sz val="9"/>
      <color theme="0"/>
      <name val="Arial"/>
      <family val="2"/>
    </font>
    <font>
      <b/>
      <sz val="11"/>
      <color theme="0"/>
      <name val="Arial"/>
      <family val="2"/>
    </font>
    <font>
      <b/>
      <sz val="8"/>
      <color rgb="FFFFFFFF"/>
      <name val="Arial"/>
      <family val="2"/>
    </font>
    <font>
      <sz val="8"/>
      <color rgb="FF002060"/>
      <name val="Arial"/>
      <family val="2"/>
    </font>
    <font>
      <b/>
      <sz val="14"/>
      <color theme="0"/>
      <name val="Arial"/>
      <family val="2"/>
    </font>
    <font>
      <sz val="9"/>
      <color rgb="FF002D5B"/>
      <name val="Arial"/>
      <family val="2"/>
    </font>
    <font>
      <sz val="8"/>
      <color rgb="FF002D5B"/>
      <name val="Arial"/>
      <family val="2"/>
    </font>
    <font>
      <b/>
      <sz val="18"/>
      <color theme="0"/>
      <name val="Arial"/>
      <family val="2"/>
    </font>
    <font>
      <b/>
      <sz val="11"/>
      <name val="Calibri"/>
      <family val="2"/>
      <scheme val="minor"/>
    </font>
    <font>
      <sz val="8"/>
      <color rgb="FF000000"/>
      <name val="Tahoma"/>
      <family val="2"/>
    </font>
    <font>
      <b/>
      <sz val="10"/>
      <color rgb="FF000000"/>
      <name val="Arial"/>
      <family val="2"/>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9"/>
        <bgColor indexed="64"/>
      </patternFill>
    </fill>
    <fill>
      <patternFill patternType="solid">
        <fgColor indexed="22"/>
        <bgColor indexed="0"/>
      </patternFill>
    </fill>
    <fill>
      <patternFill patternType="solid">
        <fgColor indexed="41"/>
        <bgColor indexed="64"/>
      </patternFill>
    </fill>
    <fill>
      <patternFill patternType="solid">
        <fgColor indexed="22"/>
        <bgColor indexed="64"/>
      </patternFill>
    </fill>
    <fill>
      <patternFill patternType="solid">
        <fgColor indexed="8"/>
        <bgColor indexed="64"/>
      </patternFill>
    </fill>
    <fill>
      <patternFill patternType="solid">
        <fgColor indexed="10"/>
        <bgColor indexed="64"/>
      </patternFill>
    </fill>
    <fill>
      <patternFill patternType="solid">
        <fgColor indexed="63"/>
        <bgColor indexed="64"/>
      </patternFill>
    </fill>
    <fill>
      <patternFill patternType="solid">
        <fgColor indexed="44"/>
        <bgColor indexed="64"/>
      </patternFill>
    </fill>
    <fill>
      <patternFill patternType="solid">
        <fgColor rgb="FF1C829A"/>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50"/>
        <bgColor indexed="64"/>
      </patternFill>
    </fill>
    <fill>
      <patternFill patternType="solid">
        <fgColor rgb="FF7FB7CB"/>
        <bgColor indexed="64"/>
      </patternFill>
    </fill>
    <fill>
      <patternFill patternType="solid">
        <fgColor rgb="FF0070C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2060"/>
        <bgColor indexed="64"/>
      </patternFill>
    </fill>
    <fill>
      <patternFill patternType="solid">
        <fgColor rgb="FF00B0F0"/>
        <bgColor indexed="64"/>
      </patternFill>
    </fill>
    <fill>
      <patternFill patternType="solid">
        <fgColor rgb="FFDAEEF4"/>
        <bgColor rgb="FF000000"/>
      </patternFill>
    </fill>
    <fill>
      <patternFill patternType="solid">
        <fgColor rgb="FFFFFFFF"/>
        <bgColor rgb="FF000000"/>
      </patternFill>
    </fill>
    <fill>
      <patternFill patternType="solid">
        <fgColor rgb="FF002855"/>
        <bgColor rgb="FF000000"/>
      </patternFill>
    </fill>
    <fill>
      <patternFill patternType="solid">
        <fgColor rgb="FFDAEEF4"/>
        <bgColor indexed="64"/>
      </patternFill>
    </fill>
    <fill>
      <patternFill patternType="solid">
        <fgColor rgb="FF9AC6D6"/>
        <bgColor indexed="64"/>
      </patternFill>
    </fill>
    <fill>
      <patternFill patternType="solid">
        <fgColor rgb="FF002060"/>
        <bgColor rgb="FFFFFFFF"/>
      </patternFill>
    </fill>
    <fill>
      <patternFill patternType="solid">
        <fgColor rgb="FFD9D9D9"/>
        <bgColor rgb="FF000000"/>
      </patternFill>
    </fill>
    <fill>
      <patternFill patternType="solid">
        <fgColor theme="0" tint="-0.14999847407452621"/>
        <bgColor rgb="FF000000"/>
      </patternFill>
    </fill>
    <fill>
      <patternFill patternType="solid">
        <fgColor rgb="FF00AEEF"/>
      </patternFill>
    </fill>
    <fill>
      <patternFill patternType="solid">
        <fgColor theme="0" tint="-0.34998626667073579"/>
        <bgColor indexed="64"/>
      </patternFill>
    </fill>
    <fill>
      <patternFill patternType="solid">
        <fgColor rgb="FF92D050"/>
        <bgColor indexed="64"/>
      </patternFill>
    </fill>
    <fill>
      <patternFill patternType="solid">
        <fgColor theme="0" tint="-0.14996795556505021"/>
        <bgColor indexed="64"/>
      </patternFill>
    </fill>
    <fill>
      <patternFill patternType="solid">
        <fgColor theme="8" tint="-0.24994659260841701"/>
        <bgColor indexed="64"/>
      </patternFill>
    </fill>
    <fill>
      <patternFill patternType="solid">
        <fgColor theme="0" tint="-0.24994659260841701"/>
        <bgColor indexed="64"/>
      </patternFill>
    </fill>
  </fills>
  <borders count="19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diagonal/>
    </border>
    <border>
      <left/>
      <right style="double">
        <color indexed="64"/>
      </right>
      <top/>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22"/>
      </left>
      <right style="thin">
        <color indexed="22"/>
      </right>
      <top/>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double">
        <color indexed="64"/>
      </right>
      <top style="double">
        <color indexed="64"/>
      </top>
      <bottom/>
      <diagonal/>
    </border>
    <border>
      <left style="thin">
        <color indexed="64"/>
      </left>
      <right style="double">
        <color indexed="64"/>
      </right>
      <top style="medium">
        <color indexed="64"/>
      </top>
      <bottom/>
      <diagonal/>
    </border>
    <border>
      <left style="medium">
        <color indexed="64"/>
      </left>
      <right/>
      <top style="double">
        <color indexed="64"/>
      </top>
      <bottom style="double">
        <color indexed="64"/>
      </bottom>
      <diagonal/>
    </border>
    <border>
      <left style="thin">
        <color theme="0"/>
      </left>
      <right style="thin">
        <color theme="0"/>
      </right>
      <top style="thin">
        <color theme="0"/>
      </top>
      <bottom/>
      <diagonal/>
    </border>
    <border>
      <left style="medium">
        <color rgb="FF00AEEF"/>
      </left>
      <right style="thin">
        <color rgb="FF002060"/>
      </right>
      <top style="medium">
        <color rgb="FF00AEEF"/>
      </top>
      <bottom style="thin">
        <color rgb="FF002060"/>
      </bottom>
      <diagonal/>
    </border>
    <border>
      <left style="thin">
        <color rgb="FF002060"/>
      </left>
      <right style="thin">
        <color rgb="FF002060"/>
      </right>
      <top style="medium">
        <color rgb="FF00AEEF"/>
      </top>
      <bottom style="thin">
        <color rgb="FF002060"/>
      </bottom>
      <diagonal/>
    </border>
    <border>
      <left style="thin">
        <color rgb="FF002060"/>
      </left>
      <right/>
      <top style="medium">
        <color rgb="FF00AEEF"/>
      </top>
      <bottom style="thin">
        <color rgb="FF002060"/>
      </bottom>
      <diagonal/>
    </border>
    <border>
      <left style="thin">
        <color rgb="FF002060"/>
      </left>
      <right style="medium">
        <color rgb="FF00AEEF"/>
      </right>
      <top style="medium">
        <color rgb="FF00AEEF"/>
      </top>
      <bottom style="thin">
        <color rgb="FF002060"/>
      </bottom>
      <diagonal/>
    </border>
    <border>
      <left style="medium">
        <color rgb="FF00AEEF"/>
      </left>
      <right style="thin">
        <color theme="1"/>
      </right>
      <top/>
      <bottom style="thin">
        <color rgb="FF002060"/>
      </bottom>
      <diagonal/>
    </border>
    <border>
      <left style="medium">
        <color rgb="FF00AEEF"/>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medium">
        <color rgb="FF00AEEF"/>
      </right>
      <top style="thin">
        <color rgb="FF002060"/>
      </top>
      <bottom style="thin">
        <color rgb="FF002060"/>
      </bottom>
      <diagonal/>
    </border>
    <border>
      <left style="medium">
        <color rgb="FF00AEEF"/>
      </left>
      <right style="thin">
        <color theme="1"/>
      </right>
      <top style="thin">
        <color rgb="FF002060"/>
      </top>
      <bottom style="thin">
        <color rgb="FF002060"/>
      </bottom>
      <diagonal/>
    </border>
    <border>
      <left style="medium">
        <color rgb="FF00AEEF"/>
      </left>
      <right style="thin">
        <color rgb="FF002060"/>
      </right>
      <top style="thin">
        <color rgb="FF002060"/>
      </top>
      <bottom style="medium">
        <color rgb="FF00AEEF"/>
      </bottom>
      <diagonal/>
    </border>
    <border>
      <left style="thin">
        <color rgb="FF002060"/>
      </left>
      <right style="thin">
        <color rgb="FF002060"/>
      </right>
      <top style="thin">
        <color rgb="FF002060"/>
      </top>
      <bottom style="medium">
        <color rgb="FF00AEEF"/>
      </bottom>
      <diagonal/>
    </border>
    <border>
      <left style="thin">
        <color rgb="FF002060"/>
      </left>
      <right/>
      <top style="thin">
        <color rgb="FF002060"/>
      </top>
      <bottom style="medium">
        <color rgb="FF00AEEF"/>
      </bottom>
      <diagonal/>
    </border>
    <border>
      <left style="thin">
        <color rgb="FF002060"/>
      </left>
      <right style="medium">
        <color rgb="FF00AEEF"/>
      </right>
      <top style="thin">
        <color rgb="FF002060"/>
      </top>
      <bottom style="medium">
        <color rgb="FF00AEEF"/>
      </bottom>
      <diagonal/>
    </border>
    <border>
      <left style="medium">
        <color rgb="FF00AEEF"/>
      </left>
      <right style="thin">
        <color theme="1"/>
      </right>
      <top style="thin">
        <color rgb="FF002060"/>
      </top>
      <bottom/>
      <diagonal/>
    </border>
    <border>
      <left style="medium">
        <color rgb="FF00AEEF"/>
      </left>
      <right style="medium">
        <color rgb="FF00AEEF"/>
      </right>
      <top style="medium">
        <color rgb="FF00AEEF"/>
      </top>
      <bottom style="thin">
        <color rgb="FF002060"/>
      </bottom>
      <diagonal/>
    </border>
    <border>
      <left style="medium">
        <color rgb="FF00AEEF"/>
      </left>
      <right style="medium">
        <color rgb="FF00AEEF"/>
      </right>
      <top style="thin">
        <color rgb="FF002060"/>
      </top>
      <bottom style="thin">
        <color rgb="FF002060"/>
      </bottom>
      <diagonal/>
    </border>
    <border>
      <left style="medium">
        <color rgb="FF00AEEF"/>
      </left>
      <right style="medium">
        <color rgb="FF00AEEF"/>
      </right>
      <top style="medium">
        <color rgb="FF00AEEF"/>
      </top>
      <bottom style="medium">
        <color rgb="FF00AEEF"/>
      </bottom>
      <diagonal/>
    </border>
    <border>
      <left/>
      <right/>
      <top style="thin">
        <color rgb="FF002855"/>
      </top>
      <bottom style="medium">
        <color indexed="64"/>
      </bottom>
      <diagonal/>
    </border>
    <border>
      <left style="medium">
        <color theme="0"/>
      </left>
      <right style="medium">
        <color theme="0"/>
      </right>
      <top style="medium">
        <color theme="0"/>
      </top>
      <bottom/>
      <diagonal/>
    </border>
    <border>
      <left style="medium">
        <color theme="0"/>
      </left>
      <right style="thin">
        <color rgb="FF002060"/>
      </right>
      <top style="medium">
        <color theme="0"/>
      </top>
      <bottom/>
      <diagonal/>
    </border>
    <border>
      <left style="medium">
        <color theme="0"/>
      </left>
      <right style="medium">
        <color theme="0"/>
      </right>
      <top/>
      <bottom/>
      <diagonal/>
    </border>
    <border>
      <left style="medium">
        <color theme="0"/>
      </left>
      <right style="thin">
        <color indexed="64"/>
      </right>
      <top/>
      <bottom/>
      <diagonal/>
    </border>
    <border>
      <left style="thin">
        <color indexed="64"/>
      </left>
      <right style="thin">
        <color indexed="64"/>
      </right>
      <top style="thin">
        <color indexed="64"/>
      </top>
      <bottom style="thin">
        <color rgb="FF00B0F0"/>
      </bottom>
      <diagonal/>
    </border>
    <border>
      <left style="thin">
        <color indexed="64"/>
      </left>
      <right style="thin">
        <color indexed="64"/>
      </right>
      <top style="thin">
        <color rgb="FF00B0F0"/>
      </top>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right style="thin">
        <color rgb="FF00B0F0"/>
      </right>
      <top style="thin">
        <color indexed="64"/>
      </top>
      <bottom style="thin">
        <color indexed="64"/>
      </bottom>
      <diagonal/>
    </border>
    <border>
      <left style="thin">
        <color rgb="FF00B0F0"/>
      </left>
      <right style="thin">
        <color indexed="64"/>
      </right>
      <top style="thin">
        <color indexed="64"/>
      </top>
      <bottom style="thin">
        <color indexed="64"/>
      </bottom>
      <diagonal/>
    </border>
    <border>
      <left style="thin">
        <color rgb="FF00B0F0"/>
      </left>
      <right/>
      <top style="thin">
        <color indexed="64"/>
      </top>
      <bottom style="thin">
        <color rgb="FF00B0F0"/>
      </bottom>
      <diagonal/>
    </border>
    <border>
      <left/>
      <right/>
      <top style="thin">
        <color indexed="64"/>
      </top>
      <bottom style="thin">
        <color rgb="FF00B0F0"/>
      </bottom>
      <diagonal/>
    </border>
    <border>
      <left/>
      <right style="thin">
        <color rgb="FF00B0F0"/>
      </right>
      <top style="thin">
        <color indexed="64"/>
      </top>
      <bottom style="thin">
        <color rgb="FF00B0F0"/>
      </bottom>
      <diagonal/>
    </border>
    <border>
      <left style="thin">
        <color indexed="64"/>
      </left>
      <right/>
      <top style="thin">
        <color indexed="64"/>
      </top>
      <bottom style="thin">
        <color rgb="FF00B0F0"/>
      </bottom>
      <diagonal/>
    </border>
    <border>
      <left style="thin">
        <color rgb="FF00B0F0"/>
      </left>
      <right/>
      <top style="thin">
        <color indexed="64"/>
      </top>
      <bottom style="thin">
        <color indexed="64"/>
      </bottom>
      <diagonal/>
    </border>
    <border>
      <left/>
      <right style="thin">
        <color indexed="64"/>
      </right>
      <top style="thin">
        <color indexed="64"/>
      </top>
      <bottom style="thin">
        <color rgb="FF00B0F0"/>
      </bottom>
      <diagonal/>
    </border>
    <border>
      <left style="thin">
        <color rgb="FF00B0F0"/>
      </left>
      <right style="thin">
        <color indexed="64"/>
      </right>
      <top style="thin">
        <color indexed="64"/>
      </top>
      <bottom style="thin">
        <color rgb="FF00B0F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rgb="FF00B0F0"/>
      </left>
      <right style="thin">
        <color indexed="64"/>
      </right>
      <top style="thin">
        <color rgb="FF00B0F0"/>
      </top>
      <bottom style="thin">
        <color indexed="64"/>
      </bottom>
      <diagonal/>
    </border>
    <border>
      <left style="thin">
        <color indexed="64"/>
      </left>
      <right style="thin">
        <color indexed="64"/>
      </right>
      <top style="thin">
        <color rgb="FF00B0F0"/>
      </top>
      <bottom style="thin">
        <color indexed="64"/>
      </bottom>
      <diagonal/>
    </border>
    <border>
      <left/>
      <right/>
      <top style="thin">
        <color theme="0"/>
      </top>
      <bottom style="medium">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rgb="FF00B0F0"/>
      </top>
      <bottom style="thin">
        <color indexed="64"/>
      </bottom>
      <diagonal/>
    </border>
    <border>
      <left/>
      <right/>
      <top style="thin">
        <color rgb="FF00B0F0"/>
      </top>
      <bottom style="thin">
        <color indexed="64"/>
      </bottom>
      <diagonal/>
    </border>
    <border>
      <left/>
      <right style="thin">
        <color indexed="64"/>
      </right>
      <top style="thin">
        <color rgb="FF00B0F0"/>
      </top>
      <bottom style="thin">
        <color indexed="64"/>
      </bottom>
      <diagonal/>
    </border>
    <border>
      <left/>
      <right style="thin">
        <color rgb="FF00B0F0"/>
      </right>
      <top style="thin">
        <color rgb="FF00B0F0"/>
      </top>
      <bottom style="thin">
        <color indexed="64"/>
      </bottom>
      <diagonal/>
    </border>
    <border>
      <left style="thin">
        <color rgb="FF00B0F0"/>
      </left>
      <right/>
      <top style="thin">
        <color rgb="FF00B0F0"/>
      </top>
      <bottom style="thin">
        <color indexed="64"/>
      </bottom>
      <diagonal/>
    </border>
    <border>
      <left style="thin">
        <color indexed="64"/>
      </left>
      <right style="thin">
        <color indexed="64"/>
      </right>
      <top/>
      <bottom style="thin">
        <color rgb="FF00B0F0"/>
      </bottom>
      <diagonal/>
    </border>
    <border>
      <left/>
      <right style="thin">
        <color indexed="64"/>
      </right>
      <top style="thin">
        <color rgb="FF00B0F0"/>
      </top>
      <bottom style="thin">
        <color rgb="FF00B0F0"/>
      </bottom>
      <diagonal/>
    </border>
    <border>
      <left style="thin">
        <color indexed="64"/>
      </left>
      <right style="thin">
        <color indexed="64"/>
      </right>
      <top style="thin">
        <color rgb="FF00B0F0"/>
      </top>
      <bottom style="thin">
        <color rgb="FF00B0F0"/>
      </bottom>
      <diagonal/>
    </border>
    <border>
      <left style="thin">
        <color indexed="64"/>
      </left>
      <right style="thin">
        <color rgb="FF00B0F0"/>
      </right>
      <top style="thin">
        <color indexed="64"/>
      </top>
      <bottom style="thin">
        <color rgb="FF00B0F0"/>
      </bottom>
      <diagonal/>
    </border>
    <border>
      <left style="thin">
        <color indexed="64"/>
      </left>
      <right style="thin">
        <color rgb="FF00B0F0"/>
      </right>
      <top style="thin">
        <color indexed="64"/>
      </top>
      <bottom style="thin">
        <color indexed="64"/>
      </bottom>
      <diagonal/>
    </border>
    <border>
      <left style="thin">
        <color indexed="64"/>
      </left>
      <right style="thin">
        <color rgb="FF00B0F0"/>
      </right>
      <top style="thin">
        <color rgb="FF00B0F0"/>
      </top>
      <bottom style="thin">
        <color indexed="64"/>
      </bottom>
      <diagonal/>
    </border>
    <border>
      <left style="thin">
        <color indexed="64"/>
      </left>
      <right/>
      <top style="thin">
        <color rgb="FF00B0F0"/>
      </top>
      <bottom style="thin">
        <color rgb="FF00B0F0"/>
      </bottom>
      <diagonal/>
    </border>
    <border>
      <left style="thin">
        <color rgb="FF00B0F0"/>
      </left>
      <right style="thin">
        <color indexed="64"/>
      </right>
      <top style="thin">
        <color rgb="FF00B0F0"/>
      </top>
      <bottom style="thin">
        <color rgb="FF00B0F0"/>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right/>
      <top style="medium">
        <color rgb="FF00B0F0"/>
      </top>
      <bottom/>
      <diagonal/>
    </border>
    <border>
      <left/>
      <right style="medium">
        <color theme="0"/>
      </right>
      <top style="medium">
        <color theme="0"/>
      </top>
      <bottom/>
      <diagonal/>
    </border>
    <border>
      <left/>
      <right style="medium">
        <color theme="0"/>
      </right>
      <top/>
      <bottom/>
      <diagonal/>
    </border>
    <border>
      <left style="medium">
        <color theme="0"/>
      </left>
      <right/>
      <top style="medium">
        <color theme="0"/>
      </top>
      <bottom/>
      <diagonal/>
    </border>
    <border>
      <left style="medium">
        <color theme="0"/>
      </left>
      <right/>
      <top/>
      <bottom style="medium">
        <color rgb="FF00AEEF"/>
      </bottom>
      <diagonal/>
    </border>
    <border>
      <left/>
      <right style="medium">
        <color theme="0"/>
      </right>
      <top/>
      <bottom style="medium">
        <color rgb="FF00AEEF"/>
      </bottom>
      <diagonal/>
    </border>
    <border>
      <left/>
      <right style="thin">
        <color rgb="FF002060"/>
      </right>
      <top style="medium">
        <color rgb="FF00AEEF"/>
      </top>
      <bottom style="thin">
        <color rgb="FF002060"/>
      </bottom>
      <diagonal/>
    </border>
    <border>
      <left/>
      <right style="thin">
        <color rgb="FF002060"/>
      </right>
      <top style="thin">
        <color rgb="FF002060"/>
      </top>
      <bottom style="thin">
        <color rgb="FF002060"/>
      </bottom>
      <diagonal/>
    </border>
    <border>
      <left style="medium">
        <color rgb="FF00AEEF"/>
      </left>
      <right/>
      <top style="medium">
        <color rgb="FF00AEEF"/>
      </top>
      <bottom style="medium">
        <color rgb="FF00AEEF"/>
      </bottom>
      <diagonal/>
    </border>
    <border>
      <left/>
      <right/>
      <top style="medium">
        <color rgb="FF00AEEF"/>
      </top>
      <bottom style="medium">
        <color rgb="FF00AEEF"/>
      </bottom>
      <diagonal/>
    </border>
    <border>
      <left/>
      <right style="medium">
        <color rgb="FF00AEEF"/>
      </right>
      <top style="medium">
        <color rgb="FF00AEEF"/>
      </top>
      <bottom style="medium">
        <color rgb="FF00AEEF"/>
      </bottom>
      <diagonal/>
    </border>
    <border>
      <left/>
      <right style="thin">
        <color rgb="FF002060"/>
      </right>
      <top style="thin">
        <color rgb="FF002060"/>
      </top>
      <bottom style="medium">
        <color rgb="FF00AEEF"/>
      </bottom>
      <diagonal/>
    </border>
    <border>
      <left/>
      <right/>
      <top style="medium">
        <color rgb="FF00AEEF"/>
      </top>
      <bottom/>
      <diagonal/>
    </border>
    <border>
      <left/>
      <right/>
      <top style="thin">
        <color theme="1"/>
      </top>
      <bottom/>
      <diagonal/>
    </border>
    <border>
      <left/>
      <right/>
      <top/>
      <bottom style="thin">
        <color theme="1"/>
      </bottom>
      <diagonal/>
    </border>
    <border>
      <left style="thin">
        <color theme="0"/>
      </left>
      <right style="thin">
        <color theme="0"/>
      </right>
      <top style="thin">
        <color theme="0"/>
      </top>
      <bottom style="thin">
        <color theme="0"/>
      </bottom>
      <diagonal/>
    </border>
  </borders>
  <cellStyleXfs count="133">
    <xf numFmtId="0" fontId="0" fillId="0" borderId="0"/>
    <xf numFmtId="0" fontId="59" fillId="2" borderId="0" applyNumberFormat="0" applyBorder="0" applyAlignment="0" applyProtection="0"/>
    <xf numFmtId="0" fontId="59" fillId="3" borderId="0" applyNumberFormat="0" applyBorder="0" applyAlignment="0" applyProtection="0"/>
    <xf numFmtId="0" fontId="59" fillId="4" borderId="0" applyNumberFormat="0" applyBorder="0" applyAlignment="0" applyProtection="0"/>
    <xf numFmtId="0" fontId="59" fillId="5" borderId="0" applyNumberFormat="0" applyBorder="0" applyAlignment="0" applyProtection="0"/>
    <xf numFmtId="0" fontId="59" fillId="6" borderId="0" applyNumberFormat="0" applyBorder="0" applyAlignment="0" applyProtection="0"/>
    <xf numFmtId="0" fontId="59" fillId="7" borderId="0" applyNumberFormat="0" applyBorder="0" applyAlignment="0" applyProtection="0"/>
    <xf numFmtId="0" fontId="59" fillId="8" borderId="0" applyNumberFormat="0" applyBorder="0" applyAlignment="0" applyProtection="0"/>
    <xf numFmtId="0" fontId="59" fillId="9" borderId="0" applyNumberFormat="0" applyBorder="0" applyAlignment="0" applyProtection="0"/>
    <xf numFmtId="0" fontId="59" fillId="10" borderId="0" applyNumberFormat="0" applyBorder="0" applyAlignment="0" applyProtection="0"/>
    <xf numFmtId="0" fontId="59" fillId="5" borderId="0" applyNumberFormat="0" applyBorder="0" applyAlignment="0" applyProtection="0"/>
    <xf numFmtId="0" fontId="59" fillId="8" borderId="0" applyNumberFormat="0" applyBorder="0" applyAlignment="0" applyProtection="0"/>
    <xf numFmtId="0" fontId="59" fillId="11" borderId="0" applyNumberFormat="0" applyBorder="0" applyAlignment="0" applyProtection="0"/>
    <xf numFmtId="0" fontId="63" fillId="12" borderId="0" applyNumberFormat="0" applyBorder="0" applyAlignment="0" applyProtection="0"/>
    <xf numFmtId="0" fontId="63" fillId="9" borderId="0" applyNumberFormat="0" applyBorder="0" applyAlignment="0" applyProtection="0"/>
    <xf numFmtId="0" fontId="63" fillId="10" borderId="0" applyNumberFormat="0" applyBorder="0" applyAlignment="0" applyProtection="0"/>
    <xf numFmtId="0" fontId="63" fillId="13"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3" borderId="0" applyNumberFormat="0" applyBorder="0" applyAlignment="0" applyProtection="0"/>
    <xf numFmtId="0" fontId="63" fillId="14" borderId="0" applyNumberFormat="0" applyBorder="0" applyAlignment="0" applyProtection="0"/>
    <xf numFmtId="0" fontId="63" fillId="19" borderId="0" applyNumberFormat="0" applyBorder="0" applyAlignment="0" applyProtection="0"/>
    <xf numFmtId="0" fontId="64" fillId="0" borderId="0" applyNumberFormat="0" applyFill="0" applyBorder="0" applyAlignment="0" applyProtection="0"/>
    <xf numFmtId="0" fontId="65" fillId="20" borderId="1" applyNumberFormat="0" applyAlignment="0" applyProtection="0"/>
    <xf numFmtId="0" fontId="66" fillId="0" borderId="2" applyNumberFormat="0" applyFill="0" applyAlignment="0" applyProtection="0"/>
    <xf numFmtId="0" fontId="35" fillId="21" borderId="3" applyNumberFormat="0" applyFont="0" applyAlignment="0" applyProtection="0"/>
    <xf numFmtId="183" fontId="8" fillId="0" borderId="0"/>
    <xf numFmtId="0" fontId="67" fillId="7" borderId="1" applyNumberFormat="0" applyAlignment="0" applyProtection="0"/>
    <xf numFmtId="182" fontId="8" fillId="0" borderId="0" applyFont="0" applyFill="0" applyBorder="0" applyAlignment="0" applyProtection="0"/>
    <xf numFmtId="0" fontId="81" fillId="3" borderId="0" applyNumberFormat="0" applyBorder="0" applyAlignment="0" applyProtection="0"/>
    <xf numFmtId="0" fontId="21" fillId="0" borderId="0" applyNumberFormat="0" applyFill="0" applyBorder="0" applyAlignment="0" applyProtection="0">
      <alignment vertical="top"/>
      <protection locked="0"/>
    </xf>
    <xf numFmtId="0" fontId="94" fillId="0" borderId="0" applyNumberFormat="0" applyFill="0" applyBorder="0" applyAlignment="0" applyProtection="0"/>
    <xf numFmtId="43" fontId="92" fillId="0" borderId="0" applyFont="0" applyFill="0" applyBorder="0" applyAlignment="0" applyProtection="0"/>
    <xf numFmtId="164" fontId="8" fillId="0" borderId="0" applyFont="0" applyFill="0" applyBorder="0" applyAlignment="0" applyProtection="0"/>
    <xf numFmtId="164" fontId="59" fillId="0" borderId="0" applyFont="0" applyFill="0" applyBorder="0" applyAlignment="0" applyProtection="0"/>
    <xf numFmtId="164" fontId="95" fillId="0" borderId="0" applyFont="0" applyFill="0" applyBorder="0" applyAlignment="0" applyProtection="0"/>
    <xf numFmtId="164" fontId="95" fillId="0" borderId="0" applyFont="0" applyFill="0" applyBorder="0" applyAlignment="0" applyProtection="0"/>
    <xf numFmtId="164" fontId="95" fillId="0" borderId="0" applyFont="0" applyFill="0" applyBorder="0" applyAlignment="0" applyProtection="0"/>
    <xf numFmtId="164" fontId="95" fillId="0" borderId="0" applyFont="0" applyFill="0" applyBorder="0" applyAlignment="0" applyProtection="0"/>
    <xf numFmtId="164" fontId="92" fillId="0" borderId="0" applyFont="0" applyFill="0" applyBorder="0" applyAlignment="0" applyProtection="0"/>
    <xf numFmtId="164" fontId="92" fillId="0" borderId="0" applyFont="0" applyFill="0" applyBorder="0" applyAlignment="0" applyProtection="0"/>
    <xf numFmtId="164" fontId="8" fillId="0" borderId="0" applyFont="0" applyFill="0" applyBorder="0" applyAlignment="0" applyProtection="0"/>
    <xf numFmtId="164" fontId="95" fillId="0" borderId="0" applyFont="0" applyFill="0" applyBorder="0" applyAlignment="0" applyProtection="0"/>
    <xf numFmtId="43" fontId="92" fillId="0" borderId="0" applyFont="0" applyFill="0" applyBorder="0" applyAlignment="0" applyProtection="0"/>
    <xf numFmtId="44" fontId="1" fillId="0" borderId="0" applyFont="0" applyFill="0" applyBorder="0" applyAlignment="0" applyProtection="0"/>
    <xf numFmtId="44" fontId="9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8" fillId="0" borderId="0" applyFont="0" applyFill="0" applyBorder="0" applyAlignment="0" applyProtection="0"/>
    <xf numFmtId="44" fontId="95" fillId="0" borderId="0" applyFont="0" applyFill="0" applyBorder="0" applyAlignment="0" applyProtection="0"/>
    <xf numFmtId="44" fontId="95" fillId="0" borderId="0" applyFont="0" applyFill="0" applyBorder="0" applyAlignment="0" applyProtection="0"/>
    <xf numFmtId="44" fontId="95" fillId="0" borderId="0" applyFont="0" applyFill="0" applyBorder="0" applyAlignment="0" applyProtection="0"/>
    <xf numFmtId="44" fontId="95" fillId="0" borderId="0" applyFont="0" applyFill="0" applyBorder="0" applyAlignment="0" applyProtection="0"/>
    <xf numFmtId="44" fontId="95" fillId="0" borderId="0" applyFont="0" applyFill="0" applyBorder="0" applyAlignment="0" applyProtection="0"/>
    <xf numFmtId="44" fontId="92" fillId="0" borderId="0" applyFont="0" applyFill="0" applyBorder="0" applyAlignment="0" applyProtection="0"/>
    <xf numFmtId="44" fontId="95" fillId="0" borderId="0" applyFont="0" applyFill="0" applyBorder="0" applyAlignment="0" applyProtection="0"/>
    <xf numFmtId="44" fontId="95" fillId="0" borderId="0" applyFont="0" applyFill="0" applyBorder="0" applyAlignment="0" applyProtection="0"/>
    <xf numFmtId="44" fontId="95" fillId="0" borderId="0" applyFont="0" applyFill="0" applyBorder="0" applyAlignment="0" applyProtection="0"/>
    <xf numFmtId="44" fontId="92" fillId="0" borderId="0" applyFont="0" applyFill="0" applyBorder="0" applyAlignment="0" applyProtection="0"/>
    <xf numFmtId="0" fontId="68" fillId="22" borderId="0" applyNumberFormat="0" applyBorder="0" applyAlignment="0" applyProtection="0"/>
    <xf numFmtId="0" fontId="92" fillId="0" borderId="0"/>
    <xf numFmtId="0" fontId="8" fillId="0" borderId="0"/>
    <xf numFmtId="0" fontId="8" fillId="0" borderId="0"/>
    <xf numFmtId="0" fontId="92" fillId="0" borderId="0"/>
    <xf numFmtId="0" fontId="92" fillId="0" borderId="0"/>
    <xf numFmtId="0" fontId="80" fillId="0" borderId="0"/>
    <xf numFmtId="0" fontId="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 fillId="0" borderId="0"/>
    <xf numFmtId="0" fontId="95" fillId="0" borderId="0"/>
    <xf numFmtId="0" fontId="95" fillId="0" borderId="0"/>
    <xf numFmtId="0" fontId="95" fillId="0" borderId="0"/>
    <xf numFmtId="0" fontId="95" fillId="0" borderId="0"/>
    <xf numFmtId="0" fontId="92" fillId="0" borderId="0"/>
    <xf numFmtId="0" fontId="92" fillId="0" borderId="0"/>
    <xf numFmtId="0" fontId="92" fillId="0" borderId="0"/>
    <xf numFmtId="0" fontId="95" fillId="0" borderId="0"/>
    <xf numFmtId="0" fontId="35" fillId="0" borderId="0"/>
    <xf numFmtId="0" fontId="35" fillId="0" borderId="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35" fillId="0" borderId="0" applyFont="0" applyFill="0" applyBorder="0" applyAlignment="0" applyProtection="0"/>
    <xf numFmtId="9" fontId="59"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8"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8" fillId="0" borderId="0" applyFont="0" applyFill="0" applyBorder="0" applyAlignment="0" applyProtection="0"/>
    <xf numFmtId="9" fontId="59" fillId="0" borderId="0" applyFont="0" applyFill="0" applyBorder="0" applyAlignment="0" applyProtection="0"/>
    <xf numFmtId="9" fontId="8" fillId="0" borderId="0" applyFont="0" applyFill="0" applyBorder="0" applyAlignment="0" applyProtection="0"/>
    <xf numFmtId="9" fontId="92" fillId="0" borderId="0" applyFont="0" applyFill="0" applyBorder="0" applyAlignment="0" applyProtection="0"/>
    <xf numFmtId="9" fontId="8" fillId="0" borderId="0" applyFont="0" applyFill="0" applyBorder="0" applyAlignment="0" applyProtection="0"/>
    <xf numFmtId="9" fontId="92" fillId="0" borderId="0" applyFont="0" applyFill="0" applyBorder="0" applyAlignment="0" applyProtection="0"/>
    <xf numFmtId="9" fontId="8" fillId="0" borderId="0" applyFont="0" applyFill="0" applyBorder="0" applyAlignment="0" applyProtection="0"/>
    <xf numFmtId="9" fontId="95" fillId="0" borderId="0" applyFont="0" applyFill="0" applyBorder="0" applyAlignment="0" applyProtection="0"/>
    <xf numFmtId="0" fontId="69" fillId="4" borderId="0" applyNumberFormat="0" applyBorder="0" applyAlignment="0" applyProtection="0"/>
    <xf numFmtId="0" fontId="70" fillId="20" borderId="4" applyNumberFormat="0" applyAlignment="0" applyProtection="0"/>
    <xf numFmtId="0" fontId="71" fillId="0" borderId="0" applyNumberFormat="0" applyFill="0" applyBorder="0" applyAlignment="0" applyProtection="0"/>
    <xf numFmtId="0" fontId="82" fillId="0" borderId="0" applyNumberFormat="0" applyFill="0" applyBorder="0" applyAlignment="0" applyProtection="0"/>
    <xf numFmtId="0" fontId="83" fillId="0" borderId="5" applyNumberFormat="0" applyFill="0" applyAlignment="0" applyProtection="0"/>
    <xf numFmtId="0" fontId="84" fillId="0" borderId="6" applyNumberFormat="0" applyFill="0" applyAlignment="0" applyProtection="0"/>
    <xf numFmtId="0" fontId="85" fillId="0" borderId="7" applyNumberFormat="0" applyFill="0" applyAlignment="0" applyProtection="0"/>
    <xf numFmtId="0" fontId="85" fillId="0" borderId="0" applyNumberFormat="0" applyFill="0" applyBorder="0" applyAlignment="0" applyProtection="0"/>
    <xf numFmtId="0" fontId="72" fillId="0" borderId="8" applyNumberFormat="0" applyFill="0" applyAlignment="0" applyProtection="0"/>
    <xf numFmtId="0" fontId="73" fillId="23" borderId="9" applyNumberFormat="0" applyAlignment="0" applyProtection="0"/>
  </cellStyleXfs>
  <cellXfs count="1623">
    <xf numFmtId="0" fontId="0" fillId="0" borderId="0" xfId="0"/>
    <xf numFmtId="0" fontId="3" fillId="24" borderId="0" xfId="0" applyFont="1" applyFill="1" applyAlignment="1">
      <alignment vertical="center"/>
    </xf>
    <xf numFmtId="0" fontId="5" fillId="24" borderId="10" xfId="0" applyFont="1" applyFill="1" applyBorder="1" applyAlignment="1">
      <alignment vertical="center"/>
    </xf>
    <xf numFmtId="0" fontId="3" fillId="24" borderId="10" xfId="0" applyFont="1" applyFill="1" applyBorder="1" applyAlignment="1">
      <alignment vertical="center"/>
    </xf>
    <xf numFmtId="0" fontId="9" fillId="24" borderId="11" xfId="0" applyFont="1" applyFill="1" applyBorder="1" applyAlignment="1" applyProtection="1">
      <alignment horizontal="center" vertical="center"/>
      <protection locked="0"/>
    </xf>
    <xf numFmtId="0" fontId="3" fillId="24" borderId="12" xfId="0" applyFont="1" applyFill="1" applyBorder="1" applyAlignment="1">
      <alignment vertical="center"/>
    </xf>
    <xf numFmtId="0" fontId="3" fillId="24" borderId="13" xfId="0" applyFont="1" applyFill="1" applyBorder="1" applyAlignment="1">
      <alignment vertical="center"/>
    </xf>
    <xf numFmtId="0" fontId="3" fillId="24" borderId="14" xfId="0" applyFont="1" applyFill="1" applyBorder="1" applyAlignment="1">
      <alignment vertical="center"/>
    </xf>
    <xf numFmtId="0" fontId="9" fillId="24" borderId="0" xfId="0" applyFont="1" applyFill="1" applyAlignment="1">
      <alignment vertical="center"/>
    </xf>
    <xf numFmtId="0" fontId="11" fillId="24" borderId="0" xfId="0" applyFont="1" applyFill="1" applyAlignment="1">
      <alignment vertical="center"/>
    </xf>
    <xf numFmtId="0" fontId="12" fillId="24" borderId="0" xfId="0" applyFont="1" applyFill="1" applyAlignment="1">
      <alignment horizontal="center" vertical="center"/>
    </xf>
    <xf numFmtId="0" fontId="13" fillId="24" borderId="0" xfId="0" applyFont="1" applyFill="1" applyAlignment="1">
      <alignment horizontal="center" vertical="center"/>
    </xf>
    <xf numFmtId="0" fontId="3" fillId="0" borderId="0" xfId="0" applyFont="1" applyAlignment="1">
      <alignment vertical="center"/>
    </xf>
    <xf numFmtId="0" fontId="18" fillId="0" borderId="0" xfId="0" applyFont="1"/>
    <xf numFmtId="0" fontId="0" fillId="0" borderId="0" xfId="0" applyAlignment="1">
      <alignment horizontal="center"/>
    </xf>
    <xf numFmtId="0" fontId="14" fillId="0" borderId="0" xfId="0" applyFont="1"/>
    <xf numFmtId="0" fontId="0" fillId="0" borderId="0" xfId="0" applyAlignment="1">
      <alignment horizontal="left" vertical="center"/>
    </xf>
    <xf numFmtId="0" fontId="20" fillId="0" borderId="11" xfId="0" applyFont="1" applyBorder="1" applyAlignment="1" applyProtection="1">
      <alignment horizontal="center"/>
      <protection locked="0"/>
    </xf>
    <xf numFmtId="0" fontId="20" fillId="0" borderId="11" xfId="0" applyFont="1" applyBorder="1" applyProtection="1">
      <protection locked="0"/>
    </xf>
    <xf numFmtId="0" fontId="20" fillId="0" borderId="15" xfId="0" applyFont="1" applyBorder="1" applyAlignment="1" applyProtection="1">
      <alignment horizontal="center"/>
      <protection locked="0"/>
    </xf>
    <xf numFmtId="0" fontId="20" fillId="0" borderId="15" xfId="0" applyFont="1" applyBorder="1" applyProtection="1">
      <protection locked="0"/>
    </xf>
    <xf numFmtId="0" fontId="4" fillId="0" borderId="0" xfId="0" applyFont="1"/>
    <xf numFmtId="0" fontId="14" fillId="0" borderId="0" xfId="0" applyFont="1" applyAlignment="1">
      <alignment horizontal="right"/>
    </xf>
    <xf numFmtId="0" fontId="9" fillId="0" borderId="0" xfId="0" applyFont="1" applyAlignment="1">
      <alignment horizontal="left" vertical="center" wrapText="1"/>
    </xf>
    <xf numFmtId="0" fontId="0" fillId="0" borderId="16" xfId="0" applyBorder="1" applyProtection="1">
      <protection locked="0"/>
    </xf>
    <xf numFmtId="0" fontId="0" fillId="0" borderId="0" xfId="0" applyAlignment="1" applyProtection="1">
      <alignment shrinkToFit="1"/>
      <protection locked="0"/>
    </xf>
    <xf numFmtId="0" fontId="0" fillId="0" borderId="17" xfId="0" applyBorder="1" applyProtection="1">
      <protection locked="0"/>
    </xf>
    <xf numFmtId="0" fontId="0" fillId="0" borderId="18" xfId="0" applyBorder="1" applyProtection="1">
      <protection locked="0"/>
    </xf>
    <xf numFmtId="0" fontId="0" fillId="0" borderId="0" xfId="0" applyProtection="1">
      <protection locked="0"/>
    </xf>
    <xf numFmtId="0" fontId="0" fillId="0" borderId="19" xfId="0" applyBorder="1" applyProtection="1">
      <protection locked="0"/>
    </xf>
    <xf numFmtId="0" fontId="17" fillId="0" borderId="18" xfId="0" applyFont="1" applyBorder="1" applyProtection="1">
      <protection locked="0"/>
    </xf>
    <xf numFmtId="0" fontId="20" fillId="0" borderId="20" xfId="0" applyFont="1" applyBorder="1" applyProtection="1">
      <protection locked="0"/>
    </xf>
    <xf numFmtId="0" fontId="19" fillId="0" borderId="21" xfId="0" applyFont="1" applyBorder="1" applyAlignment="1">
      <alignment horizontal="center" vertical="center"/>
    </xf>
    <xf numFmtId="2" fontId="20" fillId="0" borderId="11" xfId="0" applyNumberFormat="1" applyFont="1" applyBorder="1" applyProtection="1">
      <protection locked="0"/>
    </xf>
    <xf numFmtId="2" fontId="20" fillId="0" borderId="15" xfId="0" applyNumberFormat="1" applyFont="1" applyBorder="1" applyProtection="1">
      <protection locked="0"/>
    </xf>
    <xf numFmtId="0" fontId="0" fillId="24" borderId="17" xfId="0" applyFill="1" applyBorder="1"/>
    <xf numFmtId="0" fontId="0" fillId="24" borderId="14" xfId="0" applyFill="1" applyBorder="1"/>
    <xf numFmtId="0" fontId="0" fillId="24" borderId="17" xfId="0" applyFill="1" applyBorder="1" applyAlignment="1">
      <alignment vertical="center"/>
    </xf>
    <xf numFmtId="0" fontId="32" fillId="24" borderId="17" xfId="0" applyFont="1" applyFill="1" applyBorder="1" applyAlignment="1">
      <alignment vertical="center"/>
    </xf>
    <xf numFmtId="0" fontId="35" fillId="25" borderId="22" xfId="101" applyFill="1" applyBorder="1" applyAlignment="1">
      <alignment horizontal="center"/>
    </xf>
    <xf numFmtId="0" fontId="35" fillId="0" borderId="3" xfId="101" applyBorder="1" applyAlignment="1">
      <alignment horizontal="right" wrapText="1"/>
    </xf>
    <xf numFmtId="0" fontId="35" fillId="0" borderId="3" xfId="101" applyBorder="1" applyAlignment="1">
      <alignment wrapText="1"/>
    </xf>
    <xf numFmtId="0" fontId="35" fillId="25" borderId="0" xfId="101" applyFill="1" applyAlignment="1">
      <alignment horizontal="center"/>
    </xf>
    <xf numFmtId="0" fontId="35" fillId="25" borderId="0" xfId="101" applyFill="1"/>
    <xf numFmtId="0" fontId="9" fillId="24" borderId="0" xfId="0" applyFont="1" applyFill="1"/>
    <xf numFmtId="0" fontId="14" fillId="24" borderId="0" xfId="0" applyFont="1" applyFill="1"/>
    <xf numFmtId="0" fontId="33" fillId="0" borderId="0" xfId="0" applyFont="1"/>
    <xf numFmtId="49" fontId="11" fillId="0" borderId="10" xfId="0" applyNumberFormat="1" applyFont="1" applyBorder="1"/>
    <xf numFmtId="0" fontId="35" fillId="25" borderId="0" xfId="101" applyFill="1" applyAlignment="1">
      <alignment horizontal="left"/>
    </xf>
    <xf numFmtId="0" fontId="9" fillId="0" borderId="0" xfId="0" applyFont="1" applyAlignment="1">
      <alignment horizontal="left"/>
    </xf>
    <xf numFmtId="3" fontId="9" fillId="0" borderId="0" xfId="0" applyNumberFormat="1" applyFont="1" applyAlignment="1">
      <alignment horizontal="center"/>
    </xf>
    <xf numFmtId="0" fontId="0" fillId="0" borderId="0" xfId="0" applyProtection="1">
      <protection hidden="1"/>
    </xf>
    <xf numFmtId="0" fontId="3" fillId="24" borderId="10" xfId="0" applyFont="1" applyFill="1" applyBorder="1" applyAlignment="1" applyProtection="1">
      <alignment vertical="center"/>
      <protection hidden="1"/>
    </xf>
    <xf numFmtId="0" fontId="9" fillId="26" borderId="23" xfId="0" applyFont="1" applyFill="1" applyBorder="1" applyAlignment="1" applyProtection="1">
      <alignment vertical="center"/>
      <protection hidden="1"/>
    </xf>
    <xf numFmtId="0" fontId="14" fillId="24" borderId="10" xfId="0" applyFont="1" applyFill="1" applyBorder="1"/>
    <xf numFmtId="0" fontId="22" fillId="24" borderId="0" xfId="0" applyFont="1" applyFill="1"/>
    <xf numFmtId="0" fontId="9" fillId="24" borderId="17" xfId="0" applyFont="1" applyFill="1" applyBorder="1"/>
    <xf numFmtId="0" fontId="14" fillId="24" borderId="17" xfId="0" applyFont="1" applyFill="1" applyBorder="1"/>
    <xf numFmtId="0" fontId="9" fillId="24" borderId="10" xfId="0" applyFont="1" applyFill="1" applyBorder="1"/>
    <xf numFmtId="0" fontId="31" fillId="24" borderId="0" xfId="0" applyFont="1" applyFill="1"/>
    <xf numFmtId="0" fontId="9" fillId="24" borderId="12" xfId="0" applyFont="1" applyFill="1" applyBorder="1"/>
    <xf numFmtId="0" fontId="9" fillId="24" borderId="13" xfId="0" applyFont="1" applyFill="1" applyBorder="1"/>
    <xf numFmtId="0" fontId="9" fillId="24" borderId="13" xfId="0" applyFont="1" applyFill="1" applyBorder="1" applyAlignment="1">
      <alignment horizontal="left"/>
    </xf>
    <xf numFmtId="0" fontId="9" fillId="24" borderId="14" xfId="0" applyFont="1" applyFill="1" applyBorder="1"/>
    <xf numFmtId="0" fontId="14" fillId="24" borderId="12" xfId="0" applyFont="1" applyFill="1" applyBorder="1"/>
    <xf numFmtId="0" fontId="14" fillId="24" borderId="13" xfId="0" applyFont="1" applyFill="1" applyBorder="1"/>
    <xf numFmtId="0" fontId="22" fillId="24" borderId="13" xfId="0" applyFont="1" applyFill="1" applyBorder="1"/>
    <xf numFmtId="0" fontId="11" fillId="24" borderId="10" xfId="0" applyFont="1" applyFill="1" applyBorder="1" applyAlignment="1">
      <alignment horizontal="center"/>
    </xf>
    <xf numFmtId="0" fontId="11" fillId="24" borderId="0" xfId="0" applyFont="1" applyFill="1" applyAlignment="1">
      <alignment horizontal="center"/>
    </xf>
    <xf numFmtId="0" fontId="11" fillId="24" borderId="24" xfId="0" applyFont="1" applyFill="1" applyBorder="1" applyAlignment="1">
      <alignment horizontal="center"/>
    </xf>
    <xf numFmtId="0" fontId="22" fillId="24" borderId="10" xfId="0" applyFont="1" applyFill="1" applyBorder="1" applyAlignment="1">
      <alignment horizontal="center"/>
    </xf>
    <xf numFmtId="0" fontId="22" fillId="24" borderId="0" xfId="0" applyFont="1" applyFill="1" applyAlignment="1">
      <alignment horizontal="center"/>
    </xf>
    <xf numFmtId="0" fontId="22" fillId="24" borderId="17" xfId="0" applyFont="1" applyFill="1" applyBorder="1" applyAlignment="1">
      <alignment horizontal="center"/>
    </xf>
    <xf numFmtId="0" fontId="0" fillId="0" borderId="15" xfId="0" applyBorder="1" applyAlignment="1" applyProtection="1">
      <alignment shrinkToFit="1"/>
      <protection locked="0"/>
    </xf>
    <xf numFmtId="0" fontId="0" fillId="0" borderId="25" xfId="0" applyBorder="1" applyProtection="1">
      <protection locked="0"/>
    </xf>
    <xf numFmtId="0" fontId="0" fillId="0" borderId="26" xfId="0" applyBorder="1" applyProtection="1">
      <protection locked="0"/>
    </xf>
    <xf numFmtId="0" fontId="0" fillId="0" borderId="15" xfId="0" applyBorder="1" applyProtection="1">
      <protection locked="0"/>
    </xf>
    <xf numFmtId="14" fontId="0" fillId="0" borderId="15" xfId="0" applyNumberFormat="1" applyBorder="1" applyAlignment="1" applyProtection="1">
      <alignment horizontal="center"/>
      <protection locked="0"/>
    </xf>
    <xf numFmtId="14" fontId="0" fillId="0" borderId="25" xfId="0" applyNumberFormat="1" applyBorder="1" applyAlignment="1" applyProtection="1">
      <alignment horizontal="center"/>
      <protection locked="0"/>
    </xf>
    <xf numFmtId="168" fontId="0" fillId="0" borderId="15" xfId="0" applyNumberFormat="1" applyBorder="1" applyProtection="1">
      <protection locked="0"/>
    </xf>
    <xf numFmtId="168" fontId="0" fillId="0" borderId="25" xfId="0" applyNumberFormat="1" applyBorder="1" applyProtection="1">
      <protection locked="0"/>
    </xf>
    <xf numFmtId="168" fontId="0" fillId="0" borderId="27" xfId="0" applyNumberFormat="1" applyBorder="1" applyProtection="1">
      <protection locked="0"/>
    </xf>
    <xf numFmtId="168" fontId="0" fillId="0" borderId="28" xfId="0" applyNumberFormat="1" applyBorder="1" applyProtection="1">
      <protection locked="0"/>
    </xf>
    <xf numFmtId="168" fontId="0" fillId="0" borderId="29" xfId="0" applyNumberFormat="1" applyBorder="1" applyProtection="1">
      <protection locked="0"/>
    </xf>
    <xf numFmtId="168" fontId="0" fillId="0" borderId="30" xfId="0" applyNumberFormat="1" applyBorder="1" applyProtection="1">
      <protection locked="0"/>
    </xf>
    <xf numFmtId="168" fontId="0" fillId="0" borderId="26" xfId="0" applyNumberFormat="1" applyBorder="1" applyProtection="1">
      <protection locked="0"/>
    </xf>
    <xf numFmtId="168" fontId="0" fillId="0" borderId="15" xfId="0" applyNumberFormat="1" applyBorder="1" applyAlignment="1" applyProtection="1">
      <alignment shrinkToFit="1"/>
      <protection locked="0"/>
    </xf>
    <xf numFmtId="168" fontId="0" fillId="0" borderId="0" xfId="0" applyNumberFormat="1" applyProtection="1">
      <protection hidden="1"/>
    </xf>
    <xf numFmtId="14" fontId="0" fillId="0" borderId="0" xfId="0" applyNumberFormat="1" applyProtection="1">
      <protection hidden="1"/>
    </xf>
    <xf numFmtId="0" fontId="25" fillId="0" borderId="0" xfId="0" applyFont="1" applyProtection="1">
      <protection hidden="1"/>
    </xf>
    <xf numFmtId="0" fontId="0" fillId="0" borderId="0" xfId="0" applyAlignment="1" applyProtection="1">
      <alignment horizontal="left"/>
      <protection hidden="1"/>
    </xf>
    <xf numFmtId="168" fontId="0" fillId="0" borderId="0" xfId="0" applyNumberFormat="1" applyAlignment="1" applyProtection="1">
      <alignment horizontal="left"/>
      <protection hidden="1"/>
    </xf>
    <xf numFmtId="168" fontId="14" fillId="0" borderId="0" xfId="0" applyNumberFormat="1" applyFont="1" applyProtection="1">
      <protection hidden="1"/>
    </xf>
    <xf numFmtId="168" fontId="18" fillId="0" borderId="0" xfId="0" applyNumberFormat="1" applyFont="1" applyProtection="1">
      <protection hidden="1"/>
    </xf>
    <xf numFmtId="0" fontId="25" fillId="0" borderId="0" xfId="0" applyFont="1" applyAlignment="1" applyProtection="1">
      <alignment vertical="top"/>
      <protection hidden="1"/>
    </xf>
    <xf numFmtId="0" fontId="16" fillId="0" borderId="0" xfId="0" applyFont="1" applyAlignment="1" applyProtection="1">
      <alignment vertical="top"/>
      <protection hidden="1"/>
    </xf>
    <xf numFmtId="168" fontId="16" fillId="0" borderId="0" xfId="0" applyNumberFormat="1" applyFont="1" applyAlignment="1" applyProtection="1">
      <alignment vertical="top"/>
      <protection hidden="1"/>
    </xf>
    <xf numFmtId="14" fontId="16" fillId="0" borderId="0" xfId="0" applyNumberFormat="1" applyFont="1" applyAlignment="1" applyProtection="1">
      <alignment vertical="top"/>
      <protection hidden="1"/>
    </xf>
    <xf numFmtId="0" fontId="16" fillId="0" borderId="13" xfId="0" applyFont="1" applyBorder="1" applyAlignment="1" applyProtection="1">
      <alignment vertical="top"/>
      <protection hidden="1"/>
    </xf>
    <xf numFmtId="168" fontId="16" fillId="0" borderId="13" xfId="0" applyNumberFormat="1" applyFont="1" applyBorder="1" applyAlignment="1" applyProtection="1">
      <alignment vertical="top"/>
      <protection hidden="1"/>
    </xf>
    <xf numFmtId="14" fontId="16" fillId="0" borderId="13" xfId="0" applyNumberFormat="1" applyFont="1" applyBorder="1" applyAlignment="1" applyProtection="1">
      <alignment vertical="top"/>
      <protection hidden="1"/>
    </xf>
    <xf numFmtId="168" fontId="0" fillId="0" borderId="31" xfId="0" applyNumberFormat="1" applyBorder="1" applyProtection="1">
      <protection hidden="1"/>
    </xf>
    <xf numFmtId="168" fontId="0" fillId="0" borderId="27" xfId="0" applyNumberFormat="1" applyBorder="1" applyProtection="1">
      <protection hidden="1"/>
    </xf>
    <xf numFmtId="0" fontId="0" fillId="0" borderId="17" xfId="0" applyBorder="1" applyProtection="1">
      <protection hidden="1"/>
    </xf>
    <xf numFmtId="0" fontId="0" fillId="0" borderId="18" xfId="0" applyBorder="1" applyProtection="1">
      <protection hidden="1"/>
    </xf>
    <xf numFmtId="0" fontId="0" fillId="0" borderId="25" xfId="0" applyBorder="1" applyProtection="1">
      <protection hidden="1"/>
    </xf>
    <xf numFmtId="168" fontId="0" fillId="0" borderId="25" xfId="0" applyNumberFormat="1" applyBorder="1" applyProtection="1">
      <protection hidden="1"/>
    </xf>
    <xf numFmtId="168" fontId="0" fillId="0" borderId="30" xfId="0" applyNumberFormat="1" applyBorder="1" applyProtection="1">
      <protection hidden="1"/>
    </xf>
    <xf numFmtId="168" fontId="0" fillId="0" borderId="32" xfId="0" applyNumberFormat="1" applyBorder="1" applyProtection="1">
      <protection hidden="1"/>
    </xf>
    <xf numFmtId="14" fontId="0" fillId="0" borderId="25" xfId="0" applyNumberFormat="1" applyBorder="1" applyAlignment="1" applyProtection="1">
      <alignment horizontal="center"/>
      <protection hidden="1"/>
    </xf>
    <xf numFmtId="0" fontId="0" fillId="0" borderId="26" xfId="0" applyBorder="1" applyProtection="1">
      <protection hidden="1"/>
    </xf>
    <xf numFmtId="0" fontId="0" fillId="0" borderId="33" xfId="0" applyBorder="1" applyProtection="1">
      <protection hidden="1"/>
    </xf>
    <xf numFmtId="0" fontId="0" fillId="0" borderId="34" xfId="0" applyBorder="1" applyProtection="1">
      <protection hidden="1"/>
    </xf>
    <xf numFmtId="168" fontId="0" fillId="0" borderId="35" xfId="0" applyNumberFormat="1" applyBorder="1" applyProtection="1">
      <protection hidden="1"/>
    </xf>
    <xf numFmtId="168" fontId="0" fillId="0" borderId="36" xfId="0" applyNumberFormat="1" applyBorder="1" applyProtection="1">
      <protection hidden="1"/>
    </xf>
    <xf numFmtId="168" fontId="0" fillId="0" borderId="37" xfId="0" applyNumberFormat="1" applyBorder="1" applyProtection="1">
      <protection hidden="1"/>
    </xf>
    <xf numFmtId="14" fontId="0" fillId="0" borderId="38" xfId="0" applyNumberFormat="1" applyBorder="1" applyAlignment="1" applyProtection="1">
      <alignment horizontal="center"/>
      <protection hidden="1"/>
    </xf>
    <xf numFmtId="168" fontId="0" fillId="0" borderId="38" xfId="0" applyNumberFormat="1" applyBorder="1" applyProtection="1">
      <protection hidden="1"/>
    </xf>
    <xf numFmtId="0" fontId="0" fillId="0" borderId="39" xfId="0" applyBorder="1" applyProtection="1">
      <protection hidden="1"/>
    </xf>
    <xf numFmtId="0" fontId="0" fillId="0" borderId="40" xfId="0" applyBorder="1" applyProtection="1">
      <protection hidden="1"/>
    </xf>
    <xf numFmtId="168" fontId="0" fillId="0" borderId="20" xfId="0" applyNumberFormat="1" applyBorder="1" applyProtection="1">
      <protection hidden="1"/>
    </xf>
    <xf numFmtId="0" fontId="0" fillId="0" borderId="20" xfId="0" applyBorder="1" applyProtection="1">
      <protection hidden="1"/>
    </xf>
    <xf numFmtId="168" fontId="0" fillId="0" borderId="41" xfId="0" applyNumberFormat="1" applyBorder="1" applyProtection="1">
      <protection hidden="1"/>
    </xf>
    <xf numFmtId="168" fontId="0" fillId="0" borderId="42" xfId="0" applyNumberFormat="1" applyBorder="1" applyProtection="1">
      <protection hidden="1"/>
    </xf>
    <xf numFmtId="168" fontId="0" fillId="0" borderId="43" xfId="0" applyNumberFormat="1" applyBorder="1" applyProtection="1">
      <protection hidden="1"/>
    </xf>
    <xf numFmtId="168" fontId="0" fillId="0" borderId="44" xfId="0" applyNumberFormat="1" applyBorder="1" applyProtection="1">
      <protection hidden="1"/>
    </xf>
    <xf numFmtId="168" fontId="0" fillId="0" borderId="45" xfId="0" applyNumberFormat="1" applyBorder="1" applyProtection="1">
      <protection hidden="1"/>
    </xf>
    <xf numFmtId="0" fontId="0" fillId="0" borderId="10" xfId="0" applyBorder="1" applyProtection="1">
      <protection hidden="1"/>
    </xf>
    <xf numFmtId="0" fontId="26" fillId="0" borderId="46" xfId="0" applyFont="1" applyBorder="1" applyAlignment="1" applyProtection="1">
      <alignment horizontal="right"/>
      <protection hidden="1"/>
    </xf>
    <xf numFmtId="168" fontId="2" fillId="0" borderId="47" xfId="0" applyNumberFormat="1" applyFont="1" applyBorder="1" applyProtection="1">
      <protection hidden="1"/>
    </xf>
    <xf numFmtId="168" fontId="2" fillId="0" borderId="48" xfId="0" applyNumberFormat="1" applyFont="1" applyBorder="1" applyProtection="1">
      <protection hidden="1"/>
    </xf>
    <xf numFmtId="168" fontId="2" fillId="0" borderId="49" xfId="0" applyNumberFormat="1" applyFont="1" applyBorder="1" applyProtection="1">
      <protection hidden="1"/>
    </xf>
    <xf numFmtId="168" fontId="2" fillId="0" borderId="50" xfId="0" applyNumberFormat="1" applyFont="1" applyBorder="1" applyProtection="1">
      <protection hidden="1"/>
    </xf>
    <xf numFmtId="14" fontId="0" fillId="27" borderId="34" xfId="0" applyNumberFormat="1" applyFill="1" applyBorder="1" applyAlignment="1" applyProtection="1">
      <alignment horizontal="center"/>
      <protection hidden="1"/>
    </xf>
    <xf numFmtId="168" fontId="0" fillId="27" borderId="34" xfId="0" applyNumberFormat="1" applyFill="1" applyBorder="1" applyProtection="1">
      <protection hidden="1"/>
    </xf>
    <xf numFmtId="0" fontId="0" fillId="27" borderId="39" xfId="0" applyFill="1" applyBorder="1" applyProtection="1">
      <protection hidden="1"/>
    </xf>
    <xf numFmtId="0" fontId="4" fillId="0" borderId="33" xfId="0" applyFont="1" applyBorder="1" applyProtection="1">
      <protection hidden="1"/>
    </xf>
    <xf numFmtId="0" fontId="4" fillId="0" borderId="34" xfId="0" applyFont="1" applyBorder="1" applyProtection="1">
      <protection hidden="1"/>
    </xf>
    <xf numFmtId="168" fontId="2" fillId="0" borderId="51" xfId="0" applyNumberFormat="1" applyFont="1" applyBorder="1" applyProtection="1">
      <protection hidden="1"/>
    </xf>
    <xf numFmtId="14" fontId="0" fillId="27" borderId="0" xfId="0" applyNumberFormat="1" applyFill="1" applyAlignment="1" applyProtection="1">
      <alignment horizontal="center"/>
      <protection hidden="1"/>
    </xf>
    <xf numFmtId="168" fontId="0" fillId="27" borderId="0" xfId="0" applyNumberFormat="1" applyFill="1" applyProtection="1">
      <protection hidden="1"/>
    </xf>
    <xf numFmtId="0" fontId="0" fillId="27" borderId="17" xfId="0" applyFill="1" applyBorder="1" applyProtection="1">
      <protection hidden="1"/>
    </xf>
    <xf numFmtId="0" fontId="4" fillId="0" borderId="13" xfId="0" applyFont="1" applyBorder="1" applyAlignment="1" applyProtection="1">
      <alignment horizontal="right"/>
      <protection hidden="1"/>
    </xf>
    <xf numFmtId="168" fontId="4" fillId="0" borderId="52" xfId="0" applyNumberFormat="1" applyFont="1" applyBorder="1" applyProtection="1">
      <protection hidden="1"/>
    </xf>
    <xf numFmtId="14" fontId="0" fillId="27" borderId="13" xfId="0" applyNumberFormat="1" applyFill="1" applyBorder="1" applyAlignment="1" applyProtection="1">
      <alignment horizontal="center"/>
      <protection hidden="1"/>
    </xf>
    <xf numFmtId="168" fontId="0" fillId="27" borderId="13" xfId="0" applyNumberFormat="1" applyFill="1" applyBorder="1" applyProtection="1">
      <protection hidden="1"/>
    </xf>
    <xf numFmtId="0" fontId="0" fillId="27" borderId="14" xfId="0" applyFill="1" applyBorder="1" applyProtection="1">
      <protection hidden="1"/>
    </xf>
    <xf numFmtId="0" fontId="32" fillId="0" borderId="0" xfId="0" applyFont="1" applyProtection="1">
      <protection hidden="1"/>
    </xf>
    <xf numFmtId="168" fontId="32" fillId="0" borderId="0" xfId="0" applyNumberFormat="1" applyFont="1" applyAlignment="1" applyProtection="1">
      <alignment horizontal="right"/>
      <protection hidden="1"/>
    </xf>
    <xf numFmtId="0" fontId="9" fillId="24" borderId="11" xfId="0" applyFont="1" applyFill="1" applyBorder="1" applyAlignment="1">
      <alignment horizontal="center" vertical="center"/>
    </xf>
    <xf numFmtId="0" fontId="9" fillId="24" borderId="23" xfId="0" applyFont="1" applyFill="1" applyBorder="1" applyAlignment="1">
      <alignment horizontal="center" vertical="center"/>
    </xf>
    <xf numFmtId="0" fontId="9" fillId="24" borderId="11" xfId="0" applyFont="1" applyFill="1" applyBorder="1" applyAlignment="1">
      <alignment vertical="center"/>
    </xf>
    <xf numFmtId="0" fontId="35" fillId="0" borderId="3" xfId="102" applyBorder="1" applyAlignment="1">
      <alignment horizontal="right" wrapText="1"/>
    </xf>
    <xf numFmtId="0" fontId="35" fillId="0" borderId="3" xfId="102" applyBorder="1" applyAlignment="1">
      <alignment wrapText="1"/>
    </xf>
    <xf numFmtId="4" fontId="0" fillId="0" borderId="0" xfId="0" applyNumberFormat="1"/>
    <xf numFmtId="0" fontId="20" fillId="27" borderId="11" xfId="0" applyFont="1" applyFill="1" applyBorder="1" applyAlignment="1" applyProtection="1">
      <alignment horizontal="center"/>
      <protection hidden="1"/>
    </xf>
    <xf numFmtId="3" fontId="20" fillId="27" borderId="11" xfId="0" applyNumberFormat="1" applyFont="1" applyFill="1" applyBorder="1" applyAlignment="1" applyProtection="1">
      <alignment horizontal="center"/>
      <protection hidden="1"/>
    </xf>
    <xf numFmtId="3" fontId="20" fillId="0" borderId="11" xfId="0" applyNumberFormat="1" applyFont="1" applyBorder="1" applyAlignment="1" applyProtection="1">
      <alignment horizontal="center"/>
      <protection locked="0"/>
    </xf>
    <xf numFmtId="3" fontId="20" fillId="0" borderId="15" xfId="0" applyNumberFormat="1" applyFont="1" applyBorder="1" applyAlignment="1" applyProtection="1">
      <alignment horizontal="center"/>
      <protection locked="0"/>
    </xf>
    <xf numFmtId="166" fontId="20" fillId="27" borderId="11" xfId="0" applyNumberFormat="1" applyFont="1" applyFill="1" applyBorder="1" applyAlignment="1" applyProtection="1">
      <alignment horizontal="center"/>
      <protection hidden="1"/>
    </xf>
    <xf numFmtId="3" fontId="20" fillId="27" borderId="21" xfId="47" applyNumberFormat="1" applyFont="1" applyFill="1" applyBorder="1" applyAlignment="1" applyProtection="1">
      <alignment horizontal="center"/>
      <protection hidden="1"/>
    </xf>
    <xf numFmtId="166" fontId="20" fillId="27" borderId="21" xfId="47" applyNumberFormat="1" applyFont="1" applyFill="1" applyBorder="1" applyAlignment="1" applyProtection="1">
      <alignment horizontal="center"/>
      <protection hidden="1"/>
    </xf>
    <xf numFmtId="0" fontId="20" fillId="0" borderId="20" xfId="0" applyFont="1" applyBorder="1" applyAlignment="1" applyProtection="1">
      <alignment horizontal="center" vertical="center" wrapText="1"/>
      <protection hidden="1"/>
    </xf>
    <xf numFmtId="0" fontId="19" fillId="0" borderId="0" xfId="0" applyFont="1" applyAlignment="1">
      <alignment horizontal="center" vertical="center"/>
    </xf>
    <xf numFmtId="0" fontId="20" fillId="0" borderId="0" xfId="0" applyFont="1"/>
    <xf numFmtId="42" fontId="20" fillId="0" borderId="0" xfId="47" applyNumberFormat="1" applyFont="1" applyFill="1" applyBorder="1" applyProtection="1">
      <protection hidden="1"/>
    </xf>
    <xf numFmtId="3" fontId="20" fillId="0" borderId="0" xfId="47" applyNumberFormat="1" applyFont="1" applyFill="1" applyBorder="1" applyAlignment="1" applyProtection="1">
      <alignment horizontal="center"/>
      <protection hidden="1"/>
    </xf>
    <xf numFmtId="166" fontId="20" fillId="0" borderId="0" xfId="47" applyNumberFormat="1" applyFont="1" applyFill="1" applyBorder="1" applyAlignment="1" applyProtection="1">
      <alignment horizontal="center"/>
      <protection hidden="1"/>
    </xf>
    <xf numFmtId="0" fontId="20" fillId="0" borderId="0" xfId="0" applyFont="1" applyAlignment="1">
      <alignment horizontal="center"/>
    </xf>
    <xf numFmtId="0" fontId="24" fillId="0" borderId="0" xfId="0" applyFont="1"/>
    <xf numFmtId="10" fontId="20" fillId="27" borderId="11" xfId="0" applyNumberFormat="1" applyFont="1" applyFill="1" applyBorder="1" applyAlignment="1" applyProtection="1">
      <alignment horizontal="center"/>
      <protection hidden="1"/>
    </xf>
    <xf numFmtId="176" fontId="20" fillId="0" borderId="11" xfId="47" applyNumberFormat="1" applyFont="1" applyBorder="1" applyAlignment="1" applyProtection="1">
      <alignment horizontal="center"/>
      <protection locked="0"/>
    </xf>
    <xf numFmtId="176" fontId="20" fillId="0" borderId="15" xfId="47" applyNumberFormat="1" applyFont="1" applyBorder="1" applyAlignment="1" applyProtection="1">
      <alignment horizontal="center"/>
      <protection locked="0"/>
    </xf>
    <xf numFmtId="0" fontId="20" fillId="0" borderId="11" xfId="0" applyFont="1" applyBorder="1" applyAlignment="1" applyProtection="1">
      <alignment horizontal="left"/>
      <protection locked="0"/>
    </xf>
    <xf numFmtId="0" fontId="20" fillId="0" borderId="15" xfId="0" applyFont="1" applyBorder="1" applyAlignment="1" applyProtection="1">
      <alignment horizontal="left"/>
      <protection locked="0"/>
    </xf>
    <xf numFmtId="0" fontId="14" fillId="0" borderId="0" xfId="0" applyFont="1" applyAlignment="1">
      <alignment horizontal="left"/>
    </xf>
    <xf numFmtId="0" fontId="3" fillId="0" borderId="23" xfId="0" applyFont="1" applyBorder="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9" fillId="28" borderId="23" xfId="0" applyFont="1" applyFill="1" applyBorder="1" applyAlignment="1">
      <alignment vertical="center"/>
    </xf>
    <xf numFmtId="0" fontId="9" fillId="28" borderId="53" xfId="0" applyFont="1" applyFill="1" applyBorder="1" applyAlignment="1">
      <alignment vertical="center"/>
    </xf>
    <xf numFmtId="0" fontId="9" fillId="0" borderId="0" xfId="0" applyFont="1"/>
    <xf numFmtId="0" fontId="9" fillId="0" borderId="54" xfId="0" applyFont="1" applyBorder="1"/>
    <xf numFmtId="0" fontId="9" fillId="0" borderId="55" xfId="0" applyFont="1" applyBorder="1"/>
    <xf numFmtId="0" fontId="9" fillId="0" borderId="54" xfId="0" applyFont="1" applyBorder="1" applyAlignment="1">
      <alignment horizontal="right"/>
    </xf>
    <xf numFmtId="0" fontId="3" fillId="24" borderId="56" xfId="0" applyFont="1" applyFill="1" applyBorder="1" applyAlignment="1">
      <alignment vertical="center"/>
    </xf>
    <xf numFmtId="0" fontId="9" fillId="0" borderId="23" xfId="0" applyFont="1" applyBorder="1" applyAlignment="1">
      <alignment vertical="center"/>
    </xf>
    <xf numFmtId="0" fontId="3" fillId="24" borderId="0" xfId="0" applyFont="1" applyFill="1" applyAlignment="1" applyProtection="1">
      <alignment vertical="center"/>
      <protection hidden="1"/>
    </xf>
    <xf numFmtId="0" fontId="0" fillId="0" borderId="55" xfId="0" applyBorder="1" applyAlignment="1">
      <alignment horizontal="center"/>
    </xf>
    <xf numFmtId="0" fontId="1" fillId="29" borderId="0" xfId="0" applyFont="1" applyFill="1"/>
    <xf numFmtId="0" fontId="0" fillId="29" borderId="0" xfId="0" applyFill="1"/>
    <xf numFmtId="3" fontId="0" fillId="0" borderId="0" xfId="0" applyNumberFormat="1"/>
    <xf numFmtId="0" fontId="20" fillId="0" borderId="20" xfId="0" applyFont="1" applyBorder="1" applyAlignment="1" applyProtection="1">
      <alignment horizontal="center" vertical="center"/>
      <protection hidden="1"/>
    </xf>
    <xf numFmtId="0" fontId="0" fillId="0" borderId="20" xfId="0"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0" fontId="20" fillId="0" borderId="25" xfId="0" applyFont="1" applyBorder="1" applyAlignment="1" applyProtection="1">
      <alignment horizontal="center" vertical="center" textRotation="90" wrapText="1"/>
      <protection hidden="1"/>
    </xf>
    <xf numFmtId="0" fontId="20" fillId="0" borderId="20" xfId="0" applyFont="1" applyBorder="1" applyAlignment="1" applyProtection="1">
      <alignment horizontal="center" vertical="center" textRotation="90" wrapText="1"/>
      <protection hidden="1"/>
    </xf>
    <xf numFmtId="0" fontId="0" fillId="0" borderId="20" xfId="0" applyBorder="1" applyAlignment="1" applyProtection="1">
      <alignment horizontal="center" vertical="center" textRotation="90" wrapText="1"/>
      <protection hidden="1"/>
    </xf>
    <xf numFmtId="0" fontId="20" fillId="0" borderId="20" xfId="0" applyFont="1" applyBorder="1" applyAlignment="1" applyProtection="1">
      <alignment horizontal="center" vertical="center" textRotation="90"/>
      <protection hidden="1"/>
    </xf>
    <xf numFmtId="0" fontId="0" fillId="0" borderId="43" xfId="0" applyBorder="1" applyAlignment="1" applyProtection="1">
      <alignment horizontal="center" vertical="center" wrapText="1"/>
      <protection hidden="1"/>
    </xf>
    <xf numFmtId="0" fontId="0" fillId="0" borderId="0" xfId="0" quotePrefix="1"/>
    <xf numFmtId="0" fontId="1" fillId="0" borderId="0" xfId="0" applyFont="1"/>
    <xf numFmtId="0" fontId="1" fillId="0" borderId="0" xfId="0" applyFont="1" applyProtection="1">
      <protection hidden="1"/>
    </xf>
    <xf numFmtId="0" fontId="44" fillId="0" borderId="0" xfId="0" applyFont="1"/>
    <xf numFmtId="10" fontId="0" fillId="0" borderId="0" xfId="0" applyNumberFormat="1"/>
    <xf numFmtId="9" fontId="0" fillId="0" borderId="0" xfId="0" applyNumberFormat="1"/>
    <xf numFmtId="0" fontId="0" fillId="0" borderId="57" xfId="0" applyBorder="1" applyProtection="1">
      <protection locked="0"/>
    </xf>
    <xf numFmtId="0" fontId="20" fillId="0" borderId="0" xfId="0" applyFont="1" applyProtection="1">
      <protection hidden="1"/>
    </xf>
    <xf numFmtId="0" fontId="1" fillId="29" borderId="0" xfId="0" applyFont="1" applyFill="1" applyProtection="1">
      <protection locked="0"/>
    </xf>
    <xf numFmtId="0" fontId="0" fillId="29" borderId="0" xfId="0" applyFill="1" applyProtection="1">
      <protection locked="0"/>
    </xf>
    <xf numFmtId="3" fontId="0" fillId="0" borderId="0" xfId="0" applyNumberFormat="1" applyProtection="1">
      <protection locked="0"/>
    </xf>
    <xf numFmtId="169" fontId="0" fillId="0" borderId="0" xfId="0" applyNumberFormat="1" applyProtection="1">
      <protection locked="0"/>
    </xf>
    <xf numFmtId="1" fontId="0" fillId="0" borderId="0" xfId="0" applyNumberFormat="1" applyProtection="1">
      <protection locked="0"/>
    </xf>
    <xf numFmtId="14" fontId="0" fillId="0" borderId="0" xfId="0" applyNumberFormat="1" applyProtection="1">
      <protection locked="0"/>
    </xf>
    <xf numFmtId="0" fontId="3" fillId="24" borderId="10" xfId="0" applyFont="1" applyFill="1" applyBorder="1" applyAlignment="1" applyProtection="1">
      <alignment vertical="center"/>
      <protection locked="0" hidden="1"/>
    </xf>
    <xf numFmtId="0" fontId="3" fillId="24" borderId="0" xfId="0" applyFont="1" applyFill="1" applyAlignment="1" applyProtection="1">
      <alignment vertical="center"/>
      <protection locked="0" hidden="1"/>
    </xf>
    <xf numFmtId="168" fontId="0" fillId="0" borderId="0" xfId="0" applyNumberFormat="1"/>
    <xf numFmtId="168" fontId="0" fillId="0" borderId="0" xfId="0" applyNumberFormat="1" applyProtection="1">
      <protection locked="0"/>
    </xf>
    <xf numFmtId="0" fontId="35" fillId="0" borderId="3" xfId="102" applyBorder="1" applyAlignment="1" applyProtection="1">
      <alignment wrapText="1"/>
      <protection locked="0"/>
    </xf>
    <xf numFmtId="9" fontId="20" fillId="27" borderId="11" xfId="0" applyNumberFormat="1" applyFont="1" applyFill="1" applyBorder="1" applyAlignment="1" applyProtection="1">
      <alignment horizontal="center"/>
      <protection locked="0"/>
    </xf>
    <xf numFmtId="3" fontId="20" fillId="0" borderId="11" xfId="47" applyNumberFormat="1" applyFont="1" applyBorder="1" applyProtection="1">
      <protection locked="0"/>
    </xf>
    <xf numFmtId="3" fontId="20" fillId="0" borderId="15" xfId="47" applyNumberFormat="1" applyFont="1" applyBorder="1" applyProtection="1">
      <protection locked="0"/>
    </xf>
    <xf numFmtId="3" fontId="20" fillId="27" borderId="21" xfId="47" applyNumberFormat="1" applyFont="1" applyFill="1" applyBorder="1" applyProtection="1">
      <protection hidden="1"/>
    </xf>
    <xf numFmtId="170" fontId="20" fillId="0" borderId="11" xfId="47" applyNumberFormat="1" applyFont="1" applyBorder="1" applyProtection="1">
      <protection locked="0"/>
    </xf>
    <xf numFmtId="170" fontId="20" fillId="0" borderId="11" xfId="47" applyNumberFormat="1" applyFont="1" applyFill="1" applyBorder="1" applyProtection="1">
      <protection locked="0"/>
    </xf>
    <xf numFmtId="170" fontId="20" fillId="0" borderId="15" xfId="47" applyNumberFormat="1" applyFont="1" applyBorder="1" applyProtection="1">
      <protection locked="0"/>
    </xf>
    <xf numFmtId="3" fontId="20" fillId="0" borderId="11" xfId="0" applyNumberFormat="1" applyFont="1" applyBorder="1" applyProtection="1">
      <protection locked="0"/>
    </xf>
    <xf numFmtId="3" fontId="20" fillId="0" borderId="15" xfId="0" applyNumberFormat="1" applyFont="1" applyBorder="1" applyProtection="1">
      <protection locked="0"/>
    </xf>
    <xf numFmtId="0" fontId="29" fillId="0" borderId="0" xfId="0" applyFont="1" applyAlignment="1" applyProtection="1">
      <alignment horizontal="left"/>
      <protection hidden="1"/>
    </xf>
    <xf numFmtId="0" fontId="19" fillId="0" borderId="0" xfId="0" applyFont="1" applyAlignment="1" applyProtection="1">
      <alignment horizontal="center" vertical="center" wrapText="1"/>
      <protection hidden="1"/>
    </xf>
    <xf numFmtId="0" fontId="20" fillId="0" borderId="0" xfId="0" applyFont="1" applyAlignment="1" applyProtection="1">
      <alignment horizontal="center" vertical="center" textRotation="90" wrapText="1"/>
      <protection hidden="1"/>
    </xf>
    <xf numFmtId="0" fontId="20" fillId="0" borderId="0" xfId="0" applyFont="1" applyProtection="1">
      <protection locked="0"/>
    </xf>
    <xf numFmtId="49" fontId="0" fillId="0" borderId="0" xfId="0" applyNumberFormat="1" applyProtection="1">
      <protection hidden="1"/>
    </xf>
    <xf numFmtId="49" fontId="16" fillId="0" borderId="0" xfId="0" applyNumberFormat="1" applyFont="1" applyAlignment="1" applyProtection="1">
      <alignment vertical="top"/>
      <protection hidden="1"/>
    </xf>
    <xf numFmtId="49" fontId="16" fillId="0" borderId="13" xfId="0" applyNumberFormat="1" applyFont="1" applyBorder="1" applyAlignment="1" applyProtection="1">
      <alignment vertical="top"/>
      <protection hidden="1"/>
    </xf>
    <xf numFmtId="49" fontId="0" fillId="0" borderId="58" xfId="0" applyNumberFormat="1" applyBorder="1" applyProtection="1">
      <protection locked="0"/>
    </xf>
    <xf numFmtId="49" fontId="0" fillId="0" borderId="59" xfId="0" applyNumberFormat="1" applyBorder="1" applyProtection="1">
      <protection locked="0"/>
    </xf>
    <xf numFmtId="49" fontId="0" fillId="0" borderId="60" xfId="0" applyNumberFormat="1" applyBorder="1" applyProtection="1">
      <protection hidden="1"/>
    </xf>
    <xf numFmtId="49" fontId="0" fillId="0" borderId="61" xfId="0" applyNumberFormat="1" applyBorder="1" applyProtection="1">
      <protection hidden="1"/>
    </xf>
    <xf numFmtId="49" fontId="0" fillId="0" borderId="59" xfId="0" applyNumberFormat="1" applyBorder="1" applyProtection="1">
      <protection hidden="1"/>
    </xf>
    <xf numFmtId="49" fontId="0" fillId="0" borderId="62" xfId="0" applyNumberFormat="1" applyBorder="1" applyProtection="1">
      <protection locked="0"/>
    </xf>
    <xf numFmtId="49" fontId="0" fillId="27" borderId="63" xfId="0" applyNumberFormat="1" applyFill="1" applyBorder="1" applyProtection="1">
      <protection hidden="1"/>
    </xf>
    <xf numFmtId="49" fontId="0" fillId="27" borderId="64" xfId="0" applyNumberFormat="1" applyFill="1" applyBorder="1" applyProtection="1">
      <protection hidden="1"/>
    </xf>
    <xf numFmtId="49" fontId="0" fillId="27" borderId="65" xfId="0" applyNumberFormat="1" applyFill="1" applyBorder="1" applyProtection="1">
      <protection hidden="1"/>
    </xf>
    <xf numFmtId="49" fontId="0" fillId="0" borderId="0" xfId="0" applyNumberFormat="1" applyProtection="1">
      <protection locked="0"/>
    </xf>
    <xf numFmtId="49" fontId="0" fillId="0" borderId="34" xfId="0" applyNumberFormat="1" applyBorder="1" applyProtection="1">
      <protection hidden="1"/>
    </xf>
    <xf numFmtId="49" fontId="0" fillId="0" borderId="54" xfId="0" applyNumberFormat="1" applyBorder="1" applyProtection="1">
      <protection locked="0"/>
    </xf>
    <xf numFmtId="49" fontId="0" fillId="27" borderId="34" xfId="0" applyNumberFormat="1" applyFill="1" applyBorder="1" applyProtection="1">
      <protection hidden="1"/>
    </xf>
    <xf numFmtId="49" fontId="0" fillId="27" borderId="0" xfId="0" applyNumberFormat="1" applyFill="1" applyProtection="1">
      <protection hidden="1"/>
    </xf>
    <xf numFmtId="49" fontId="0" fillId="27" borderId="13" xfId="0" applyNumberFormat="1" applyFill="1" applyBorder="1" applyProtection="1">
      <protection hidden="1"/>
    </xf>
    <xf numFmtId="4" fontId="35" fillId="0" borderId="3" xfId="102" applyNumberFormat="1" applyBorder="1" applyAlignment="1" applyProtection="1">
      <alignment horizontal="right" wrapText="1"/>
      <protection locked="0"/>
    </xf>
    <xf numFmtId="0" fontId="35" fillId="0" borderId="3" xfId="102" applyBorder="1" applyAlignment="1" applyProtection="1">
      <alignment horizontal="right" wrapText="1"/>
      <protection locked="0"/>
    </xf>
    <xf numFmtId="10" fontId="35" fillId="0" borderId="3" xfId="102" applyNumberFormat="1" applyBorder="1" applyAlignment="1" applyProtection="1">
      <alignment horizontal="right" wrapText="1"/>
      <protection locked="0"/>
    </xf>
    <xf numFmtId="0" fontId="35" fillId="25" borderId="22" xfId="102" applyFill="1" applyBorder="1" applyAlignment="1" applyProtection="1">
      <alignment horizontal="center"/>
      <protection locked="0"/>
    </xf>
    <xf numFmtId="0" fontId="8" fillId="0" borderId="0" xfId="0" applyFont="1"/>
    <xf numFmtId="0" fontId="21" fillId="0" borderId="0" xfId="33" applyAlignment="1" applyProtection="1"/>
    <xf numFmtId="0" fontId="97" fillId="24" borderId="0" xfId="0" applyFont="1" applyFill="1"/>
    <xf numFmtId="0" fontId="46" fillId="0" borderId="0" xfId="0" applyFont="1" applyAlignment="1">
      <alignment vertical="top"/>
    </xf>
    <xf numFmtId="0" fontId="46" fillId="0" borderId="0" xfId="0" applyFont="1" applyAlignment="1">
      <alignment vertical="center"/>
    </xf>
    <xf numFmtId="0" fontId="2" fillId="0" borderId="0" xfId="0" applyFont="1"/>
    <xf numFmtId="0" fontId="4" fillId="0" borderId="12" xfId="0" applyFont="1" applyBorder="1" applyProtection="1">
      <protection hidden="1"/>
    </xf>
    <xf numFmtId="0" fontId="4" fillId="0" borderId="13" xfId="0" applyFont="1" applyBorder="1" applyProtection="1">
      <protection hidden="1"/>
    </xf>
    <xf numFmtId="0" fontId="52" fillId="0" borderId="0" xfId="0" applyFont="1" applyProtection="1">
      <protection hidden="1"/>
    </xf>
    <xf numFmtId="0" fontId="8" fillId="0" borderId="0" xfId="0" applyFont="1" applyProtection="1">
      <protection hidden="1"/>
    </xf>
    <xf numFmtId="0" fontId="9" fillId="0" borderId="0" xfId="0" applyFont="1" applyAlignment="1">
      <alignment horizontal="right"/>
    </xf>
    <xf numFmtId="0" fontId="98" fillId="32" borderId="53" xfId="0" applyFont="1" applyFill="1" applyBorder="1" applyAlignment="1" applyProtection="1">
      <alignment vertical="center"/>
      <protection hidden="1"/>
    </xf>
    <xf numFmtId="0" fontId="98" fillId="32" borderId="57" xfId="0" applyFont="1" applyFill="1" applyBorder="1" applyAlignment="1" applyProtection="1">
      <alignment vertical="center"/>
      <protection hidden="1"/>
    </xf>
    <xf numFmtId="0" fontId="20" fillId="33" borderId="20" xfId="0" applyFont="1" applyFill="1" applyBorder="1" applyAlignment="1" applyProtection="1">
      <alignment horizontal="center" vertical="center" wrapText="1"/>
      <protection hidden="1"/>
    </xf>
    <xf numFmtId="0" fontId="0" fillId="33" borderId="25" xfId="0" applyFill="1" applyBorder="1" applyAlignment="1" applyProtection="1">
      <alignment horizontal="center" vertical="center"/>
      <protection hidden="1"/>
    </xf>
    <xf numFmtId="0" fontId="8" fillId="33" borderId="11" xfId="0" applyFont="1" applyFill="1" applyBorder="1" applyAlignment="1" applyProtection="1">
      <alignment horizontal="center" vertical="center" wrapText="1"/>
      <protection hidden="1"/>
    </xf>
    <xf numFmtId="168" fontId="0" fillId="33" borderId="23" xfId="0" applyNumberFormat="1" applyFill="1" applyBorder="1" applyAlignment="1" applyProtection="1">
      <alignment horizontal="center" vertical="center"/>
      <protection hidden="1"/>
    </xf>
    <xf numFmtId="168" fontId="0" fillId="33" borderId="66" xfId="0" applyNumberFormat="1" applyFill="1" applyBorder="1" applyAlignment="1" applyProtection="1">
      <alignment horizontal="center" vertical="center"/>
      <protection hidden="1"/>
    </xf>
    <xf numFmtId="168" fontId="0" fillId="33" borderId="11" xfId="0" applyNumberFormat="1" applyFill="1" applyBorder="1" applyAlignment="1" applyProtection="1">
      <alignment horizontal="center" vertical="center"/>
      <protection hidden="1"/>
    </xf>
    <xf numFmtId="168" fontId="0" fillId="33" borderId="53" xfId="0" applyNumberFormat="1" applyFill="1" applyBorder="1" applyAlignment="1" applyProtection="1">
      <alignment horizontal="center" vertical="center"/>
      <protection hidden="1"/>
    </xf>
    <xf numFmtId="49" fontId="0" fillId="33" borderId="67" xfId="0" applyNumberFormat="1" applyFill="1" applyBorder="1" applyAlignment="1" applyProtection="1">
      <alignment horizontal="center" vertical="center"/>
      <protection hidden="1"/>
    </xf>
    <xf numFmtId="14" fontId="0" fillId="33" borderId="53" xfId="0" applyNumberFormat="1" applyFill="1" applyBorder="1" applyAlignment="1" applyProtection="1">
      <alignment horizontal="center" vertical="center"/>
      <protection hidden="1"/>
    </xf>
    <xf numFmtId="49" fontId="0" fillId="33" borderId="11" xfId="0" applyNumberFormat="1" applyFill="1" applyBorder="1" applyAlignment="1" applyProtection="1">
      <alignment horizontal="center" vertical="center"/>
      <protection hidden="1"/>
    </xf>
    <xf numFmtId="0" fontId="0" fillId="0" borderId="0" xfId="0" applyAlignment="1">
      <alignment vertical="top"/>
    </xf>
    <xf numFmtId="0" fontId="53" fillId="0" borderId="0" xfId="0" applyFont="1" applyAlignment="1">
      <alignment vertical="top"/>
    </xf>
    <xf numFmtId="0" fontId="99" fillId="0" borderId="0" xfId="75" applyFont="1" applyAlignment="1">
      <alignment horizontal="left" vertical="center"/>
    </xf>
    <xf numFmtId="0" fontId="95" fillId="0" borderId="0" xfId="69" applyFont="1" applyAlignment="1">
      <alignment vertical="center"/>
    </xf>
    <xf numFmtId="0" fontId="20" fillId="0" borderId="11" xfId="0" applyFont="1" applyBorder="1" applyAlignment="1" applyProtection="1">
      <alignment wrapText="1"/>
      <protection locked="0"/>
    </xf>
    <xf numFmtId="0" fontId="20" fillId="27" borderId="11" xfId="0" applyFont="1" applyFill="1" applyBorder="1" applyAlignment="1" applyProtection="1">
      <alignment horizontal="center" wrapText="1"/>
      <protection hidden="1"/>
    </xf>
    <xf numFmtId="9" fontId="20" fillId="27" borderId="11" xfId="0" applyNumberFormat="1" applyFont="1" applyFill="1" applyBorder="1" applyAlignment="1" applyProtection="1">
      <alignment horizontal="center" wrapText="1"/>
      <protection locked="0"/>
    </xf>
    <xf numFmtId="3" fontId="20" fillId="0" borderId="11" xfId="0" applyNumberFormat="1" applyFont="1" applyBorder="1" applyAlignment="1" applyProtection="1">
      <alignment horizontal="center" wrapText="1"/>
      <protection locked="0"/>
    </xf>
    <xf numFmtId="168" fontId="0" fillId="0" borderId="32" xfId="0" applyNumberFormat="1" applyBorder="1" applyAlignment="1" applyProtection="1">
      <alignment wrapText="1"/>
      <protection hidden="1"/>
    </xf>
    <xf numFmtId="0" fontId="52" fillId="0" borderId="0" xfId="0" applyFont="1" applyAlignment="1">
      <alignment horizontal="left" vertical="center"/>
    </xf>
    <xf numFmtId="0" fontId="31" fillId="32" borderId="0" xfId="0" applyFont="1" applyFill="1" applyProtection="1">
      <protection hidden="1"/>
    </xf>
    <xf numFmtId="0" fontId="20" fillId="32" borderId="68" xfId="0" applyFont="1" applyFill="1" applyBorder="1"/>
    <xf numFmtId="0" fontId="20" fillId="32" borderId="69" xfId="0" applyFont="1" applyFill="1" applyBorder="1"/>
    <xf numFmtId="0" fontId="20" fillId="32" borderId="69" xfId="0" applyFont="1" applyFill="1" applyBorder="1" applyAlignment="1">
      <alignment horizontal="center"/>
    </xf>
    <xf numFmtId="0" fontId="24" fillId="32" borderId="69" xfId="0" applyFont="1" applyFill="1" applyBorder="1"/>
    <xf numFmtId="0" fontId="20" fillId="32" borderId="70" xfId="0" applyFont="1" applyFill="1" applyBorder="1"/>
    <xf numFmtId="0" fontId="19" fillId="32" borderId="68" xfId="0" applyFont="1" applyFill="1" applyBorder="1" applyAlignment="1">
      <alignment horizontal="center" vertical="center"/>
    </xf>
    <xf numFmtId="0" fontId="19" fillId="32" borderId="69" xfId="0" applyFont="1" applyFill="1" applyBorder="1" applyAlignment="1">
      <alignment horizontal="center" vertical="center"/>
    </xf>
    <xf numFmtId="0" fontId="20" fillId="32" borderId="69" xfId="0" applyFont="1" applyFill="1" applyBorder="1" applyProtection="1">
      <protection hidden="1"/>
    </xf>
    <xf numFmtId="42" fontId="20" fillId="32" borderId="70" xfId="47" applyNumberFormat="1" applyFont="1" applyFill="1" applyBorder="1" applyProtection="1">
      <protection hidden="1"/>
    </xf>
    <xf numFmtId="0" fontId="100" fillId="0" borderId="11" xfId="0" applyFont="1" applyBorder="1" applyProtection="1">
      <protection locked="0"/>
    </xf>
    <xf numFmtId="168" fontId="0" fillId="0" borderId="26" xfId="0" applyNumberFormat="1" applyBorder="1" applyProtection="1">
      <protection hidden="1"/>
    </xf>
    <xf numFmtId="0" fontId="8" fillId="0" borderId="0" xfId="0" applyFont="1" applyProtection="1">
      <protection locked="0"/>
    </xf>
    <xf numFmtId="0" fontId="92" fillId="0" borderId="0" xfId="69"/>
    <xf numFmtId="0" fontId="101" fillId="0" borderId="0" xfId="69" applyFont="1"/>
    <xf numFmtId="0" fontId="9" fillId="24" borderId="0" xfId="69" applyFont="1" applyFill="1" applyAlignment="1">
      <alignment vertical="center"/>
    </xf>
    <xf numFmtId="0" fontId="92" fillId="0" borderId="0" xfId="69" applyAlignment="1">
      <alignment vertical="center"/>
    </xf>
    <xf numFmtId="0" fontId="93" fillId="0" borderId="0" xfId="69" applyFont="1"/>
    <xf numFmtId="44" fontId="92" fillId="0" borderId="0" xfId="48" applyFont="1"/>
    <xf numFmtId="177" fontId="92" fillId="0" borderId="0" xfId="69" applyNumberFormat="1"/>
    <xf numFmtId="44" fontId="92" fillId="0" borderId="0" xfId="69" applyNumberFormat="1"/>
    <xf numFmtId="178" fontId="92" fillId="0" borderId="0" xfId="69" applyNumberFormat="1"/>
    <xf numFmtId="178" fontId="92" fillId="0" borderId="0" xfId="48" applyNumberFormat="1" applyFont="1"/>
    <xf numFmtId="0" fontId="92" fillId="0" borderId="0" xfId="69" applyAlignment="1">
      <alignment horizontal="left"/>
    </xf>
    <xf numFmtId="0" fontId="92" fillId="0" borderId="0" xfId="48" applyNumberFormat="1" applyFont="1" applyAlignment="1">
      <alignment horizontal="center"/>
    </xf>
    <xf numFmtId="178" fontId="92" fillId="0" borderId="0" xfId="69" applyNumberFormat="1" applyAlignment="1">
      <alignment horizontal="center"/>
    </xf>
    <xf numFmtId="178" fontId="92" fillId="0" borderId="0" xfId="48" applyNumberFormat="1" applyFont="1" applyAlignment="1">
      <alignment horizontal="center"/>
    </xf>
    <xf numFmtId="0" fontId="92" fillId="0" borderId="0" xfId="69" applyAlignment="1">
      <alignment horizontal="center"/>
    </xf>
    <xf numFmtId="179" fontId="102" fillId="0" borderId="0" xfId="69" applyNumberFormat="1" applyFont="1"/>
    <xf numFmtId="177" fontId="102" fillId="0" borderId="0" xfId="35" applyNumberFormat="1" applyFont="1" applyFill="1" applyAlignment="1">
      <alignment horizontal="center"/>
    </xf>
    <xf numFmtId="0" fontId="102" fillId="0" borderId="0" xfId="69" applyFont="1" applyAlignment="1">
      <alignment horizontal="center"/>
    </xf>
    <xf numFmtId="0" fontId="96" fillId="0" borderId="0" xfId="69" applyFont="1" applyAlignment="1">
      <alignment horizontal="center"/>
    </xf>
    <xf numFmtId="0" fontId="8" fillId="0" borderId="0" xfId="69" applyFont="1" applyAlignment="1">
      <alignment horizontal="center"/>
    </xf>
    <xf numFmtId="0" fontId="8" fillId="0" borderId="0" xfId="69" applyFont="1" applyAlignment="1">
      <alignment horizontal="center" vertical="center" wrapText="1"/>
    </xf>
    <xf numFmtId="164" fontId="8" fillId="0" borderId="0" xfId="35" applyNumberFormat="1" applyFont="1" applyFill="1" applyAlignment="1">
      <alignment horizontal="center" vertical="center" wrapText="1"/>
    </xf>
    <xf numFmtId="177" fontId="102" fillId="0" borderId="0" xfId="35" applyNumberFormat="1" applyFont="1" applyAlignment="1">
      <alignment horizontal="center"/>
    </xf>
    <xf numFmtId="164" fontId="8" fillId="0" borderId="0" xfId="35" applyNumberFormat="1" applyFont="1" applyAlignment="1">
      <alignment horizontal="center" vertical="center" wrapText="1"/>
    </xf>
    <xf numFmtId="0" fontId="8" fillId="0" borderId="0" xfId="69" applyFont="1" applyAlignment="1">
      <alignment horizontal="center" vertical="center"/>
    </xf>
    <xf numFmtId="0" fontId="8" fillId="0" borderId="0" xfId="69" applyFont="1" applyAlignment="1">
      <alignment horizontal="left" indent="4"/>
    </xf>
    <xf numFmtId="0" fontId="103" fillId="0" borderId="0" xfId="69" applyFont="1" applyAlignment="1">
      <alignment vertical="center"/>
    </xf>
    <xf numFmtId="0" fontId="103" fillId="0" borderId="0" xfId="69" applyFont="1" applyAlignment="1">
      <alignment horizontal="center" vertical="center"/>
    </xf>
    <xf numFmtId="0" fontId="104" fillId="0" borderId="0" xfId="69" applyFont="1" applyAlignment="1">
      <alignment horizontal="center" vertical="center" wrapText="1"/>
    </xf>
    <xf numFmtId="0" fontId="92" fillId="0" borderId="0" xfId="69" applyAlignment="1">
      <alignment horizontal="center" vertical="center" wrapText="1"/>
    </xf>
    <xf numFmtId="0" fontId="92" fillId="0" borderId="0" xfId="69" applyAlignment="1">
      <alignment horizontal="center" vertical="center"/>
    </xf>
    <xf numFmtId="165" fontId="93" fillId="0" borderId="0" xfId="69" applyNumberFormat="1" applyFont="1"/>
    <xf numFmtId="0" fontId="0" fillId="34" borderId="0" xfId="0" applyFill="1" applyProtection="1">
      <protection locked="0"/>
    </xf>
    <xf numFmtId="0" fontId="0" fillId="34" borderId="0" xfId="0" applyFill="1"/>
    <xf numFmtId="0" fontId="8" fillId="35" borderId="0" xfId="0" quotePrefix="1" applyFont="1" applyFill="1" applyProtection="1">
      <protection locked="0"/>
    </xf>
    <xf numFmtId="0" fontId="0" fillId="35" borderId="0" xfId="0" applyFill="1" applyProtection="1">
      <protection locked="0"/>
    </xf>
    <xf numFmtId="0" fontId="0" fillId="35" borderId="0" xfId="0" quotePrefix="1" applyFill="1" applyProtection="1">
      <protection locked="0"/>
    </xf>
    <xf numFmtId="0" fontId="8" fillId="36" borderId="71" xfId="0" applyFont="1" applyFill="1" applyBorder="1" applyAlignment="1" applyProtection="1">
      <alignment horizontal="center"/>
      <protection locked="0"/>
    </xf>
    <xf numFmtId="0" fontId="8" fillId="36" borderId="71" xfId="0" applyFont="1" applyFill="1" applyBorder="1" applyAlignment="1" applyProtection="1">
      <alignment horizontal="center" wrapText="1"/>
      <protection locked="0"/>
    </xf>
    <xf numFmtId="0" fontId="0" fillId="35" borderId="0" xfId="0" applyFill="1"/>
    <xf numFmtId="0" fontId="0" fillId="37" borderId="0" xfId="0" applyFill="1"/>
    <xf numFmtId="0" fontId="8" fillId="37" borderId="0" xfId="0" applyFont="1" applyFill="1"/>
    <xf numFmtId="49" fontId="0" fillId="37" borderId="0" xfId="0" applyNumberFormat="1" applyFill="1"/>
    <xf numFmtId="0" fontId="92" fillId="0" borderId="0" xfId="69" applyProtection="1">
      <protection hidden="1"/>
    </xf>
    <xf numFmtId="0" fontId="19" fillId="0" borderId="0" xfId="69" applyFont="1" applyAlignment="1" applyProtection="1">
      <alignment horizontal="center" vertical="center" textRotation="90"/>
      <protection hidden="1"/>
    </xf>
    <xf numFmtId="0" fontId="96" fillId="0" borderId="0" xfId="69" applyFont="1" applyProtection="1">
      <protection hidden="1"/>
    </xf>
    <xf numFmtId="0" fontId="105" fillId="0" borderId="72" xfId="69" applyFont="1" applyBorder="1" applyProtection="1">
      <protection hidden="1"/>
    </xf>
    <xf numFmtId="0" fontId="105" fillId="0" borderId="73" xfId="69" applyFont="1" applyBorder="1" applyProtection="1">
      <protection hidden="1"/>
    </xf>
    <xf numFmtId="0" fontId="105" fillId="0" borderId="24" xfId="69" applyFont="1" applyBorder="1" applyProtection="1">
      <protection hidden="1"/>
    </xf>
    <xf numFmtId="0" fontId="105" fillId="0" borderId="10" xfId="69" applyFont="1" applyBorder="1" applyProtection="1">
      <protection hidden="1"/>
    </xf>
    <xf numFmtId="0" fontId="105" fillId="0" borderId="0" xfId="69" applyFont="1" applyProtection="1">
      <protection hidden="1"/>
    </xf>
    <xf numFmtId="0" fontId="106" fillId="0" borderId="0" xfId="34" applyFont="1" applyFill="1" applyBorder="1" applyProtection="1">
      <protection hidden="1"/>
    </xf>
    <xf numFmtId="0" fontId="105" fillId="0" borderId="17" xfId="69" applyFont="1" applyBorder="1" applyProtection="1">
      <protection hidden="1"/>
    </xf>
    <xf numFmtId="0" fontId="105" fillId="0" borderId="12" xfId="69" applyFont="1" applyBorder="1" applyProtection="1">
      <protection hidden="1"/>
    </xf>
    <xf numFmtId="0" fontId="105" fillId="0" borderId="13" xfId="69" applyFont="1" applyBorder="1" applyProtection="1">
      <protection hidden="1"/>
    </xf>
    <xf numFmtId="0" fontId="105" fillId="0" borderId="14" xfId="69" applyFont="1" applyBorder="1" applyProtection="1">
      <protection hidden="1"/>
    </xf>
    <xf numFmtId="0" fontId="101" fillId="0" borderId="0" xfId="69" applyFont="1" applyProtection="1">
      <protection hidden="1"/>
    </xf>
    <xf numFmtId="0" fontId="93" fillId="0" borderId="0" xfId="69" applyFont="1" applyProtection="1">
      <protection hidden="1"/>
    </xf>
    <xf numFmtId="0" fontId="93" fillId="0" borderId="10" xfId="69" applyFont="1" applyBorder="1" applyAlignment="1" applyProtection="1">
      <alignment horizontal="left" vertical="center" wrapText="1"/>
      <protection hidden="1"/>
    </xf>
    <xf numFmtId="0" fontId="93" fillId="0" borderId="0" xfId="69" applyFont="1" applyAlignment="1" applyProtection="1">
      <alignment horizontal="left" vertical="center" wrapText="1"/>
      <protection hidden="1"/>
    </xf>
    <xf numFmtId="0" fontId="93" fillId="0" borderId="17" xfId="69" applyFont="1" applyBorder="1" applyAlignment="1" applyProtection="1">
      <alignment horizontal="left" vertical="center" wrapText="1"/>
      <protection hidden="1"/>
    </xf>
    <xf numFmtId="0" fontId="93" fillId="0" borderId="0" xfId="69" applyFont="1" applyAlignment="1" applyProtection="1">
      <alignment vertical="center"/>
      <protection hidden="1"/>
    </xf>
    <xf numFmtId="0" fontId="92" fillId="0" borderId="0" xfId="69" applyAlignment="1" applyProtection="1">
      <alignment vertical="center"/>
      <protection hidden="1"/>
    </xf>
    <xf numFmtId="0" fontId="107" fillId="0" borderId="0" xfId="69" applyFont="1" applyProtection="1">
      <protection hidden="1"/>
    </xf>
    <xf numFmtId="0" fontId="92" fillId="0" borderId="0" xfId="69" applyAlignment="1" applyProtection="1">
      <alignment horizontal="center"/>
      <protection hidden="1"/>
    </xf>
    <xf numFmtId="0" fontId="9" fillId="24" borderId="0" xfId="0" applyFont="1" applyFill="1" applyAlignment="1">
      <alignment horizontal="left"/>
    </xf>
    <xf numFmtId="0" fontId="14" fillId="24" borderId="72" xfId="0" applyFont="1" applyFill="1" applyBorder="1"/>
    <xf numFmtId="0" fontId="14" fillId="24" borderId="73" xfId="0" applyFont="1" applyFill="1" applyBorder="1"/>
    <xf numFmtId="0" fontId="22" fillId="24" borderId="73" xfId="0" applyFont="1" applyFill="1" applyBorder="1"/>
    <xf numFmtId="0" fontId="9" fillId="24" borderId="73" xfId="0" applyFont="1" applyFill="1" applyBorder="1"/>
    <xf numFmtId="0" fontId="9" fillId="24" borderId="73" xfId="0" applyFont="1" applyFill="1" applyBorder="1" applyAlignment="1">
      <alignment horizontal="left"/>
    </xf>
    <xf numFmtId="0" fontId="9" fillId="24" borderId="24" xfId="0" applyFont="1" applyFill="1" applyBorder="1"/>
    <xf numFmtId="0" fontId="8" fillId="0" borderId="0" xfId="0" applyFont="1" applyAlignment="1">
      <alignment wrapText="1"/>
    </xf>
    <xf numFmtId="0" fontId="9" fillId="38" borderId="0" xfId="0" applyFont="1" applyFill="1"/>
    <xf numFmtId="0" fontId="14" fillId="38" borderId="0" xfId="0" applyFont="1" applyFill="1"/>
    <xf numFmtId="0" fontId="8" fillId="0" borderId="0" xfId="0" quotePrefix="1" applyFont="1"/>
    <xf numFmtId="0" fontId="2" fillId="0" borderId="16" xfId="0" applyFont="1" applyBorder="1" applyProtection="1">
      <protection locked="0"/>
    </xf>
    <xf numFmtId="49" fontId="8" fillId="37" borderId="0" xfId="0" applyNumberFormat="1" applyFont="1" applyFill="1"/>
    <xf numFmtId="0" fontId="92" fillId="0" borderId="0" xfId="69" quotePrefix="1"/>
    <xf numFmtId="169" fontId="0" fillId="39" borderId="0" xfId="0" applyNumberFormat="1" applyFill="1" applyProtection="1">
      <protection locked="0"/>
    </xf>
    <xf numFmtId="0" fontId="20" fillId="0" borderId="11" xfId="0" applyFont="1" applyBorder="1" applyAlignment="1" applyProtection="1">
      <alignment horizontal="center" vertical="center"/>
      <protection hidden="1"/>
    </xf>
    <xf numFmtId="0" fontId="20" fillId="27" borderId="11" xfId="0" applyFont="1" applyFill="1" applyBorder="1" applyAlignment="1" applyProtection="1">
      <alignment horizontal="center" vertical="center"/>
      <protection hidden="1"/>
    </xf>
    <xf numFmtId="3" fontId="20" fillId="27" borderId="11" xfId="0" applyNumberFormat="1" applyFont="1" applyFill="1" applyBorder="1" applyAlignment="1" applyProtection="1">
      <alignment horizontal="center" vertical="center"/>
      <protection hidden="1"/>
    </xf>
    <xf numFmtId="166" fontId="20" fillId="27" borderId="11" xfId="0" applyNumberFormat="1" applyFont="1" applyFill="1" applyBorder="1" applyAlignment="1" applyProtection="1">
      <alignment horizontal="center" vertical="center"/>
      <protection hidden="1"/>
    </xf>
    <xf numFmtId="0" fontId="20" fillId="0" borderId="11" xfId="0" applyFont="1" applyBorder="1" applyAlignment="1" applyProtection="1">
      <alignment vertical="center"/>
      <protection locked="0"/>
    </xf>
    <xf numFmtId="0" fontId="108" fillId="0" borderId="0" xfId="69" applyFont="1" applyProtection="1">
      <protection hidden="1"/>
    </xf>
    <xf numFmtId="0" fontId="20" fillId="0" borderId="11" xfId="0" applyFont="1" applyBorder="1" applyAlignment="1" applyProtection="1">
      <alignment horizontal="center" vertical="center"/>
      <protection locked="0"/>
    </xf>
    <xf numFmtId="9" fontId="20" fillId="27" borderId="11" xfId="0" applyNumberFormat="1" applyFont="1" applyFill="1" applyBorder="1" applyAlignment="1" applyProtection="1">
      <alignment horizontal="center" vertical="center"/>
      <protection locked="0"/>
    </xf>
    <xf numFmtId="3" fontId="20" fillId="0" borderId="11" xfId="0" applyNumberFormat="1" applyFont="1" applyBorder="1" applyAlignment="1" applyProtection="1">
      <alignment horizontal="center" vertical="center"/>
      <protection locked="0"/>
    </xf>
    <xf numFmtId="0" fontId="20" fillId="0" borderId="11" xfId="0" applyFont="1" applyBorder="1" applyAlignment="1" applyProtection="1">
      <alignment horizontal="left" vertical="center"/>
      <protection locked="0"/>
    </xf>
    <xf numFmtId="176" fontId="20" fillId="0" borderId="11" xfId="47" applyNumberFormat="1" applyFont="1" applyBorder="1" applyAlignment="1" applyProtection="1">
      <alignment horizontal="center" vertical="center"/>
      <protection locked="0"/>
    </xf>
    <xf numFmtId="168" fontId="20" fillId="0" borderId="11" xfId="47" applyNumberFormat="1" applyFont="1" applyBorder="1" applyAlignment="1" applyProtection="1">
      <alignment vertical="center"/>
      <protection locked="0"/>
    </xf>
    <xf numFmtId="2" fontId="20" fillId="0" borderId="11" xfId="0" applyNumberFormat="1" applyFont="1" applyBorder="1" applyAlignment="1" applyProtection="1">
      <alignment vertical="center"/>
      <protection locked="0"/>
    </xf>
    <xf numFmtId="3" fontId="20" fillId="0" borderId="11" xfId="0" applyNumberFormat="1" applyFont="1" applyBorder="1" applyAlignment="1" applyProtection="1">
      <alignment vertical="center"/>
      <protection locked="0"/>
    </xf>
    <xf numFmtId="0" fontId="20" fillId="27" borderId="11" xfId="0" applyFont="1" applyFill="1" applyBorder="1" applyAlignment="1" applyProtection="1">
      <alignment horizontal="center" vertical="center" wrapText="1"/>
      <protection hidden="1"/>
    </xf>
    <xf numFmtId="9" fontId="20" fillId="27" borderId="11" xfId="0" applyNumberFormat="1" applyFont="1" applyFill="1" applyBorder="1" applyAlignment="1" applyProtection="1">
      <alignment horizontal="center" vertical="center" wrapText="1"/>
      <protection locked="0"/>
    </xf>
    <xf numFmtId="3" fontId="20" fillId="0" borderId="11" xfId="0" applyNumberFormat="1" applyFont="1" applyBorder="1" applyAlignment="1" applyProtection="1">
      <alignment horizontal="center" vertical="center" wrapText="1"/>
      <protection locked="0"/>
    </xf>
    <xf numFmtId="0" fontId="20" fillId="0" borderId="11" xfId="0" applyFont="1" applyBorder="1" applyAlignment="1" applyProtection="1">
      <alignment vertical="center" wrapText="1"/>
      <protection locked="0"/>
    </xf>
    <xf numFmtId="0" fontId="20" fillId="0" borderId="15" xfId="0" applyFont="1" applyBorder="1" applyAlignment="1" applyProtection="1">
      <alignment vertical="center"/>
      <protection locked="0"/>
    </xf>
    <xf numFmtId="0" fontId="20" fillId="0" borderId="15" xfId="0" applyFont="1" applyBorder="1" applyAlignment="1" applyProtection="1">
      <alignment horizontal="center" vertical="center"/>
      <protection locked="0"/>
    </xf>
    <xf numFmtId="0" fontId="59" fillId="25" borderId="22" xfId="102" applyFont="1" applyFill="1" applyBorder="1" applyAlignment="1">
      <alignment horizontal="center"/>
    </xf>
    <xf numFmtId="0" fontId="59" fillId="0" borderId="3" xfId="102" applyFont="1" applyBorder="1" applyAlignment="1">
      <alignment horizontal="right" wrapText="1"/>
    </xf>
    <xf numFmtId="0" fontId="59" fillId="0" borderId="3" xfId="102" applyFont="1" applyBorder="1" applyAlignment="1">
      <alignment wrapText="1"/>
    </xf>
    <xf numFmtId="4" fontId="59" fillId="0" borderId="3" xfId="102" applyNumberFormat="1" applyFont="1" applyBorder="1" applyAlignment="1">
      <alignment horizontal="right" wrapText="1"/>
    </xf>
    <xf numFmtId="0" fontId="109" fillId="0" borderId="0" xfId="0" applyFont="1" applyAlignment="1">
      <alignment vertical="center" wrapText="1"/>
    </xf>
    <xf numFmtId="0" fontId="21" fillId="0" borderId="0" xfId="33" applyAlignment="1" applyProtection="1">
      <alignment vertical="center" wrapText="1"/>
    </xf>
    <xf numFmtId="0" fontId="0" fillId="0" borderId="0" xfId="0" applyAlignment="1">
      <alignment wrapText="1"/>
    </xf>
    <xf numFmtId="0" fontId="96" fillId="0" borderId="0" xfId="0" applyFont="1" applyAlignment="1">
      <alignment wrapText="1"/>
    </xf>
    <xf numFmtId="0" fontId="96" fillId="0" borderId="0" xfId="0" applyFont="1" applyAlignment="1">
      <alignment horizontal="center"/>
    </xf>
    <xf numFmtId="3" fontId="0" fillId="0" borderId="0" xfId="0" applyNumberFormat="1" applyAlignment="1">
      <alignment horizontal="center"/>
    </xf>
    <xf numFmtId="44" fontId="92" fillId="0" borderId="0" xfId="47" applyFont="1"/>
    <xf numFmtId="0" fontId="31" fillId="24" borderId="10" xfId="0" applyFont="1" applyFill="1" applyBorder="1"/>
    <xf numFmtId="0" fontId="8" fillId="33" borderId="20" xfId="0" applyFont="1" applyFill="1" applyBorder="1" applyAlignment="1" applyProtection="1">
      <alignment horizontal="center" vertical="top" wrapText="1"/>
      <protection hidden="1"/>
    </xf>
    <xf numFmtId="0" fontId="59" fillId="0" borderId="3" xfId="102" applyFont="1" applyBorder="1"/>
    <xf numFmtId="4" fontId="59" fillId="0" borderId="3" xfId="102" applyNumberFormat="1" applyFont="1" applyBorder="1" applyAlignment="1">
      <alignment horizontal="right"/>
    </xf>
    <xf numFmtId="0" fontId="35" fillId="0" borderId="74" xfId="102" applyBorder="1" applyAlignment="1">
      <alignment wrapText="1"/>
    </xf>
    <xf numFmtId="0" fontId="35" fillId="0" borderId="0" xfId="102" applyAlignment="1">
      <alignment wrapText="1"/>
    </xf>
    <xf numFmtId="0" fontId="110" fillId="0" borderId="0" xfId="0" applyFont="1" applyAlignment="1">
      <alignment horizontal="left"/>
    </xf>
    <xf numFmtId="0" fontId="111" fillId="0" borderId="0" xfId="69" applyFont="1" applyAlignment="1">
      <alignment horizontal="left" vertical="center"/>
    </xf>
    <xf numFmtId="0" fontId="3" fillId="40" borderId="72" xfId="0" applyFont="1" applyFill="1" applyBorder="1" applyAlignment="1">
      <alignment vertical="center"/>
    </xf>
    <xf numFmtId="0" fontId="3" fillId="40" borderId="73" xfId="0" applyFont="1" applyFill="1" applyBorder="1" applyAlignment="1">
      <alignment vertical="center"/>
    </xf>
    <xf numFmtId="0" fontId="5" fillId="40" borderId="10" xfId="0" applyFont="1" applyFill="1" applyBorder="1" applyAlignment="1">
      <alignment vertical="center"/>
    </xf>
    <xf numFmtId="0" fontId="9" fillId="40" borderId="0" xfId="0" applyFont="1" applyFill="1" applyAlignment="1">
      <alignment vertical="center"/>
    </xf>
    <xf numFmtId="0" fontId="3" fillId="40" borderId="0" xfId="0" applyFont="1" applyFill="1" applyAlignment="1">
      <alignment vertical="center"/>
    </xf>
    <xf numFmtId="0" fontId="3" fillId="40" borderId="10" xfId="0" applyFont="1" applyFill="1" applyBorder="1" applyAlignment="1">
      <alignment vertical="center"/>
    </xf>
    <xf numFmtId="0" fontId="3" fillId="40" borderId="12" xfId="0" applyFont="1" applyFill="1" applyBorder="1" applyAlignment="1">
      <alignment vertical="center"/>
    </xf>
    <xf numFmtId="0" fontId="3" fillId="40" borderId="14" xfId="0" applyFont="1" applyFill="1" applyBorder="1" applyAlignment="1">
      <alignment vertical="center"/>
    </xf>
    <xf numFmtId="0" fontId="9" fillId="40" borderId="0" xfId="0" applyFont="1" applyFill="1" applyAlignment="1">
      <alignment horizontal="left" vertical="center" indent="1"/>
    </xf>
    <xf numFmtId="0" fontId="1" fillId="40" borderId="0" xfId="0" applyFont="1" applyFill="1" applyAlignment="1">
      <alignment horizontal="left" vertical="center"/>
    </xf>
    <xf numFmtId="0" fontId="1" fillId="40" borderId="0" xfId="0" applyFont="1" applyFill="1" applyAlignment="1">
      <alignment vertical="center"/>
    </xf>
    <xf numFmtId="0" fontId="3" fillId="40" borderId="0" xfId="0" applyFont="1" applyFill="1" applyAlignment="1">
      <alignment horizontal="left" vertical="center" wrapText="1"/>
    </xf>
    <xf numFmtId="0" fontId="3" fillId="40" borderId="0" xfId="0" applyFont="1" applyFill="1" applyAlignment="1">
      <alignment horizontal="centerContinuous" vertical="center"/>
    </xf>
    <xf numFmtId="0" fontId="3" fillId="40" borderId="0" xfId="0" applyFont="1" applyFill="1" applyAlignment="1">
      <alignment horizontal="left" vertical="center" indent="1"/>
    </xf>
    <xf numFmtId="0" fontId="9" fillId="40" borderId="0" xfId="0" applyFont="1" applyFill="1" applyAlignment="1">
      <alignment horizontal="right" vertical="center"/>
    </xf>
    <xf numFmtId="0" fontId="3" fillId="40" borderId="24" xfId="0" applyFont="1" applyFill="1" applyBorder="1" applyAlignment="1">
      <alignment vertical="center"/>
    </xf>
    <xf numFmtId="0" fontId="3" fillId="40" borderId="17" xfId="0" applyFont="1" applyFill="1" applyBorder="1" applyAlignment="1">
      <alignment vertical="center"/>
    </xf>
    <xf numFmtId="0" fontId="3" fillId="40" borderId="0" xfId="0" applyFont="1" applyFill="1" applyAlignment="1">
      <alignment horizontal="left" vertical="center" indent="2"/>
    </xf>
    <xf numFmtId="0" fontId="9" fillId="40" borderId="0" xfId="0" applyFont="1" applyFill="1"/>
    <xf numFmtId="0" fontId="3" fillId="40" borderId="0" xfId="0" applyFont="1" applyFill="1"/>
    <xf numFmtId="0" fontId="3" fillId="40" borderId="13" xfId="0" applyFont="1" applyFill="1" applyBorder="1" applyAlignment="1">
      <alignment vertical="center"/>
    </xf>
    <xf numFmtId="0" fontId="3" fillId="40" borderId="13" xfId="0" applyFont="1" applyFill="1" applyBorder="1"/>
    <xf numFmtId="0" fontId="3" fillId="40" borderId="0" xfId="0" applyFont="1" applyFill="1" applyAlignment="1">
      <alignment horizontal="left"/>
    </xf>
    <xf numFmtId="0" fontId="8" fillId="40" borderId="0" xfId="0" applyFont="1" applyFill="1" applyAlignment="1">
      <alignment horizontal="left" vertical="center"/>
    </xf>
    <xf numFmtId="0" fontId="3" fillId="40" borderId="13" xfId="0" applyFont="1" applyFill="1" applyBorder="1" applyAlignment="1">
      <alignment horizontal="right"/>
    </xf>
    <xf numFmtId="0" fontId="9" fillId="40" borderId="13" xfId="0" applyFont="1" applyFill="1" applyBorder="1"/>
    <xf numFmtId="0" fontId="3" fillId="40" borderId="0" xfId="0" applyFont="1" applyFill="1" applyAlignment="1">
      <alignment vertical="center" wrapText="1"/>
    </xf>
    <xf numFmtId="0" fontId="9" fillId="40" borderId="0" xfId="0" applyFont="1" applyFill="1" applyAlignment="1">
      <alignment vertical="center" wrapText="1"/>
    </xf>
    <xf numFmtId="0" fontId="9" fillId="40" borderId="73" xfId="0" applyFont="1" applyFill="1" applyBorder="1" applyAlignment="1">
      <alignment vertical="center"/>
    </xf>
    <xf numFmtId="0" fontId="9" fillId="40" borderId="0" xfId="0" applyFont="1" applyFill="1" applyAlignment="1">
      <alignment horizontal="left" vertical="center"/>
    </xf>
    <xf numFmtId="0" fontId="3" fillId="40" borderId="27" xfId="0" applyFont="1" applyFill="1" applyBorder="1" applyAlignment="1">
      <alignment vertical="center"/>
    </xf>
    <xf numFmtId="0" fontId="7" fillId="40" borderId="73" xfId="0" applyFont="1" applyFill="1" applyBorder="1" applyAlignment="1">
      <alignment vertical="center"/>
    </xf>
    <xf numFmtId="0" fontId="9" fillId="40" borderId="0" xfId="0" applyFont="1" applyFill="1" applyAlignment="1">
      <alignment vertical="top"/>
    </xf>
    <xf numFmtId="0" fontId="0" fillId="40" borderId="0" xfId="0" applyFill="1" applyAlignment="1">
      <alignment vertical="center"/>
    </xf>
    <xf numFmtId="0" fontId="9" fillId="40" borderId="0" xfId="0" applyFont="1" applyFill="1" applyAlignment="1">
      <alignment horizontal="left" vertical="center" indent="2"/>
    </xf>
    <xf numFmtId="0" fontId="3" fillId="40" borderId="18" xfId="0" applyFont="1" applyFill="1" applyBorder="1" applyAlignment="1">
      <alignment vertical="center"/>
    </xf>
    <xf numFmtId="0" fontId="33" fillId="40" borderId="0" xfId="0" applyFont="1" applyFill="1" applyAlignment="1">
      <alignment vertical="center"/>
    </xf>
    <xf numFmtId="0" fontId="33" fillId="40" borderId="73" xfId="0" applyFont="1" applyFill="1" applyBorder="1" applyAlignment="1">
      <alignment vertical="center"/>
    </xf>
    <xf numFmtId="0" fontId="37" fillId="40" borderId="73" xfId="0" applyFont="1" applyFill="1" applyBorder="1" applyAlignment="1">
      <alignment vertical="center"/>
    </xf>
    <xf numFmtId="0" fontId="37" fillId="40" borderId="0" xfId="0" applyFont="1" applyFill="1" applyAlignment="1">
      <alignment vertical="center"/>
    </xf>
    <xf numFmtId="0" fontId="33" fillId="40" borderId="0" xfId="0" applyFont="1" applyFill="1" applyAlignment="1">
      <alignment horizontal="right" vertical="center"/>
    </xf>
    <xf numFmtId="0" fontId="33" fillId="40" borderId="0" xfId="0" applyFont="1" applyFill="1" applyAlignment="1">
      <alignment horizontal="left" vertical="center" indent="1"/>
    </xf>
    <xf numFmtId="0" fontId="39" fillId="40" borderId="0" xfId="0" applyFont="1" applyFill="1" applyAlignment="1">
      <alignment vertical="center"/>
    </xf>
    <xf numFmtId="0" fontId="33" fillId="40" borderId="0" xfId="0" applyFont="1" applyFill="1" applyAlignment="1">
      <alignment horizontal="centerContinuous" vertical="center"/>
    </xf>
    <xf numFmtId="0" fontId="34" fillId="40" borderId="43" xfId="0" applyFont="1" applyFill="1" applyBorder="1" applyAlignment="1">
      <alignment vertical="center"/>
    </xf>
    <xf numFmtId="0" fontId="34" fillId="40" borderId="55" xfId="0" applyFont="1" applyFill="1" applyBorder="1" applyAlignment="1">
      <alignment vertical="center"/>
    </xf>
    <xf numFmtId="0" fontId="9" fillId="40" borderId="55" xfId="0" applyFont="1" applyFill="1" applyBorder="1" applyAlignment="1">
      <alignment vertical="center"/>
    </xf>
    <xf numFmtId="0" fontId="40" fillId="40" borderId="55" xfId="0" applyFont="1" applyFill="1" applyBorder="1" applyAlignment="1">
      <alignment vertical="center"/>
    </xf>
    <xf numFmtId="0" fontId="9" fillId="40" borderId="0" xfId="0" applyFont="1" applyFill="1" applyAlignment="1">
      <alignment horizontal="left"/>
    </xf>
    <xf numFmtId="3" fontId="9" fillId="40" borderId="0" xfId="0" applyNumberFormat="1" applyFont="1" applyFill="1" applyAlignment="1">
      <alignment horizontal="center"/>
    </xf>
    <xf numFmtId="0" fontId="38" fillId="40" borderId="0" xfId="0" applyFont="1" applyFill="1" applyAlignment="1">
      <alignment horizontal="right" vertical="center"/>
    </xf>
    <xf numFmtId="0" fontId="34" fillId="40" borderId="0" xfId="0" applyFont="1" applyFill="1" applyAlignment="1">
      <alignment vertical="center"/>
    </xf>
    <xf numFmtId="0" fontId="0" fillId="40" borderId="17" xfId="0" applyFill="1" applyBorder="1"/>
    <xf numFmtId="0" fontId="32" fillId="40" borderId="17" xfId="0" applyFont="1" applyFill="1" applyBorder="1"/>
    <xf numFmtId="49" fontId="11" fillId="40" borderId="0" xfId="0" applyNumberFormat="1" applyFont="1" applyFill="1"/>
    <xf numFmtId="0" fontId="0" fillId="40" borderId="17" xfId="0" applyFill="1" applyBorder="1" applyAlignment="1">
      <alignment vertical="center"/>
    </xf>
    <xf numFmtId="0" fontId="14" fillId="41" borderId="54" xfId="0" applyFont="1" applyFill="1" applyBorder="1" applyAlignment="1">
      <alignment vertical="center"/>
    </xf>
    <xf numFmtId="0" fontId="0" fillId="41" borderId="0" xfId="0" applyFill="1"/>
    <xf numFmtId="0" fontId="3" fillId="41" borderId="14" xfId="0" applyFont="1" applyFill="1" applyBorder="1" applyAlignment="1">
      <alignment vertical="center"/>
    </xf>
    <xf numFmtId="0" fontId="32" fillId="41" borderId="17" xfId="0" applyFont="1" applyFill="1" applyBorder="1" applyAlignment="1">
      <alignment vertical="center"/>
    </xf>
    <xf numFmtId="0" fontId="0" fillId="41" borderId="17" xfId="0" applyFill="1" applyBorder="1" applyAlignment="1">
      <alignment vertical="center"/>
    </xf>
    <xf numFmtId="0" fontId="98" fillId="42" borderId="53" xfId="0" applyFont="1" applyFill="1" applyBorder="1" applyAlignment="1" applyProtection="1">
      <alignment vertical="center"/>
      <protection hidden="1"/>
    </xf>
    <xf numFmtId="0" fontId="0" fillId="43" borderId="75" xfId="0" applyFill="1" applyBorder="1" applyAlignment="1" applyProtection="1">
      <alignment horizontal="center"/>
      <protection hidden="1"/>
    </xf>
    <xf numFmtId="0" fontId="0" fillId="43" borderId="76" xfId="0" applyFill="1" applyBorder="1" applyAlignment="1" applyProtection="1">
      <alignment horizontal="center"/>
      <protection hidden="1"/>
    </xf>
    <xf numFmtId="0" fontId="56" fillId="40" borderId="0" xfId="33" applyFont="1" applyFill="1" applyAlignment="1" applyProtection="1"/>
    <xf numFmtId="0" fontId="112" fillId="40" borderId="0" xfId="34" applyFont="1" applyFill="1" applyProtection="1"/>
    <xf numFmtId="0" fontId="56" fillId="40" borderId="13" xfId="33" applyFont="1" applyFill="1" applyBorder="1" applyAlignment="1" applyProtection="1"/>
    <xf numFmtId="0" fontId="112" fillId="40" borderId="13" xfId="34" applyFont="1" applyFill="1" applyBorder="1" applyProtection="1"/>
    <xf numFmtId="0" fontId="99" fillId="42" borderId="0" xfId="75" applyFont="1" applyFill="1" applyAlignment="1">
      <alignment horizontal="left" vertical="center"/>
    </xf>
    <xf numFmtId="0" fontId="99" fillId="42" borderId="103" xfId="0" applyFont="1"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center" vertical="center" wrapText="1"/>
    </xf>
    <xf numFmtId="2" fontId="113" fillId="0" borderId="0" xfId="0" applyNumberFormat="1" applyFont="1" applyAlignment="1">
      <alignment horizontal="left" vertical="top" shrinkToFit="1"/>
    </xf>
    <xf numFmtId="4" fontId="113" fillId="0" borderId="0" xfId="0" applyNumberFormat="1" applyFont="1" applyAlignment="1">
      <alignment horizontal="left" vertical="top" shrinkToFit="1"/>
    </xf>
    <xf numFmtId="0" fontId="8" fillId="0" borderId="0" xfId="0" applyFont="1" applyAlignment="1">
      <alignment horizontal="left" wrapText="1"/>
    </xf>
    <xf numFmtId="0" fontId="8" fillId="0" borderId="0" xfId="0" applyFont="1" applyAlignment="1">
      <alignment horizontal="left"/>
    </xf>
    <xf numFmtId="0" fontId="114" fillId="38" borderId="104" xfId="0" applyFont="1" applyFill="1" applyBorder="1" applyAlignment="1" applyProtection="1">
      <alignment horizontal="left" vertical="center"/>
      <protection locked="0"/>
    </xf>
    <xf numFmtId="0" fontId="114" fillId="38" borderId="105" xfId="0" applyFont="1" applyFill="1" applyBorder="1" applyAlignment="1" applyProtection="1">
      <alignment horizontal="center" vertical="center"/>
      <protection locked="0"/>
    </xf>
    <xf numFmtId="0" fontId="114" fillId="38" borderId="106" xfId="0" applyFont="1" applyFill="1" applyBorder="1" applyAlignment="1" applyProtection="1">
      <alignment horizontal="center" vertical="center"/>
      <protection locked="0"/>
    </xf>
    <xf numFmtId="0" fontId="114" fillId="38" borderId="107" xfId="0" applyFont="1" applyFill="1" applyBorder="1" applyAlignment="1" applyProtection="1">
      <alignment horizontal="center" vertical="center"/>
      <protection locked="0"/>
    </xf>
    <xf numFmtId="167" fontId="114" fillId="41" borderId="108" xfId="48" applyNumberFormat="1" applyFont="1" applyFill="1" applyBorder="1" applyAlignment="1" applyProtection="1">
      <alignment horizontal="center" vertical="top"/>
    </xf>
    <xf numFmtId="0" fontId="114" fillId="38" borderId="109" xfId="0" applyFont="1" applyFill="1" applyBorder="1" applyAlignment="1" applyProtection="1">
      <alignment horizontal="left" vertical="center"/>
      <protection locked="0"/>
    </xf>
    <xf numFmtId="0" fontId="114" fillId="38" borderId="110" xfId="0" applyFont="1" applyFill="1" applyBorder="1" applyAlignment="1" applyProtection="1">
      <alignment horizontal="center" vertical="center"/>
      <protection locked="0"/>
    </xf>
    <xf numFmtId="0" fontId="114" fillId="38" borderId="111" xfId="0" applyFont="1" applyFill="1" applyBorder="1" applyAlignment="1" applyProtection="1">
      <alignment horizontal="center" vertical="center"/>
      <protection locked="0"/>
    </xf>
    <xf numFmtId="0" fontId="114" fillId="38" borderId="112" xfId="0" applyFont="1" applyFill="1" applyBorder="1" applyAlignment="1" applyProtection="1">
      <alignment horizontal="center" vertical="center"/>
      <protection locked="0"/>
    </xf>
    <xf numFmtId="167" fontId="114" fillId="41" borderId="113" xfId="48" applyNumberFormat="1" applyFont="1" applyFill="1" applyBorder="1" applyAlignment="1" applyProtection="1">
      <alignment horizontal="center" vertical="top"/>
    </xf>
    <xf numFmtId="0" fontId="114" fillId="38" borderId="114" xfId="0" applyFont="1" applyFill="1" applyBorder="1" applyAlignment="1" applyProtection="1">
      <alignment horizontal="left" vertical="center"/>
      <protection locked="0"/>
    </xf>
    <xf numFmtId="0" fontId="114" fillId="38" borderId="115" xfId="0" applyFont="1" applyFill="1" applyBorder="1" applyAlignment="1" applyProtection="1">
      <alignment horizontal="center" vertical="center"/>
      <protection locked="0"/>
    </xf>
    <xf numFmtId="0" fontId="114" fillId="38" borderId="116" xfId="0" applyFont="1" applyFill="1" applyBorder="1" applyAlignment="1" applyProtection="1">
      <alignment horizontal="center" vertical="center"/>
      <protection locked="0"/>
    </xf>
    <xf numFmtId="0" fontId="114" fillId="38" borderId="117" xfId="0" applyFont="1" applyFill="1" applyBorder="1" applyAlignment="1" applyProtection="1">
      <alignment horizontal="center" vertical="center"/>
      <protection locked="0"/>
    </xf>
    <xf numFmtId="167" fontId="114" fillId="41" borderId="118" xfId="48" applyNumberFormat="1" applyFont="1" applyFill="1" applyBorder="1" applyAlignment="1" applyProtection="1">
      <alignment horizontal="center" vertical="top"/>
    </xf>
    <xf numFmtId="0" fontId="114" fillId="38" borderId="119" xfId="0" applyFont="1" applyFill="1" applyBorder="1" applyAlignment="1" applyProtection="1">
      <alignment horizontal="center" vertical="top"/>
      <protection locked="0"/>
    </xf>
    <xf numFmtId="0" fontId="114" fillId="38" borderId="120" xfId="0" applyFont="1" applyFill="1" applyBorder="1" applyAlignment="1" applyProtection="1">
      <alignment horizontal="center" vertical="top"/>
      <protection locked="0"/>
    </xf>
    <xf numFmtId="14" fontId="115" fillId="38" borderId="121" xfId="48" applyNumberFormat="1" applyFont="1" applyFill="1" applyBorder="1" applyAlignment="1" applyProtection="1">
      <alignment horizontal="center" vertical="center"/>
      <protection locked="0"/>
    </xf>
    <xf numFmtId="9" fontId="114" fillId="38" borderId="0" xfId="103" applyFont="1" applyFill="1" applyBorder="1" applyAlignment="1" applyProtection="1">
      <alignment vertical="top"/>
    </xf>
    <xf numFmtId="9" fontId="114" fillId="38" borderId="0" xfId="103" applyFont="1" applyFill="1" applyBorder="1" applyAlignment="1" applyProtection="1">
      <alignment horizontal="center" vertical="top"/>
    </xf>
    <xf numFmtId="178" fontId="0" fillId="0" borderId="0" xfId="0" applyNumberFormat="1"/>
    <xf numFmtId="0" fontId="75" fillId="0" borderId="27" xfId="91" applyFont="1" applyBorder="1" applyAlignment="1">
      <alignment horizontal="center" vertical="center"/>
    </xf>
    <xf numFmtId="0" fontId="96" fillId="0" borderId="42" xfId="69" applyFont="1" applyBorder="1" applyAlignment="1">
      <alignment horizontal="center"/>
    </xf>
    <xf numFmtId="0" fontId="75" fillId="0" borderId="29" xfId="91" applyFont="1" applyBorder="1" applyAlignment="1">
      <alignment horizontal="center" vertical="center"/>
    </xf>
    <xf numFmtId="0" fontId="75" fillId="0" borderId="0" xfId="91" applyFont="1" applyAlignment="1">
      <alignment horizontal="center" vertical="center"/>
    </xf>
    <xf numFmtId="0" fontId="96" fillId="0" borderId="55" xfId="69" applyFont="1" applyBorder="1" applyAlignment="1">
      <alignment horizontal="center"/>
    </xf>
    <xf numFmtId="0" fontId="75" fillId="0" borderId="54" xfId="91" applyFont="1" applyBorder="1" applyAlignment="1">
      <alignment horizontal="center" vertical="center"/>
    </xf>
    <xf numFmtId="0" fontId="33" fillId="27" borderId="11" xfId="0" applyFont="1" applyFill="1" applyBorder="1" applyAlignment="1">
      <alignment horizontal="center"/>
    </xf>
    <xf numFmtId="0" fontId="9" fillId="40" borderId="0" xfId="0" applyFont="1" applyFill="1" applyAlignment="1">
      <alignment horizontal="center" vertical="center"/>
    </xf>
    <xf numFmtId="0" fontId="9" fillId="24" borderId="0" xfId="0" applyFont="1" applyFill="1" applyAlignment="1">
      <alignment horizontal="left" wrapText="1"/>
    </xf>
    <xf numFmtId="0" fontId="9" fillId="40" borderId="0" xfId="0" applyFont="1" applyFill="1" applyAlignment="1">
      <alignment horizontal="center"/>
    </xf>
    <xf numFmtId="0" fontId="114" fillId="38" borderId="111" xfId="0" applyFont="1" applyFill="1" applyBorder="1" applyAlignment="1" applyProtection="1">
      <alignment horizontal="left" vertical="center"/>
      <protection locked="0"/>
    </xf>
    <xf numFmtId="0" fontId="114" fillId="38" borderId="116" xfId="0" applyFont="1" applyFill="1" applyBorder="1" applyAlignment="1" applyProtection="1">
      <alignment horizontal="left" vertical="center"/>
      <protection locked="0"/>
    </xf>
    <xf numFmtId="0" fontId="114" fillId="38" borderId="106" xfId="0" applyFont="1" applyFill="1" applyBorder="1" applyAlignment="1" applyProtection="1">
      <alignment horizontal="left" vertical="center"/>
      <protection locked="0"/>
    </xf>
    <xf numFmtId="0" fontId="11" fillId="24" borderId="17" xfId="0" applyFont="1" applyFill="1" applyBorder="1" applyAlignment="1">
      <alignment horizontal="center"/>
    </xf>
    <xf numFmtId="0" fontId="11" fillId="24" borderId="10" xfId="0" applyFont="1" applyFill="1" applyBorder="1" applyAlignment="1">
      <alignment horizontal="left"/>
    </xf>
    <xf numFmtId="0" fontId="9" fillId="0" borderId="0" xfId="0" applyFont="1" applyAlignment="1">
      <alignment vertical="center"/>
    </xf>
    <xf numFmtId="0" fontId="9" fillId="38" borderId="0" xfId="0" applyFont="1" applyFill="1" applyAlignment="1">
      <alignment vertical="center"/>
    </xf>
    <xf numFmtId="0" fontId="14" fillId="38" borderId="0" xfId="0" applyFont="1" applyFill="1" applyAlignment="1">
      <alignment vertical="center"/>
    </xf>
    <xf numFmtId="0" fontId="116" fillId="44" borderId="0" xfId="0" applyFont="1" applyFill="1" applyAlignment="1" applyProtection="1">
      <alignment horizontal="center"/>
      <protection locked="0"/>
    </xf>
    <xf numFmtId="184" fontId="116" fillId="44" borderId="0" xfId="0" applyNumberFormat="1" applyFont="1" applyFill="1" applyAlignment="1" applyProtection="1">
      <alignment horizontal="center"/>
      <protection locked="0"/>
    </xf>
    <xf numFmtId="185" fontId="117" fillId="45" borderId="0" xfId="38" applyNumberFormat="1" applyFont="1" applyFill="1" applyBorder="1" applyAlignment="1" applyProtection="1"/>
    <xf numFmtId="39" fontId="117" fillId="45" borderId="0" xfId="38" applyNumberFormat="1" applyFont="1" applyFill="1" applyBorder="1" applyAlignment="1" applyProtection="1"/>
    <xf numFmtId="180" fontId="117" fillId="45" borderId="0" xfId="38" applyNumberFormat="1" applyFont="1" applyFill="1" applyBorder="1" applyAlignment="1" applyProtection="1"/>
    <xf numFmtId="185" fontId="117" fillId="45" borderId="55" xfId="38" applyNumberFormat="1" applyFont="1" applyFill="1" applyBorder="1" applyAlignment="1" applyProtection="1"/>
    <xf numFmtId="180" fontId="117" fillId="45" borderId="55" xfId="38" applyNumberFormat="1" applyFont="1" applyFill="1" applyBorder="1" applyAlignment="1" applyProtection="1"/>
    <xf numFmtId="185" fontId="8" fillId="45" borderId="0" xfId="38" applyNumberFormat="1" applyFont="1" applyFill="1" applyBorder="1" applyAlignment="1" applyProtection="1">
      <alignment horizontal="right"/>
    </xf>
    <xf numFmtId="173" fontId="116" fillId="45" borderId="0" xfId="38" applyNumberFormat="1" applyFont="1" applyFill="1" applyBorder="1" applyAlignment="1" applyProtection="1">
      <alignment horizontal="center" vertical="center"/>
    </xf>
    <xf numFmtId="173" fontId="116" fillId="45" borderId="0" xfId="38" applyNumberFormat="1" applyFont="1" applyFill="1" applyBorder="1" applyAlignment="1" applyProtection="1">
      <alignment horizontal="right"/>
    </xf>
    <xf numFmtId="44" fontId="117" fillId="45" borderId="0" xfId="47" applyFont="1" applyFill="1" applyBorder="1" applyProtection="1"/>
    <xf numFmtId="44" fontId="116" fillId="45" borderId="122" xfId="47" applyFont="1" applyFill="1" applyBorder="1" applyProtection="1"/>
    <xf numFmtId="0" fontId="8" fillId="0" borderId="0" xfId="75"/>
    <xf numFmtId="0" fontId="8" fillId="45" borderId="0" xfId="75" applyFill="1"/>
    <xf numFmtId="0" fontId="25" fillId="45" borderId="0" xfId="75" applyFont="1" applyFill="1" applyAlignment="1">
      <alignment horizontal="right"/>
    </xf>
    <xf numFmtId="0" fontId="8" fillId="45" borderId="0" xfId="75" applyFill="1" applyAlignment="1">
      <alignment horizontal="left"/>
    </xf>
    <xf numFmtId="0" fontId="116" fillId="45" borderId="0" xfId="75" applyFont="1" applyFill="1"/>
    <xf numFmtId="0" fontId="8" fillId="45" borderId="0" xfId="75" quotePrefix="1" applyFill="1" applyAlignment="1">
      <alignment horizontal="left"/>
    </xf>
    <xf numFmtId="0" fontId="116" fillId="45" borderId="0" xfId="75" applyFont="1" applyFill="1" applyAlignment="1">
      <alignment horizontal="center"/>
    </xf>
    <xf numFmtId="0" fontId="116" fillId="45" borderId="0" xfId="75" applyFont="1" applyFill="1" applyAlignment="1">
      <alignment horizontal="left"/>
    </xf>
    <xf numFmtId="0" fontId="117" fillId="45" borderId="0" xfId="75" applyFont="1" applyFill="1"/>
    <xf numFmtId="0" fontId="8" fillId="45" borderId="0" xfId="75" applyFill="1" applyAlignment="1">
      <alignment horizontal="center"/>
    </xf>
    <xf numFmtId="0" fontId="116" fillId="45" borderId="0" xfId="75" applyFont="1" applyFill="1" applyAlignment="1">
      <alignment horizontal="right"/>
    </xf>
    <xf numFmtId="0" fontId="2" fillId="0" borderId="0" xfId="75" applyFont="1" applyAlignment="1">
      <alignment vertical="top" wrapText="1"/>
    </xf>
    <xf numFmtId="0" fontId="2" fillId="0" borderId="0" xfId="75" applyFont="1" applyAlignment="1">
      <alignment vertical="top"/>
    </xf>
    <xf numFmtId="0" fontId="8" fillId="46" borderId="0" xfId="75" applyFill="1"/>
    <xf numFmtId="0" fontId="118" fillId="46" borderId="0" xfId="75" applyFont="1" applyFill="1"/>
    <xf numFmtId="0" fontId="119" fillId="46" borderId="0" xfId="75" applyFont="1" applyFill="1"/>
    <xf numFmtId="0" fontId="118" fillId="46" borderId="0" xfId="75" quotePrefix="1" applyFont="1" applyFill="1" applyAlignment="1">
      <alignment horizontal="center"/>
    </xf>
    <xf numFmtId="0" fontId="118" fillId="46" borderId="0" xfId="75" quotePrefix="1" applyFont="1" applyFill="1" applyAlignment="1">
      <alignment horizontal="right"/>
    </xf>
    <xf numFmtId="0" fontId="118" fillId="46" borderId="0" xfId="75" applyFont="1" applyFill="1" applyAlignment="1">
      <alignment horizontal="center"/>
    </xf>
    <xf numFmtId="0" fontId="120" fillId="46" borderId="0" xfId="75" applyFont="1" applyFill="1"/>
    <xf numFmtId="0" fontId="8" fillId="46" borderId="0" xfId="75" applyFill="1" applyAlignment="1">
      <alignment horizontal="right"/>
    </xf>
    <xf numFmtId="0" fontId="8" fillId="45" borderId="0" xfId="75" applyFill="1" applyAlignment="1">
      <alignment horizontal="right"/>
    </xf>
    <xf numFmtId="180" fontId="8" fillId="45" borderId="0" xfId="75" applyNumberFormat="1" applyFill="1"/>
    <xf numFmtId="0" fontId="117" fillId="45" borderId="0" xfId="75" applyFont="1" applyFill="1" applyAlignment="1">
      <alignment horizontal="left"/>
    </xf>
    <xf numFmtId="0" fontId="117" fillId="45" borderId="0" xfId="75" applyFont="1" applyFill="1" applyAlignment="1">
      <alignment horizontal="center"/>
    </xf>
    <xf numFmtId="0" fontId="2" fillId="45" borderId="0" xfId="75" applyFont="1" applyFill="1" applyAlignment="1">
      <alignment horizontal="center" vertical="center"/>
    </xf>
    <xf numFmtId="0" fontId="117" fillId="45" borderId="0" xfId="75" applyFont="1" applyFill="1" applyAlignment="1">
      <alignment horizontal="right" vertical="center"/>
    </xf>
    <xf numFmtId="44" fontId="117" fillId="45" borderId="0" xfId="75" applyNumberFormat="1" applyFont="1" applyFill="1" applyAlignment="1">
      <alignment horizontal="center" vertical="center"/>
    </xf>
    <xf numFmtId="0" fontId="117" fillId="45" borderId="55" xfId="75" applyFont="1" applyFill="1" applyBorder="1"/>
    <xf numFmtId="0" fontId="8" fillId="45" borderId="54" xfId="75" applyFill="1" applyBorder="1"/>
    <xf numFmtId="0" fontId="117" fillId="45" borderId="0" xfId="75" quotePrefix="1" applyFont="1" applyFill="1" applyAlignment="1">
      <alignment horizontal="left" vertical="center"/>
    </xf>
    <xf numFmtId="0" fontId="116" fillId="0" borderId="0" xfId="75" applyFont="1" applyAlignment="1">
      <alignment horizontal="center" vertical="center"/>
    </xf>
    <xf numFmtId="0" fontId="116" fillId="45" borderId="0" xfId="75" applyFont="1" applyFill="1" applyAlignment="1">
      <alignment horizontal="center" vertical="center"/>
    </xf>
    <xf numFmtId="0" fontId="117" fillId="45" borderId="0" xfId="75" applyFont="1" applyFill="1" applyAlignment="1">
      <alignment horizontal="center" vertical="center"/>
    </xf>
    <xf numFmtId="44" fontId="117" fillId="44" borderId="0" xfId="47" applyFont="1" applyFill="1" applyBorder="1" applyAlignment="1" applyProtection="1">
      <alignment horizontal="center" vertical="center"/>
      <protection locked="0"/>
    </xf>
    <xf numFmtId="0" fontId="121" fillId="47" borderId="0" xfId="0" applyFont="1" applyFill="1" applyAlignment="1" applyProtection="1">
      <alignment horizontal="left"/>
      <protection locked="0"/>
    </xf>
    <xf numFmtId="0" fontId="3" fillId="41" borderId="0" xfId="0" applyFont="1" applyFill="1"/>
    <xf numFmtId="0" fontId="21" fillId="41" borderId="0" xfId="33" applyFill="1" applyAlignment="1" applyProtection="1"/>
    <xf numFmtId="0" fontId="9" fillId="41" borderId="0" xfId="0" applyFont="1" applyFill="1" applyAlignment="1">
      <alignment wrapText="1"/>
    </xf>
    <xf numFmtId="0" fontId="0" fillId="41" borderId="0" xfId="0" applyFill="1" applyProtection="1">
      <protection hidden="1"/>
    </xf>
    <xf numFmtId="0" fontId="14" fillId="41" borderId="0" xfId="0" applyFont="1" applyFill="1"/>
    <xf numFmtId="0" fontId="0" fillId="41" borderId="0" xfId="0" applyFill="1" applyAlignment="1">
      <alignment horizontal="center"/>
    </xf>
    <xf numFmtId="0" fontId="1" fillId="41" borderId="0" xfId="0" applyFont="1" applyFill="1"/>
    <xf numFmtId="168" fontId="0" fillId="41" borderId="0" xfId="0" applyNumberFormat="1" applyFill="1" applyProtection="1">
      <protection hidden="1"/>
    </xf>
    <xf numFmtId="49" fontId="0" fillId="41" borderId="0" xfId="0" applyNumberFormat="1" applyFill="1" applyProtection="1">
      <protection hidden="1"/>
    </xf>
    <xf numFmtId="14" fontId="0" fillId="41" borderId="0" xfId="0" applyNumberFormat="1" applyFill="1" applyProtection="1">
      <protection hidden="1"/>
    </xf>
    <xf numFmtId="0" fontId="0" fillId="41" borderId="0" xfId="0" applyFill="1" applyAlignment="1" applyProtection="1">
      <alignment vertical="center" textRotation="90"/>
      <protection hidden="1"/>
    </xf>
    <xf numFmtId="0" fontId="0" fillId="41" borderId="0" xfId="0" applyFill="1" applyAlignment="1">
      <alignment vertical="center" textRotation="90"/>
    </xf>
    <xf numFmtId="0" fontId="122" fillId="41" borderId="0" xfId="0" applyFont="1" applyFill="1" applyProtection="1">
      <protection hidden="1"/>
    </xf>
    <xf numFmtId="0" fontId="102" fillId="41" borderId="0" xfId="0" applyFont="1" applyFill="1" applyProtection="1">
      <protection hidden="1"/>
    </xf>
    <xf numFmtId="168" fontId="122" fillId="41" borderId="0" xfId="0" applyNumberFormat="1" applyFont="1" applyFill="1" applyProtection="1">
      <protection hidden="1"/>
    </xf>
    <xf numFmtId="0" fontId="31" fillId="41" borderId="0" xfId="0" applyFont="1" applyFill="1" applyProtection="1">
      <protection hidden="1"/>
    </xf>
    <xf numFmtId="0" fontId="0" fillId="41" borderId="0" xfId="0" applyFill="1" applyAlignment="1">
      <alignment horizontal="left" vertical="top"/>
    </xf>
    <xf numFmtId="0" fontId="123" fillId="41" borderId="0" xfId="0" applyFont="1" applyFill="1" applyAlignment="1">
      <alignment vertical="center"/>
    </xf>
    <xf numFmtId="0" fontId="99" fillId="41" borderId="0" xfId="75" applyFont="1" applyFill="1" applyAlignment="1">
      <alignment horizontal="left" vertical="center"/>
    </xf>
    <xf numFmtId="0" fontId="95" fillId="41" borderId="0" xfId="69" applyFont="1" applyFill="1" applyAlignment="1">
      <alignment vertical="center"/>
    </xf>
    <xf numFmtId="0" fontId="8" fillId="41" borderId="0" xfId="0" applyFont="1" applyFill="1"/>
    <xf numFmtId="0" fontId="8" fillId="0" borderId="0" xfId="0" applyFont="1" applyAlignment="1">
      <alignment vertical="top" wrapText="1"/>
    </xf>
    <xf numFmtId="0" fontId="46" fillId="0" borderId="0" xfId="0" applyFont="1"/>
    <xf numFmtId="0" fontId="52" fillId="0" borderId="0" xfId="0" applyFont="1"/>
    <xf numFmtId="0" fontId="8" fillId="0" borderId="0" xfId="0" applyFont="1" applyAlignment="1">
      <alignment vertical="top"/>
    </xf>
    <xf numFmtId="0" fontId="124" fillId="0" borderId="0" xfId="0" applyFont="1" applyAlignment="1">
      <alignment horizontal="right"/>
    </xf>
    <xf numFmtId="0" fontId="0" fillId="41" borderId="0" xfId="0" applyFill="1" applyAlignment="1">
      <alignment vertical="top"/>
    </xf>
    <xf numFmtId="0" fontId="32" fillId="0" borderId="0" xfId="0" applyFont="1"/>
    <xf numFmtId="0" fontId="0" fillId="40" borderId="0" xfId="0" applyFill="1"/>
    <xf numFmtId="0" fontId="0" fillId="40" borderId="0" xfId="0" applyFill="1" applyAlignment="1">
      <alignment horizontal="center"/>
    </xf>
    <xf numFmtId="0" fontId="0" fillId="40" borderId="0" xfId="0" applyFill="1" applyAlignment="1">
      <alignment horizontal="center" vertical="center"/>
    </xf>
    <xf numFmtId="0" fontId="43" fillId="40" borderId="0" xfId="0" applyFont="1" applyFill="1" applyAlignment="1">
      <alignment horizontal="center"/>
    </xf>
    <xf numFmtId="0" fontId="33" fillId="40" borderId="0" xfId="0" applyFont="1" applyFill="1"/>
    <xf numFmtId="0" fontId="8" fillId="40" borderId="0" xfId="0" applyFont="1" applyFill="1" applyAlignment="1">
      <alignment horizontal="center" vertical="center"/>
    </xf>
    <xf numFmtId="0" fontId="10" fillId="40" borderId="0" xfId="0" applyFont="1" applyFill="1" applyAlignment="1">
      <alignment horizontal="center" vertical="center"/>
    </xf>
    <xf numFmtId="0" fontId="15" fillId="40" borderId="0" xfId="0" applyFont="1" applyFill="1" applyAlignment="1">
      <alignment horizontal="center"/>
    </xf>
    <xf numFmtId="0" fontId="8" fillId="40" borderId="0" xfId="0" applyFont="1" applyFill="1" applyAlignment="1">
      <alignment vertical="center"/>
    </xf>
    <xf numFmtId="0" fontId="8" fillId="24" borderId="0" xfId="0" applyFont="1" applyFill="1" applyAlignment="1">
      <alignment horizontal="center" vertical="center"/>
    </xf>
    <xf numFmtId="0" fontId="19" fillId="40" borderId="73" xfId="0" applyFont="1" applyFill="1" applyBorder="1" applyAlignment="1">
      <alignment horizontal="left" vertical="center"/>
    </xf>
    <xf numFmtId="0" fontId="0" fillId="40" borderId="0" xfId="0" applyFill="1" applyAlignment="1">
      <alignment horizontal="right" vertical="center"/>
    </xf>
    <xf numFmtId="0" fontId="102" fillId="41" borderId="0" xfId="0" applyFont="1" applyFill="1"/>
    <xf numFmtId="0" fontId="43" fillId="40" borderId="0" xfId="0" applyFont="1" applyFill="1"/>
    <xf numFmtId="0" fontId="11" fillId="40" borderId="0" xfId="0" applyFont="1" applyFill="1" applyAlignment="1">
      <alignment vertical="center"/>
    </xf>
    <xf numFmtId="0" fontId="0" fillId="40" borderId="12" xfId="0" applyFill="1" applyBorder="1"/>
    <xf numFmtId="0" fontId="0" fillId="40" borderId="14" xfId="0" applyFill="1" applyBorder="1"/>
    <xf numFmtId="0" fontId="5" fillId="40" borderId="0" xfId="0" applyFont="1" applyFill="1" applyAlignment="1">
      <alignment vertical="center"/>
    </xf>
    <xf numFmtId="0" fontId="3" fillId="24" borderId="72" xfId="0" applyFont="1" applyFill="1" applyBorder="1" applyAlignment="1">
      <alignment vertical="center"/>
    </xf>
    <xf numFmtId="0" fontId="0" fillId="24" borderId="24" xfId="0" applyFill="1" applyBorder="1" applyAlignment="1">
      <alignment vertical="center"/>
    </xf>
    <xf numFmtId="0" fontId="42" fillId="32" borderId="43" xfId="0" applyFont="1" applyFill="1" applyBorder="1" applyAlignment="1">
      <alignment vertical="center"/>
    </xf>
    <xf numFmtId="0" fontId="34" fillId="32" borderId="55" xfId="0" applyFont="1" applyFill="1" applyBorder="1" applyAlignment="1">
      <alignment vertical="center"/>
    </xf>
    <xf numFmtId="0" fontId="34" fillId="32" borderId="0" xfId="0" applyFont="1" applyFill="1" applyAlignment="1">
      <alignment vertical="center"/>
    </xf>
    <xf numFmtId="0" fontId="0" fillId="32" borderId="0" xfId="0" applyFill="1"/>
    <xf numFmtId="9" fontId="9" fillId="0" borderId="0" xfId="0" applyNumberFormat="1" applyFont="1" applyAlignment="1">
      <alignment vertical="center"/>
    </xf>
    <xf numFmtId="0" fontId="9" fillId="48" borderId="11" xfId="0" applyFont="1" applyFill="1" applyBorder="1" applyAlignment="1">
      <alignment horizontal="center"/>
    </xf>
    <xf numFmtId="171" fontId="33" fillId="27" borderId="53" xfId="0" applyNumberFormat="1" applyFont="1" applyFill="1" applyBorder="1"/>
    <xf numFmtId="0" fontId="0" fillId="40" borderId="55" xfId="0" applyFill="1" applyBorder="1" applyAlignment="1">
      <alignment vertical="center"/>
    </xf>
    <xf numFmtId="0" fontId="0" fillId="40" borderId="42" xfId="0" applyFill="1" applyBorder="1" applyAlignment="1">
      <alignment vertical="center"/>
    </xf>
    <xf numFmtId="0" fontId="33" fillId="0" borderId="77" xfId="0" applyFont="1" applyBorder="1"/>
    <xf numFmtId="0" fontId="0" fillId="40" borderId="24" xfId="0" applyFill="1" applyBorder="1" applyAlignment="1">
      <alignment vertical="center"/>
    </xf>
    <xf numFmtId="0" fontId="122" fillId="40" borderId="17" xfId="0" applyFont="1" applyFill="1" applyBorder="1" applyAlignment="1">
      <alignment vertical="center"/>
    </xf>
    <xf numFmtId="0" fontId="125" fillId="42" borderId="23" xfId="0" applyFont="1" applyFill="1" applyBorder="1" applyAlignment="1">
      <alignment vertical="center"/>
    </xf>
    <xf numFmtId="0" fontId="97" fillId="42" borderId="53" xfId="0" applyFont="1" applyFill="1" applyBorder="1" applyAlignment="1">
      <alignment vertical="center"/>
    </xf>
    <xf numFmtId="0" fontId="122" fillId="24" borderId="24" xfId="0" applyFont="1" applyFill="1" applyBorder="1" applyAlignment="1">
      <alignment vertical="center"/>
    </xf>
    <xf numFmtId="0" fontId="33" fillId="36" borderId="54" xfId="0" applyFont="1" applyFill="1" applyBorder="1"/>
    <xf numFmtId="0" fontId="9" fillId="36" borderId="54" xfId="0" applyFont="1" applyFill="1" applyBorder="1" applyAlignment="1">
      <alignment vertical="center"/>
    </xf>
    <xf numFmtId="0" fontId="9" fillId="36" borderId="29" xfId="0" applyFont="1" applyFill="1" applyBorder="1" applyAlignment="1">
      <alignment vertical="center"/>
    </xf>
    <xf numFmtId="0" fontId="122" fillId="24" borderId="17" xfId="0" applyFont="1" applyFill="1" applyBorder="1" applyAlignment="1">
      <alignment vertical="center"/>
    </xf>
    <xf numFmtId="0" fontId="9" fillId="36" borderId="23" xfId="0" applyFont="1" applyFill="1" applyBorder="1" applyAlignment="1">
      <alignment vertical="center"/>
    </xf>
    <xf numFmtId="0" fontId="9" fillId="36" borderId="53" xfId="0" applyFont="1" applyFill="1" applyBorder="1" applyAlignment="1">
      <alignment vertical="center"/>
    </xf>
    <xf numFmtId="0" fontId="33" fillId="36" borderId="55" xfId="0" applyFont="1" applyFill="1" applyBorder="1"/>
    <xf numFmtId="0" fontId="9" fillId="36" borderId="55" xfId="0" applyFont="1" applyFill="1" applyBorder="1" applyAlignment="1">
      <alignment vertical="center"/>
    </xf>
    <xf numFmtId="0" fontId="9" fillId="36" borderId="42" xfId="0" applyFont="1" applyFill="1" applyBorder="1" applyAlignment="1">
      <alignment vertical="center"/>
    </xf>
    <xf numFmtId="0" fontId="11" fillId="41" borderId="0" xfId="0" applyFont="1" applyFill="1"/>
    <xf numFmtId="0" fontId="0" fillId="0" borderId="73" xfId="0" applyBorder="1"/>
    <xf numFmtId="0" fontId="0" fillId="0" borderId="24" xfId="0" applyBorder="1"/>
    <xf numFmtId="0" fontId="9" fillId="24" borderId="0" xfId="0" applyFont="1" applyFill="1" applyAlignment="1">
      <alignment horizontal="right" vertical="center"/>
    </xf>
    <xf numFmtId="0" fontId="0" fillId="0" borderId="17" xfId="0" applyBorder="1"/>
    <xf numFmtId="0" fontId="126" fillId="0" borderId="0" xfId="0" applyFont="1"/>
    <xf numFmtId="0" fontId="8" fillId="24" borderId="0" xfId="0" applyFont="1" applyFill="1" applyAlignment="1">
      <alignment horizontal="left" vertical="center"/>
    </xf>
    <xf numFmtId="0" fontId="3" fillId="24" borderId="0" xfId="0" applyFont="1" applyFill="1" applyAlignment="1">
      <alignment horizontal="left" vertical="center" indent="1"/>
    </xf>
    <xf numFmtId="0" fontId="0" fillId="0" borderId="13" xfId="0" applyBorder="1"/>
    <xf numFmtId="0" fontId="9" fillId="24" borderId="13" xfId="0" applyFont="1" applyFill="1" applyBorder="1" applyAlignment="1">
      <alignment vertical="center"/>
    </xf>
    <xf numFmtId="0" fontId="0" fillId="0" borderId="14" xfId="0" applyBorder="1"/>
    <xf numFmtId="0" fontId="8" fillId="38" borderId="0" xfId="0" applyFont="1" applyFill="1" applyAlignment="1">
      <alignment vertical="center"/>
    </xf>
    <xf numFmtId="0" fontId="8" fillId="24" borderId="0" xfId="0" applyFont="1" applyFill="1"/>
    <xf numFmtId="0" fontId="0" fillId="24" borderId="0" xfId="0" applyFill="1"/>
    <xf numFmtId="0" fontId="11" fillId="24" borderId="0" xfId="0" applyFont="1" applyFill="1"/>
    <xf numFmtId="0" fontId="9" fillId="0" borderId="10" xfId="0" applyFont="1" applyBorder="1"/>
    <xf numFmtId="0" fontId="30" fillId="0" borderId="0" xfId="0" applyFont="1"/>
    <xf numFmtId="0" fontId="31" fillId="0" borderId="0" xfId="0" applyFont="1" applyAlignment="1">
      <alignment vertical="top"/>
    </xf>
    <xf numFmtId="0" fontId="31" fillId="0" borderId="13" xfId="0" applyFont="1" applyBorder="1"/>
    <xf numFmtId="0" fontId="28" fillId="0" borderId="0" xfId="0" applyFont="1" applyAlignment="1">
      <alignment horizontal="center"/>
    </xf>
    <xf numFmtId="0" fontId="31" fillId="0" borderId="0" xfId="0" applyFont="1"/>
    <xf numFmtId="0" fontId="27" fillId="0" borderId="0" xfId="0" applyFont="1"/>
    <xf numFmtId="0" fontId="127" fillId="38" borderId="0" xfId="0" applyFont="1" applyFill="1" applyAlignment="1">
      <alignment vertical="center"/>
    </xf>
    <xf numFmtId="0" fontId="102" fillId="0" borderId="0" xfId="0" applyFont="1"/>
    <xf numFmtId="0" fontId="92" fillId="41" borderId="0" xfId="69" applyFill="1"/>
    <xf numFmtId="0" fontId="46" fillId="0" borderId="0" xfId="69" applyFont="1"/>
    <xf numFmtId="0" fontId="52" fillId="0" borderId="0" xfId="69" applyFont="1"/>
    <xf numFmtId="0" fontId="128" fillId="0" borderId="0" xfId="69" applyFont="1"/>
    <xf numFmtId="0" fontId="92" fillId="0" borderId="0" xfId="69" applyAlignment="1">
      <alignment vertical="top"/>
    </xf>
    <xf numFmtId="0" fontId="8" fillId="0" borderId="0" xfId="69" applyFont="1" applyAlignment="1">
      <alignment vertical="top"/>
    </xf>
    <xf numFmtId="0" fontId="93" fillId="0" borderId="0" xfId="69" applyFont="1" applyAlignment="1">
      <alignment vertical="top"/>
    </xf>
    <xf numFmtId="0" fontId="92" fillId="41" borderId="0" xfId="69" applyFill="1" applyAlignment="1">
      <alignment vertical="top"/>
    </xf>
    <xf numFmtId="0" fontId="3" fillId="24" borderId="0" xfId="69" applyFont="1" applyFill="1" applyAlignment="1">
      <alignment vertical="center"/>
    </xf>
    <xf numFmtId="0" fontId="5" fillId="40" borderId="72" xfId="69" applyFont="1" applyFill="1" applyBorder="1" applyAlignment="1">
      <alignment vertical="center"/>
    </xf>
    <xf numFmtId="0" fontId="9" fillId="40" borderId="73" xfId="69" applyFont="1" applyFill="1" applyBorder="1" applyAlignment="1">
      <alignment vertical="center"/>
    </xf>
    <xf numFmtId="0" fontId="3" fillId="40" borderId="73" xfId="69" applyFont="1" applyFill="1" applyBorder="1" applyAlignment="1">
      <alignment vertical="center"/>
    </xf>
    <xf numFmtId="0" fontId="8" fillId="40" borderId="73" xfId="69" applyFont="1" applyFill="1" applyBorder="1" applyAlignment="1">
      <alignment horizontal="left" vertical="center"/>
    </xf>
    <xf numFmtId="0" fontId="101" fillId="40" borderId="73" xfId="69" applyFont="1" applyFill="1" applyBorder="1" applyAlignment="1">
      <alignment wrapText="1"/>
    </xf>
    <xf numFmtId="0" fontId="92" fillId="40" borderId="24" xfId="69" applyFill="1" applyBorder="1"/>
    <xf numFmtId="0" fontId="92" fillId="40" borderId="0" xfId="69" applyFill="1"/>
    <xf numFmtId="0" fontId="101" fillId="40" borderId="0" xfId="69" applyFont="1" applyFill="1"/>
    <xf numFmtId="0" fontId="129" fillId="40" borderId="0" xfId="69" applyFont="1" applyFill="1"/>
    <xf numFmtId="0" fontId="101" fillId="40" borderId="0" xfId="69" applyFont="1" applyFill="1" applyAlignment="1">
      <alignment wrapText="1"/>
    </xf>
    <xf numFmtId="0" fontId="92" fillId="40" borderId="17" xfId="69" applyFill="1" applyBorder="1"/>
    <xf numFmtId="0" fontId="5" fillId="40" borderId="10" xfId="69" applyFont="1" applyFill="1" applyBorder="1" applyAlignment="1">
      <alignment vertical="center"/>
    </xf>
    <xf numFmtId="0" fontId="9" fillId="40" borderId="0" xfId="69" applyFont="1" applyFill="1" applyAlignment="1">
      <alignment vertical="center"/>
    </xf>
    <xf numFmtId="0" fontId="9" fillId="40" borderId="0" xfId="69" applyFont="1" applyFill="1" applyAlignment="1">
      <alignment horizontal="left" vertical="center"/>
    </xf>
    <xf numFmtId="0" fontId="8" fillId="40" borderId="0" xfId="69" applyFont="1" applyFill="1" applyAlignment="1">
      <alignment horizontal="left" vertical="center"/>
    </xf>
    <xf numFmtId="0" fontId="101" fillId="40" borderId="0" xfId="69" applyFont="1" applyFill="1" applyAlignment="1">
      <alignment vertical="top" wrapText="1"/>
    </xf>
    <xf numFmtId="0" fontId="3" fillId="40" borderId="0" xfId="69" applyFont="1" applyFill="1" applyAlignment="1">
      <alignment horizontal="left" vertical="center" wrapText="1"/>
    </xf>
    <xf numFmtId="0" fontId="3" fillId="40" borderId="0" xfId="69" applyFont="1" applyFill="1" applyAlignment="1">
      <alignment vertical="center"/>
    </xf>
    <xf numFmtId="0" fontId="5" fillId="40" borderId="12" xfId="69" applyFont="1" applyFill="1" applyBorder="1" applyAlignment="1">
      <alignment vertical="center"/>
    </xf>
    <xf numFmtId="0" fontId="9" fillId="40" borderId="13" xfId="69" applyFont="1" applyFill="1" applyBorder="1" applyAlignment="1">
      <alignment vertical="center"/>
    </xf>
    <xf numFmtId="0" fontId="3" fillId="40" borderId="13" xfId="69" applyFont="1" applyFill="1" applyBorder="1" applyAlignment="1">
      <alignment vertical="center"/>
    </xf>
    <xf numFmtId="0" fontId="8" fillId="40" borderId="13" xfId="69" applyFont="1" applyFill="1" applyBorder="1" applyAlignment="1">
      <alignment horizontal="left" vertical="center"/>
    </xf>
    <xf numFmtId="0" fontId="3" fillId="40" borderId="13" xfId="69" applyFont="1" applyFill="1" applyBorder="1" applyAlignment="1">
      <alignment horizontal="left" vertical="center" wrapText="1"/>
    </xf>
    <xf numFmtId="0" fontId="92" fillId="40" borderId="13" xfId="69" applyFill="1" applyBorder="1"/>
    <xf numFmtId="0" fontId="92" fillId="40" borderId="14" xfId="69" applyFill="1" applyBorder="1"/>
    <xf numFmtId="0" fontId="101" fillId="40" borderId="0" xfId="69" applyFont="1" applyFill="1" applyAlignment="1">
      <alignment horizontal="left"/>
    </xf>
    <xf numFmtId="0" fontId="101" fillId="40" borderId="0" xfId="69" applyFont="1" applyFill="1" applyAlignment="1">
      <alignment horizontal="center"/>
    </xf>
    <xf numFmtId="0" fontId="9" fillId="40" borderId="73" xfId="69" applyFont="1" applyFill="1" applyBorder="1" applyAlignment="1">
      <alignment horizontal="left" vertical="center"/>
    </xf>
    <xf numFmtId="0" fontId="101" fillId="40" borderId="73" xfId="69" applyFont="1" applyFill="1" applyBorder="1"/>
    <xf numFmtId="0" fontId="3" fillId="40" borderId="73" xfId="69" applyFont="1" applyFill="1" applyBorder="1" applyAlignment="1">
      <alignment horizontal="left" vertical="center" wrapText="1"/>
    </xf>
    <xf numFmtId="0" fontId="92" fillId="40" borderId="73" xfId="69" applyFill="1" applyBorder="1"/>
    <xf numFmtId="0" fontId="5" fillId="40" borderId="0" xfId="69" applyFont="1" applyFill="1" applyAlignment="1">
      <alignment vertical="center"/>
    </xf>
    <xf numFmtId="0" fontId="96" fillId="40" borderId="0" xfId="69" applyFont="1" applyFill="1"/>
    <xf numFmtId="0" fontId="92" fillId="40" borderId="12" xfId="69" applyFill="1" applyBorder="1"/>
    <xf numFmtId="0" fontId="101" fillId="40" borderId="13" xfId="69" applyFont="1" applyFill="1" applyBorder="1"/>
    <xf numFmtId="0" fontId="9" fillId="40" borderId="13" xfId="69" applyFont="1" applyFill="1" applyBorder="1" applyAlignment="1">
      <alignment horizontal="left" vertical="center"/>
    </xf>
    <xf numFmtId="0" fontId="101" fillId="40" borderId="13" xfId="69" applyFont="1" applyFill="1" applyBorder="1" applyAlignment="1">
      <alignment horizontal="left"/>
    </xf>
    <xf numFmtId="0" fontId="101" fillId="40" borderId="13" xfId="69" applyFont="1" applyFill="1" applyBorder="1" applyAlignment="1">
      <alignment horizontal="center"/>
    </xf>
    <xf numFmtId="0" fontId="19" fillId="42" borderId="78" xfId="69" applyFont="1" applyFill="1" applyBorder="1" applyAlignment="1">
      <alignment vertical="center" textRotation="90"/>
    </xf>
    <xf numFmtId="0" fontId="129" fillId="40" borderId="17" xfId="69" applyFont="1" applyFill="1" applyBorder="1" applyAlignment="1">
      <alignment vertical="center"/>
    </xf>
    <xf numFmtId="0" fontId="34" fillId="40" borderId="0" xfId="69" applyFont="1" applyFill="1" applyAlignment="1">
      <alignment vertical="center"/>
    </xf>
    <xf numFmtId="0" fontId="9" fillId="40" borderId="0" xfId="69" applyFont="1" applyFill="1" applyAlignment="1">
      <alignment horizontal="left" vertical="center" wrapText="1"/>
    </xf>
    <xf numFmtId="0" fontId="101" fillId="40" borderId="17" xfId="69" applyFont="1" applyFill="1" applyBorder="1"/>
    <xf numFmtId="0" fontId="19" fillId="42" borderId="71" xfId="69" applyFont="1" applyFill="1" applyBorder="1" applyAlignment="1">
      <alignment vertical="center" textRotation="90"/>
    </xf>
    <xf numFmtId="0" fontId="34" fillId="40" borderId="12" xfId="69" applyFont="1" applyFill="1" applyBorder="1" applyAlignment="1">
      <alignment vertical="center"/>
    </xf>
    <xf numFmtId="0" fontId="9" fillId="40" borderId="13" xfId="69" applyFont="1" applyFill="1" applyBorder="1" applyAlignment="1">
      <alignment horizontal="left" vertical="center" wrapText="1"/>
    </xf>
    <xf numFmtId="0" fontId="101" fillId="40" borderId="14" xfId="69" applyFont="1" applyFill="1" applyBorder="1"/>
    <xf numFmtId="0" fontId="92" fillId="40" borderId="0" xfId="69" applyFill="1" applyAlignment="1">
      <alignment vertical="center"/>
    </xf>
    <xf numFmtId="0" fontId="2" fillId="49" borderId="0" xfId="0" applyFont="1" applyFill="1" applyAlignment="1">
      <alignment vertical="top" wrapText="1"/>
    </xf>
    <xf numFmtId="0" fontId="118" fillId="49" borderId="0" xfId="0" applyFont="1" applyFill="1" applyAlignment="1">
      <alignment vertical="center"/>
    </xf>
    <xf numFmtId="0" fontId="2" fillId="49" borderId="0" xfId="0" applyFont="1" applyFill="1" applyAlignment="1">
      <alignment vertical="center"/>
    </xf>
    <xf numFmtId="0" fontId="130" fillId="50" borderId="0" xfId="0" applyFont="1" applyFill="1"/>
    <xf numFmtId="0" fontId="131" fillId="50" borderId="0" xfId="0" applyFont="1" applyFill="1" applyAlignment="1">
      <alignment horizontal="left" vertical="center" wrapText="1"/>
    </xf>
    <xf numFmtId="0" fontId="131" fillId="51" borderId="0" xfId="0" applyFont="1" applyFill="1" applyAlignment="1">
      <alignment horizontal="left" vertical="center" wrapText="1"/>
    </xf>
    <xf numFmtId="0" fontId="132" fillId="50" borderId="0" xfId="0" applyFont="1" applyFill="1" applyAlignment="1">
      <alignment horizontal="right"/>
    </xf>
    <xf numFmtId="0" fontId="133" fillId="50" borderId="0" xfId="0" applyFont="1" applyFill="1" applyAlignment="1">
      <alignment vertical="center"/>
    </xf>
    <xf numFmtId="0" fontId="133" fillId="51" borderId="0" xfId="0" applyFont="1" applyFill="1" applyAlignment="1">
      <alignment vertical="center"/>
    </xf>
    <xf numFmtId="0" fontId="130" fillId="50" borderId="0" xfId="0" applyFont="1" applyFill="1" applyAlignment="1">
      <alignment horizontal="left" vertical="top"/>
    </xf>
    <xf numFmtId="0" fontId="116" fillId="50" borderId="0" xfId="0" applyFont="1" applyFill="1" applyAlignment="1">
      <alignment horizontal="left" vertical="top"/>
    </xf>
    <xf numFmtId="0" fontId="131" fillId="50" borderId="0" xfId="0" applyFont="1" applyFill="1" applyAlignment="1">
      <alignment horizontal="left" vertical="center"/>
    </xf>
    <xf numFmtId="0" fontId="131" fillId="50" borderId="0" xfId="0" applyFont="1" applyFill="1" applyAlignment="1">
      <alignment vertical="center"/>
    </xf>
    <xf numFmtId="0" fontId="130" fillId="51" borderId="0" xfId="0" applyFont="1" applyFill="1" applyAlignment="1">
      <alignment horizontal="left" vertical="top"/>
    </xf>
    <xf numFmtId="0" fontId="130" fillId="51" borderId="0" xfId="0" applyFont="1" applyFill="1"/>
    <xf numFmtId="0" fontId="117" fillId="50" borderId="0" xfId="0" applyFont="1" applyFill="1" applyAlignment="1">
      <alignment horizontal="left" vertical="top"/>
    </xf>
    <xf numFmtId="0" fontId="134" fillId="50" borderId="0" xfId="0" applyFont="1" applyFill="1" applyAlignment="1">
      <alignment horizontal="center" vertical="top"/>
    </xf>
    <xf numFmtId="0" fontId="21" fillId="40" borderId="0" xfId="33" applyFill="1" applyAlignment="1" applyProtection="1">
      <protection locked="0"/>
    </xf>
    <xf numFmtId="0" fontId="92" fillId="40" borderId="0" xfId="69" applyFill="1" applyProtection="1">
      <protection locked="0"/>
    </xf>
    <xf numFmtId="0" fontId="101" fillId="40" borderId="0" xfId="69" applyFont="1" applyFill="1" applyProtection="1">
      <protection locked="0"/>
    </xf>
    <xf numFmtId="0" fontId="9" fillId="40" borderId="0" xfId="69" applyFont="1" applyFill="1" applyAlignment="1" applyProtection="1">
      <alignment horizontal="left" vertical="center"/>
      <protection locked="0"/>
    </xf>
    <xf numFmtId="0" fontId="101" fillId="40" borderId="0" xfId="69" applyFont="1" applyFill="1" applyAlignment="1" applyProtection="1">
      <alignment horizontal="left"/>
      <protection locked="0"/>
    </xf>
    <xf numFmtId="0" fontId="135" fillId="0" borderId="0" xfId="0" applyFont="1" applyAlignment="1">
      <alignment horizontal="left"/>
    </xf>
    <xf numFmtId="0" fontId="136" fillId="0" borderId="0" xfId="0" applyFont="1" applyAlignment="1">
      <alignment horizontal="left"/>
    </xf>
    <xf numFmtId="0" fontId="136" fillId="41" borderId="0" xfId="0" applyFont="1" applyFill="1" applyAlignment="1">
      <alignment horizontal="left"/>
    </xf>
    <xf numFmtId="0" fontId="111" fillId="0" borderId="0" xfId="0" applyFont="1"/>
    <xf numFmtId="0" fontId="137" fillId="0" borderId="0" xfId="0" applyFont="1" applyAlignment="1">
      <alignment horizontal="left" vertical="top"/>
    </xf>
    <xf numFmtId="0" fontId="107" fillId="0" borderId="0" xfId="0" applyFont="1"/>
    <xf numFmtId="0" fontId="0" fillId="0" borderId="0" xfId="0" applyAlignment="1">
      <alignment vertical="center"/>
    </xf>
    <xf numFmtId="0" fontId="93" fillId="0" borderId="0" xfId="0" applyFont="1"/>
    <xf numFmtId="0" fontId="138" fillId="52" borderId="0" xfId="0" applyFont="1" applyFill="1" applyAlignment="1">
      <alignment vertical="center" wrapText="1"/>
    </xf>
    <xf numFmtId="0" fontId="138" fillId="52" borderId="0" xfId="0" applyFont="1" applyFill="1" applyAlignment="1">
      <alignment vertical="center"/>
    </xf>
    <xf numFmtId="0" fontId="114" fillId="40" borderId="0" xfId="0" applyFont="1" applyFill="1"/>
    <xf numFmtId="0" fontId="139" fillId="42" borderId="123" xfId="0" applyFont="1" applyFill="1" applyBorder="1" applyAlignment="1">
      <alignment horizontal="center" vertical="center" wrapText="1"/>
    </xf>
    <xf numFmtId="0" fontId="139" fillId="42" borderId="124" xfId="0" applyFont="1" applyFill="1" applyBorder="1" applyAlignment="1">
      <alignment horizontal="center" vertical="center" wrapText="1"/>
    </xf>
    <xf numFmtId="0" fontId="138" fillId="42" borderId="125" xfId="0" applyFont="1" applyFill="1" applyBorder="1" applyAlignment="1">
      <alignment horizontal="center" vertical="center" wrapText="1"/>
    </xf>
    <xf numFmtId="0" fontId="138" fillId="42" borderId="126" xfId="0" applyFont="1" applyFill="1" applyBorder="1" applyAlignment="1">
      <alignment horizontal="center" vertical="center" wrapText="1"/>
    </xf>
    <xf numFmtId="0" fontId="114" fillId="40" borderId="0" xfId="0" applyFont="1" applyFill="1" applyAlignment="1">
      <alignment horizontal="left" vertical="top"/>
    </xf>
    <xf numFmtId="0" fontId="114" fillId="40" borderId="0" xfId="0" applyFont="1" applyFill="1" applyAlignment="1">
      <alignment horizontal="center" vertical="top"/>
    </xf>
    <xf numFmtId="0" fontId="114" fillId="40" borderId="0" xfId="0" applyFont="1" applyFill="1" applyAlignment="1">
      <alignment horizontal="right" vertical="top" indent="1"/>
    </xf>
    <xf numFmtId="167" fontId="114" fillId="41" borderId="115" xfId="0" applyNumberFormat="1" applyFont="1" applyFill="1" applyBorder="1" applyAlignment="1">
      <alignment horizontal="center" vertical="top"/>
    </xf>
    <xf numFmtId="0" fontId="0" fillId="38" borderId="0" xfId="0" applyFill="1"/>
    <xf numFmtId="0" fontId="140" fillId="0" borderId="0" xfId="0" applyFont="1"/>
    <xf numFmtId="0" fontId="0" fillId="38" borderId="0" xfId="0" applyFill="1" applyAlignment="1">
      <alignment horizontal="left" vertical="top"/>
    </xf>
    <xf numFmtId="0" fontId="0" fillId="38" borderId="0" xfId="0" applyFill="1" applyAlignment="1">
      <alignment horizontal="center" vertical="top"/>
    </xf>
    <xf numFmtId="0" fontId="0" fillId="40" borderId="0" xfId="0" applyFill="1" applyAlignment="1">
      <alignment horizontal="left" vertical="top"/>
    </xf>
    <xf numFmtId="0" fontId="141" fillId="40" borderId="0" xfId="0" applyFont="1" applyFill="1" applyAlignment="1">
      <alignment horizontal="left"/>
    </xf>
    <xf numFmtId="0" fontId="114" fillId="0" borderId="0" xfId="0" applyFont="1" applyAlignment="1">
      <alignment vertical="center" wrapText="1"/>
    </xf>
    <xf numFmtId="0" fontId="114" fillId="38" borderId="0" xfId="0" applyFont="1" applyFill="1" applyAlignment="1">
      <alignment vertical="center" wrapText="1"/>
    </xf>
    <xf numFmtId="0" fontId="0" fillId="40" borderId="0" xfId="0" applyFill="1" applyAlignment="1">
      <alignment horizontal="left" vertical="top" wrapText="1"/>
    </xf>
    <xf numFmtId="0" fontId="0" fillId="38" borderId="0" xfId="0" applyFill="1" applyAlignment="1">
      <alignment horizontal="left" vertical="top" wrapText="1"/>
    </xf>
    <xf numFmtId="0" fontId="78" fillId="40" borderId="0" xfId="0" applyFont="1" applyFill="1" applyAlignment="1">
      <alignment vertical="top" wrapText="1"/>
    </xf>
    <xf numFmtId="0" fontId="142" fillId="40" borderId="0" xfId="0" applyFont="1" applyFill="1" applyAlignment="1">
      <alignment vertical="top" wrapText="1"/>
    </xf>
    <xf numFmtId="0" fontId="127" fillId="40" borderId="0" xfId="0" applyFont="1" applyFill="1" applyAlignment="1">
      <alignment horizontal="left" vertical="top" wrapText="1"/>
    </xf>
    <xf numFmtId="0" fontId="142" fillId="40" borderId="0" xfId="0" applyFont="1" applyFill="1" applyAlignment="1">
      <alignment horizontal="left" vertical="top"/>
    </xf>
    <xf numFmtId="0" fontId="78" fillId="40" borderId="0" xfId="0" applyFont="1" applyFill="1" applyAlignment="1">
      <alignment horizontal="left" vertical="top"/>
    </xf>
    <xf numFmtId="4" fontId="0" fillId="41" borderId="0" xfId="0" applyNumberFormat="1" applyFill="1"/>
    <xf numFmtId="0" fontId="0" fillId="0" borderId="0" xfId="0" applyAlignment="1">
      <alignment horizontal="left" vertical="top"/>
    </xf>
    <xf numFmtId="0" fontId="123" fillId="0" borderId="0" xfId="0" applyFont="1" applyAlignment="1">
      <alignment vertical="center"/>
    </xf>
    <xf numFmtId="0" fontId="117" fillId="0" borderId="0" xfId="75" applyFont="1" applyAlignment="1">
      <alignment horizontal="left"/>
    </xf>
    <xf numFmtId="0" fontId="143" fillId="0" borderId="0" xfId="34" applyFont="1" applyAlignment="1" applyProtection="1">
      <alignment vertical="center"/>
      <protection locked="0"/>
    </xf>
    <xf numFmtId="0" fontId="0" fillId="0" borderId="25" xfId="0" applyBorder="1" applyAlignment="1" applyProtection="1">
      <alignment horizontal="center" vertical="center" wrapText="1"/>
      <protection hidden="1"/>
    </xf>
    <xf numFmtId="0" fontId="0" fillId="0" borderId="25" xfId="0" applyBorder="1" applyAlignment="1" applyProtection="1">
      <alignment horizontal="center" vertical="center"/>
      <protection hidden="1"/>
    </xf>
    <xf numFmtId="0" fontId="20" fillId="0" borderId="25" xfId="0" applyFont="1" applyBorder="1" applyAlignment="1" applyProtection="1">
      <alignment horizontal="center" vertical="center"/>
      <protection hidden="1"/>
    </xf>
    <xf numFmtId="0" fontId="20" fillId="0" borderId="25" xfId="0" applyFont="1" applyBorder="1" applyAlignment="1" applyProtection="1">
      <alignment horizontal="center" vertical="center" wrapText="1"/>
      <protection hidden="1"/>
    </xf>
    <xf numFmtId="0" fontId="20" fillId="42" borderId="20" xfId="0" applyFont="1" applyFill="1" applyBorder="1" applyProtection="1">
      <protection hidden="1"/>
    </xf>
    <xf numFmtId="42" fontId="20" fillId="42" borderId="20" xfId="47" applyNumberFormat="1" applyFont="1" applyFill="1" applyBorder="1" applyProtection="1">
      <protection hidden="1"/>
    </xf>
    <xf numFmtId="0" fontId="144" fillId="42" borderId="28" xfId="0" applyFont="1" applyFill="1" applyBorder="1" applyAlignment="1" applyProtection="1">
      <alignment vertical="center"/>
      <protection hidden="1"/>
    </xf>
    <xf numFmtId="0" fontId="98" fillId="42" borderId="54" xfId="0" applyFont="1" applyFill="1" applyBorder="1" applyAlignment="1" applyProtection="1">
      <alignment vertical="center"/>
      <protection hidden="1"/>
    </xf>
    <xf numFmtId="0" fontId="122" fillId="42" borderId="54" xfId="0" applyFont="1" applyFill="1" applyBorder="1" applyProtection="1">
      <protection hidden="1"/>
    </xf>
    <xf numFmtId="0" fontId="0" fillId="0" borderId="30" xfId="0" applyBorder="1" applyAlignment="1" applyProtection="1">
      <alignment horizontal="center" vertical="center" wrapText="1"/>
      <protection hidden="1"/>
    </xf>
    <xf numFmtId="0" fontId="20" fillId="33" borderId="127" xfId="0" applyFont="1" applyFill="1" applyBorder="1" applyAlignment="1" applyProtection="1">
      <alignment horizontal="center" vertical="center" wrapText="1"/>
      <protection hidden="1"/>
    </xf>
    <xf numFmtId="168" fontId="20" fillId="27" borderId="20" xfId="47" applyNumberFormat="1" applyFont="1" applyFill="1" applyBorder="1" applyProtection="1">
      <protection hidden="1"/>
    </xf>
    <xf numFmtId="0" fontId="20" fillId="0" borderId="57" xfId="0" applyFont="1" applyBorder="1" applyAlignment="1" applyProtection="1">
      <alignment horizontal="center" vertical="center"/>
      <protection locked="0"/>
    </xf>
    <xf numFmtId="0" fontId="20" fillId="0" borderId="25" xfId="0" applyFont="1" applyBorder="1" applyAlignment="1" applyProtection="1">
      <alignment horizontal="center" vertical="center" textRotation="90"/>
      <protection hidden="1"/>
    </xf>
    <xf numFmtId="0" fontId="0" fillId="0" borderId="25" xfId="0" applyBorder="1" applyAlignment="1" applyProtection="1">
      <alignment horizontal="center" vertical="center" textRotation="90" wrapText="1"/>
      <protection hidden="1"/>
    </xf>
    <xf numFmtId="0" fontId="20" fillId="0" borderId="128" xfId="0" applyFont="1" applyBorder="1" applyAlignment="1" applyProtection="1">
      <alignment horizontal="center" vertical="center" wrapText="1"/>
      <protection hidden="1"/>
    </xf>
    <xf numFmtId="0" fontId="20" fillId="42" borderId="42" xfId="0" applyFont="1" applyFill="1" applyBorder="1" applyProtection="1">
      <protection hidden="1"/>
    </xf>
    <xf numFmtId="3" fontId="20" fillId="27" borderId="20" xfId="47" applyNumberFormat="1" applyFont="1" applyFill="1" applyBorder="1" applyAlignment="1" applyProtection="1">
      <alignment horizontal="center"/>
      <protection hidden="1"/>
    </xf>
    <xf numFmtId="166" fontId="20" fillId="27" borderId="20" xfId="47" applyNumberFormat="1" applyFont="1" applyFill="1" applyBorder="1" applyAlignment="1" applyProtection="1">
      <alignment horizontal="center"/>
      <protection hidden="1"/>
    </xf>
    <xf numFmtId="168" fontId="20" fillId="0" borderId="11" xfId="47" applyNumberFormat="1" applyFont="1" applyFill="1" applyBorder="1" applyAlignment="1" applyProtection="1">
      <alignment vertical="center"/>
      <protection locked="0"/>
    </xf>
    <xf numFmtId="168" fontId="20" fillId="41" borderId="11" xfId="47" applyNumberFormat="1" applyFont="1" applyFill="1" applyBorder="1" applyAlignment="1" applyProtection="1">
      <alignment vertical="center"/>
      <protection hidden="1"/>
    </xf>
    <xf numFmtId="0" fontId="20" fillId="38" borderId="11" xfId="0" applyFont="1" applyFill="1" applyBorder="1" applyAlignment="1" applyProtection="1">
      <alignment vertical="center"/>
      <protection locked="0"/>
    </xf>
    <xf numFmtId="0" fontId="110" fillId="0" borderId="0" xfId="0" applyFont="1" applyAlignment="1" applyProtection="1">
      <alignment horizontal="left"/>
      <protection hidden="1"/>
    </xf>
    <xf numFmtId="0" fontId="111" fillId="0" borderId="0" xfId="69" applyFont="1" applyAlignment="1" applyProtection="1">
      <alignment horizontal="left" vertical="center"/>
      <protection hidden="1"/>
    </xf>
    <xf numFmtId="0" fontId="0" fillId="0" borderId="16" xfId="0" applyBorder="1" applyProtection="1">
      <protection hidden="1"/>
    </xf>
    <xf numFmtId="168" fontId="0" fillId="0" borderId="15" xfId="0" applyNumberFormat="1" applyBorder="1" applyProtection="1">
      <protection hidden="1"/>
    </xf>
    <xf numFmtId="168" fontId="0" fillId="0" borderId="29" xfId="0" applyNumberFormat="1" applyBorder="1" applyProtection="1">
      <protection hidden="1"/>
    </xf>
    <xf numFmtId="168" fontId="0" fillId="0" borderId="28" xfId="0" applyNumberFormat="1" applyBorder="1" applyProtection="1">
      <protection hidden="1"/>
    </xf>
    <xf numFmtId="49" fontId="0" fillId="0" borderId="58" xfId="0" applyNumberFormat="1" applyBorder="1" applyProtection="1">
      <protection hidden="1"/>
    </xf>
    <xf numFmtId="14" fontId="0" fillId="0" borderId="15" xfId="0" applyNumberFormat="1" applyBorder="1" applyAlignment="1" applyProtection="1">
      <alignment horizontal="center"/>
      <protection hidden="1"/>
    </xf>
    <xf numFmtId="0" fontId="0" fillId="0" borderId="15" xfId="0" applyBorder="1" applyProtection="1">
      <protection hidden="1"/>
    </xf>
    <xf numFmtId="0" fontId="0" fillId="0" borderId="0" xfId="0" applyAlignment="1" applyProtection="1">
      <alignment wrapText="1"/>
      <protection hidden="1"/>
    </xf>
    <xf numFmtId="0" fontId="0" fillId="0" borderId="25" xfId="0" applyBorder="1" applyAlignment="1" applyProtection="1">
      <alignment wrapText="1"/>
      <protection hidden="1"/>
    </xf>
    <xf numFmtId="168" fontId="0" fillId="0" borderId="25" xfId="0" applyNumberFormat="1" applyBorder="1" applyAlignment="1" applyProtection="1">
      <alignment wrapText="1"/>
      <protection hidden="1"/>
    </xf>
    <xf numFmtId="0" fontId="0" fillId="41" borderId="0" xfId="0" applyFill="1" applyAlignment="1" applyProtection="1">
      <alignment vertical="top"/>
      <protection hidden="1"/>
    </xf>
    <xf numFmtId="0" fontId="127" fillId="38" borderId="0" xfId="0" applyFont="1" applyFill="1" applyAlignment="1" applyProtection="1">
      <alignment vertical="center"/>
      <protection hidden="1"/>
    </xf>
    <xf numFmtId="0" fontId="123" fillId="0" borderId="0" xfId="0" applyFont="1" applyAlignment="1" applyProtection="1">
      <alignment vertical="center"/>
      <protection hidden="1"/>
    </xf>
    <xf numFmtId="0" fontId="123" fillId="41" borderId="0" xfId="0" applyFont="1" applyFill="1" applyAlignment="1" applyProtection="1">
      <alignment vertical="center"/>
      <protection hidden="1"/>
    </xf>
    <xf numFmtId="0" fontId="19" fillId="42" borderId="20" xfId="0" applyFont="1" applyFill="1" applyBorder="1" applyAlignment="1" applyProtection="1">
      <alignment horizontal="center" vertical="center"/>
      <protection hidden="1"/>
    </xf>
    <xf numFmtId="0" fontId="19" fillId="0" borderId="20" xfId="0" applyFont="1" applyBorder="1" applyAlignment="1" applyProtection="1">
      <alignment horizontal="center" vertical="center"/>
      <protection hidden="1"/>
    </xf>
    <xf numFmtId="0" fontId="20" fillId="32" borderId="21" xfId="0" applyFont="1" applyFill="1" applyBorder="1" applyAlignment="1" applyProtection="1">
      <alignment horizontal="center"/>
      <protection hidden="1"/>
    </xf>
    <xf numFmtId="0" fontId="20" fillId="32" borderId="21" xfId="0" applyFont="1" applyFill="1" applyBorder="1" applyProtection="1">
      <protection hidden="1"/>
    </xf>
    <xf numFmtId="0" fontId="24" fillId="32" borderId="21" xfId="0" applyFont="1" applyFill="1" applyBorder="1" applyProtection="1">
      <protection hidden="1"/>
    </xf>
    <xf numFmtId="0" fontId="20" fillId="30" borderId="0" xfId="0" applyFont="1" applyFill="1" applyProtection="1">
      <protection hidden="1"/>
    </xf>
    <xf numFmtId="0" fontId="19" fillId="0" borderId="0" xfId="0" applyFont="1" applyAlignment="1" applyProtection="1">
      <alignment horizontal="center" vertical="center"/>
      <protection hidden="1"/>
    </xf>
    <xf numFmtId="0" fontId="20" fillId="0" borderId="0" xfId="0" applyFont="1" applyAlignment="1" applyProtection="1">
      <alignment horizontal="center"/>
      <protection hidden="1"/>
    </xf>
    <xf numFmtId="0" fontId="24" fillId="0" borderId="0" xfId="0" applyFont="1" applyProtection="1">
      <protection hidden="1"/>
    </xf>
    <xf numFmtId="0" fontId="9" fillId="0" borderId="0" xfId="0" applyFont="1" applyProtection="1">
      <protection hidden="1"/>
    </xf>
    <xf numFmtId="0" fontId="33" fillId="0" borderId="0" xfId="0" applyFont="1" applyProtection="1">
      <protection hidden="1"/>
    </xf>
    <xf numFmtId="0" fontId="0" fillId="0" borderId="0" xfId="0" applyAlignment="1" applyProtection="1">
      <alignment horizontal="left" vertical="center"/>
      <protection hidden="1"/>
    </xf>
    <xf numFmtId="0" fontId="14" fillId="0" borderId="0" xfId="0" applyFont="1" applyProtection="1">
      <protection hidden="1"/>
    </xf>
    <xf numFmtId="0" fontId="0" fillId="0" borderId="0" xfId="0" applyAlignment="1" applyProtection="1">
      <alignment horizontal="center"/>
      <protection hidden="1"/>
    </xf>
    <xf numFmtId="0" fontId="8" fillId="0" borderId="11" xfId="0" applyFont="1" applyBorder="1" applyAlignment="1" applyProtection="1">
      <alignment horizontal="left" vertical="top" wrapText="1"/>
      <protection locked="0"/>
    </xf>
    <xf numFmtId="0" fontId="8" fillId="0" borderId="11" xfId="0" applyFont="1" applyBorder="1" applyAlignment="1" applyProtection="1">
      <alignment horizontal="center" vertical="center" wrapText="1"/>
      <protection locked="0"/>
    </xf>
    <xf numFmtId="4" fontId="113" fillId="0" borderId="11" xfId="0" applyNumberFormat="1" applyFont="1" applyBorder="1" applyAlignment="1" applyProtection="1">
      <alignment horizontal="left" vertical="center" shrinkToFit="1"/>
      <protection locked="0"/>
    </xf>
    <xf numFmtId="2" fontId="113" fillId="0" borderId="11" xfId="0" applyNumberFormat="1" applyFont="1" applyBorder="1" applyAlignment="1" applyProtection="1">
      <alignment horizontal="left" vertical="center" shrinkToFit="1"/>
      <protection locked="0"/>
    </xf>
    <xf numFmtId="0" fontId="8" fillId="0" borderId="11" xfId="0" applyFont="1" applyBorder="1" applyAlignment="1" applyProtection="1">
      <alignment horizontal="left" vertical="center" wrapText="1"/>
      <protection locked="0"/>
    </xf>
    <xf numFmtId="3" fontId="113" fillId="0" borderId="11" xfId="0" applyNumberFormat="1" applyFont="1" applyBorder="1" applyAlignment="1" applyProtection="1">
      <alignment horizontal="left" vertical="center" shrinkToFit="1"/>
      <protection locked="0"/>
    </xf>
    <xf numFmtId="165" fontId="113" fillId="0" borderId="11" xfId="0" applyNumberFormat="1" applyFont="1" applyBorder="1" applyAlignment="1" applyProtection="1">
      <alignment horizontal="left" vertical="center" shrinkToFit="1"/>
      <protection locked="0"/>
    </xf>
    <xf numFmtId="181" fontId="113" fillId="0" borderId="11" xfId="0" applyNumberFormat="1" applyFont="1" applyBorder="1" applyAlignment="1" applyProtection="1">
      <alignment horizontal="left" vertical="center" shrinkToFit="1"/>
      <protection locked="0"/>
    </xf>
    <xf numFmtId="1" fontId="113" fillId="0" borderId="11" xfId="0" applyNumberFormat="1" applyFont="1" applyBorder="1" applyAlignment="1" applyProtection="1">
      <alignment horizontal="left" vertical="center" shrinkToFit="1"/>
      <protection locked="0"/>
    </xf>
    <xf numFmtId="0" fontId="8" fillId="0" borderId="11" xfId="0" applyFont="1" applyBorder="1" applyAlignment="1" applyProtection="1">
      <alignment horizontal="left" vertical="center"/>
      <protection locked="0"/>
    </xf>
    <xf numFmtId="0" fontId="8" fillId="0" borderId="18" xfId="0" applyFont="1" applyBorder="1" applyProtection="1">
      <protection locked="0"/>
    </xf>
    <xf numFmtId="0" fontId="8" fillId="0" borderId="25" xfId="0" applyFont="1" applyBorder="1" applyProtection="1">
      <protection locked="0"/>
    </xf>
    <xf numFmtId="168" fontId="8" fillId="0" borderId="25" xfId="0" applyNumberFormat="1" applyFont="1" applyBorder="1" applyProtection="1">
      <protection locked="0"/>
    </xf>
    <xf numFmtId="168" fontId="8" fillId="0" borderId="27" xfId="0" applyNumberFormat="1" applyFont="1" applyBorder="1" applyProtection="1">
      <protection locked="0"/>
    </xf>
    <xf numFmtId="0" fontId="143" fillId="0" borderId="0" xfId="34" applyFont="1" applyAlignment="1" applyProtection="1">
      <alignment horizontal="left" vertical="center"/>
      <protection locked="0"/>
    </xf>
    <xf numFmtId="0" fontId="123" fillId="0" borderId="0" xfId="0" applyFont="1" applyAlignment="1">
      <alignment horizontal="left" vertical="center" wrapText="1"/>
    </xf>
    <xf numFmtId="0" fontId="123" fillId="0" borderId="0" xfId="0" applyFont="1" applyAlignment="1">
      <alignment horizontal="left" vertical="center"/>
    </xf>
    <xf numFmtId="0" fontId="9" fillId="24" borderId="0" xfId="0" applyFont="1" applyFill="1" applyAlignment="1">
      <alignment horizontal="left" wrapText="1"/>
    </xf>
    <xf numFmtId="0" fontId="9" fillId="24" borderId="0" xfId="0" applyFont="1" applyFill="1" applyAlignment="1">
      <alignment horizontal="left"/>
    </xf>
    <xf numFmtId="171" fontId="0" fillId="41" borderId="0" xfId="0" applyNumberFormat="1" applyFill="1" applyAlignment="1">
      <alignment horizontal="center"/>
    </xf>
    <xf numFmtId="171" fontId="14" fillId="24" borderId="23" xfId="0" applyNumberFormat="1" applyFont="1" applyFill="1" applyBorder="1" applyAlignment="1">
      <alignment horizontal="center" vertical="center"/>
    </xf>
    <xf numFmtId="171" fontId="14" fillId="24" borderId="53" xfId="0" applyNumberFormat="1" applyFont="1" applyFill="1" applyBorder="1" applyAlignment="1">
      <alignment horizontal="center" vertical="center"/>
    </xf>
    <xf numFmtId="171" fontId="14" fillId="24" borderId="57" xfId="0" applyNumberFormat="1" applyFont="1" applyFill="1" applyBorder="1" applyAlignment="1">
      <alignment horizontal="center" vertical="center"/>
    </xf>
    <xf numFmtId="172" fontId="14" fillId="27" borderId="53" xfId="0" applyNumberFormat="1" applyFont="1" applyFill="1" applyBorder="1" applyAlignment="1">
      <alignment horizontal="center" vertical="center"/>
    </xf>
    <xf numFmtId="172" fontId="14" fillId="27" borderId="57" xfId="0" applyNumberFormat="1" applyFont="1" applyFill="1" applyBorder="1" applyAlignment="1">
      <alignment horizontal="center" vertical="center"/>
    </xf>
    <xf numFmtId="0" fontId="28" fillId="0" borderId="12" xfId="0" applyFont="1" applyBorder="1" applyAlignment="1">
      <alignment horizontal="center"/>
    </xf>
    <xf numFmtId="0" fontId="28" fillId="0" borderId="13" xfId="0" applyFont="1" applyBorder="1" applyAlignment="1">
      <alignment horizontal="center"/>
    </xf>
    <xf numFmtId="0" fontId="31" fillId="24" borderId="10" xfId="0" applyFont="1" applyFill="1" applyBorder="1" applyAlignment="1">
      <alignment horizontal="center"/>
    </xf>
    <xf numFmtId="0" fontId="31" fillId="24" borderId="0" xfId="0" applyFont="1" applyFill="1" applyAlignment="1">
      <alignment horizontal="center"/>
    </xf>
    <xf numFmtId="0" fontId="3" fillId="24" borderId="55" xfId="0" applyFont="1" applyFill="1" applyBorder="1" applyAlignment="1" applyProtection="1">
      <alignment horizontal="center" vertical="center"/>
      <protection locked="0"/>
    </xf>
    <xf numFmtId="0" fontId="98" fillId="42" borderId="103" xfId="0" applyFont="1" applyFill="1" applyBorder="1" applyAlignment="1">
      <alignment horizontal="center" vertical="center" textRotation="90"/>
    </xf>
    <xf numFmtId="0" fontId="98" fillId="42" borderId="152" xfId="0" applyFont="1" applyFill="1" applyBorder="1" applyAlignment="1">
      <alignment horizontal="center" vertical="center" textRotation="90"/>
    </xf>
    <xf numFmtId="0" fontId="98" fillId="42" borderId="153" xfId="0" applyFont="1" applyFill="1" applyBorder="1" applyAlignment="1">
      <alignment horizontal="center" vertical="center" textRotation="90"/>
    </xf>
    <xf numFmtId="0" fontId="9" fillId="24" borderId="0" xfId="0" applyFont="1" applyFill="1" applyAlignment="1">
      <alignment horizontal="left" vertical="center" wrapText="1"/>
    </xf>
    <xf numFmtId="14" fontId="8" fillId="0" borderId="23" xfId="0" applyNumberFormat="1" applyFont="1" applyBorder="1" applyAlignment="1" applyProtection="1">
      <alignment horizontal="center"/>
      <protection locked="0"/>
    </xf>
    <xf numFmtId="14" fontId="0" fillId="0" borderId="53" xfId="0" applyNumberFormat="1" applyBorder="1" applyAlignment="1" applyProtection="1">
      <alignment horizontal="center"/>
      <protection locked="0"/>
    </xf>
    <xf numFmtId="14" fontId="0" fillId="0" borderId="57" xfId="0" applyNumberFormat="1" applyBorder="1" applyAlignment="1" applyProtection="1">
      <alignment horizontal="center"/>
      <protection locked="0"/>
    </xf>
    <xf numFmtId="49" fontId="8" fillId="0" borderId="23" xfId="0" applyNumberFormat="1" applyFont="1" applyBorder="1" applyAlignment="1" applyProtection="1">
      <alignment horizontal="center"/>
      <protection locked="0"/>
    </xf>
    <xf numFmtId="49" fontId="0" fillId="0" borderId="53" xfId="0" applyNumberFormat="1" applyBorder="1" applyAlignment="1" applyProtection="1">
      <alignment horizontal="center"/>
      <protection locked="0"/>
    </xf>
    <xf numFmtId="49" fontId="0" fillId="0" borderId="57" xfId="0" applyNumberFormat="1" applyBorder="1" applyAlignment="1" applyProtection="1">
      <alignment horizontal="center"/>
      <protection locked="0"/>
    </xf>
    <xf numFmtId="0" fontId="9" fillId="24" borderId="17" xfId="0" applyFont="1" applyFill="1" applyBorder="1" applyAlignment="1">
      <alignment horizontal="left" wrapText="1"/>
    </xf>
    <xf numFmtId="171" fontId="9" fillId="0" borderId="11" xfId="0" applyNumberFormat="1" applyFont="1" applyBorder="1" applyAlignment="1">
      <alignment horizontal="right" vertical="center"/>
    </xf>
    <xf numFmtId="171" fontId="9" fillId="41" borderId="55" xfId="0" applyNumberFormat="1" applyFont="1" applyFill="1" applyBorder="1" applyAlignment="1">
      <alignment horizontal="right" vertical="center"/>
    </xf>
    <xf numFmtId="171" fontId="9" fillId="41" borderId="42" xfId="0" applyNumberFormat="1" applyFont="1" applyFill="1" applyBorder="1" applyAlignment="1">
      <alignment horizontal="right" vertical="center"/>
    </xf>
    <xf numFmtId="0" fontId="9" fillId="36" borderId="11" xfId="0" applyFont="1" applyFill="1" applyBorder="1" applyAlignment="1">
      <alignment horizontal="center" vertical="center"/>
    </xf>
    <xf numFmtId="0" fontId="3" fillId="40" borderId="13" xfId="0" applyFont="1" applyFill="1" applyBorder="1" applyAlignment="1">
      <alignment horizontal="center" vertical="center"/>
    </xf>
    <xf numFmtId="171" fontId="11" fillId="41" borderId="23" xfId="0" applyNumberFormat="1" applyFont="1" applyFill="1" applyBorder="1" applyAlignment="1">
      <alignment horizontal="right" vertical="center"/>
    </xf>
    <xf numFmtId="171" fontId="11" fillId="41" borderId="53" xfId="0" applyNumberFormat="1" applyFont="1" applyFill="1" applyBorder="1" applyAlignment="1">
      <alignment horizontal="right" vertical="center"/>
    </xf>
    <xf numFmtId="171" fontId="11" fillId="41" borderId="57" xfId="0" applyNumberFormat="1" applyFont="1" applyFill="1" applyBorder="1" applyAlignment="1">
      <alignment horizontal="right" vertical="center"/>
    </xf>
    <xf numFmtId="171" fontId="9" fillId="38" borderId="23" xfId="0" applyNumberFormat="1" applyFont="1" applyFill="1" applyBorder="1" applyAlignment="1" applyProtection="1">
      <alignment horizontal="center" vertical="center"/>
      <protection locked="0"/>
    </xf>
    <xf numFmtId="171" fontId="9" fillId="38" borderId="53" xfId="0" applyNumberFormat="1" applyFont="1" applyFill="1" applyBorder="1" applyAlignment="1" applyProtection="1">
      <alignment horizontal="center" vertical="center"/>
      <protection locked="0"/>
    </xf>
    <xf numFmtId="171" fontId="9" fillId="38" borderId="143" xfId="0" applyNumberFormat="1" applyFont="1" applyFill="1" applyBorder="1" applyAlignment="1" applyProtection="1">
      <alignment horizontal="center" vertical="center"/>
      <protection locked="0"/>
    </xf>
    <xf numFmtId="0" fontId="125" fillId="42" borderId="79" xfId="0" applyFont="1" applyFill="1" applyBorder="1" applyAlignment="1">
      <alignment horizontal="center"/>
    </xf>
    <xf numFmtId="0" fontId="125" fillId="42" borderId="80" xfId="0" applyFont="1" applyFill="1" applyBorder="1" applyAlignment="1">
      <alignment horizontal="center"/>
    </xf>
    <xf numFmtId="0" fontId="125" fillId="42" borderId="81" xfId="0" applyFont="1" applyFill="1" applyBorder="1" applyAlignment="1">
      <alignment horizontal="center"/>
    </xf>
    <xf numFmtId="0" fontId="9" fillId="0" borderId="23" xfId="0" applyFont="1" applyBorder="1" applyAlignment="1">
      <alignment horizontal="center"/>
    </xf>
    <xf numFmtId="0" fontId="9" fillId="0" borderId="53" xfId="0" applyFont="1" applyBorder="1" applyAlignment="1">
      <alignment horizontal="center"/>
    </xf>
    <xf numFmtId="0" fontId="9" fillId="0" borderId="57" xfId="0" applyFont="1" applyBorder="1" applyAlignment="1">
      <alignment horizontal="center"/>
    </xf>
    <xf numFmtId="0" fontId="11" fillId="53" borderId="57" xfId="0" applyFont="1" applyFill="1" applyBorder="1" applyAlignment="1">
      <alignment horizontal="center" vertical="center"/>
    </xf>
    <xf numFmtId="0" fontId="11" fillId="53" borderId="11" xfId="0" applyFont="1" applyFill="1" applyBorder="1" applyAlignment="1">
      <alignment horizontal="center" vertical="center"/>
    </xf>
    <xf numFmtId="0" fontId="11" fillId="53" borderId="23" xfId="0" applyFont="1" applyFill="1" applyBorder="1" applyAlignment="1">
      <alignment horizontal="center" vertical="center"/>
    </xf>
    <xf numFmtId="9" fontId="9" fillId="36" borderId="11" xfId="0" applyNumberFormat="1" applyFont="1" applyFill="1" applyBorder="1" applyAlignment="1">
      <alignment horizontal="center" vertical="center"/>
    </xf>
    <xf numFmtId="0" fontId="19" fillId="36" borderId="72" xfId="0" applyFont="1" applyFill="1" applyBorder="1" applyAlignment="1">
      <alignment horizontal="center" vertical="center" textRotation="90"/>
    </xf>
    <xf numFmtId="0" fontId="19" fillId="36" borderId="78" xfId="0" applyFont="1" applyFill="1" applyBorder="1" applyAlignment="1">
      <alignment horizontal="center" vertical="center" textRotation="90"/>
    </xf>
    <xf numFmtId="0" fontId="11" fillId="38" borderId="164" xfId="0" applyFont="1" applyFill="1" applyBorder="1" applyAlignment="1" applyProtection="1">
      <alignment horizontal="left" vertical="center"/>
      <protection locked="0"/>
    </xf>
    <xf numFmtId="0" fontId="11" fillId="38" borderId="161" xfId="0" applyFont="1" applyFill="1" applyBorder="1" applyAlignment="1" applyProtection="1">
      <alignment horizontal="left" vertical="center"/>
      <protection locked="0"/>
    </xf>
    <xf numFmtId="0" fontId="11" fillId="38" borderId="163" xfId="0" applyFont="1" applyFill="1" applyBorder="1" applyAlignment="1" applyProtection="1">
      <alignment horizontal="left" vertical="center"/>
      <protection locked="0"/>
    </xf>
    <xf numFmtId="0" fontId="11" fillId="33" borderId="23" xfId="0" applyFont="1" applyFill="1" applyBorder="1" applyAlignment="1">
      <alignment horizontal="left" vertical="center"/>
    </xf>
    <xf numFmtId="0" fontId="11" fillId="33" borderId="53" xfId="0" applyFont="1" applyFill="1" applyBorder="1" applyAlignment="1">
      <alignment horizontal="left" vertical="center"/>
    </xf>
    <xf numFmtId="0" fontId="11" fillId="33" borderId="57" xfId="0" applyFont="1" applyFill="1" applyBorder="1" applyAlignment="1">
      <alignment horizontal="left" vertical="center"/>
    </xf>
    <xf numFmtId="0" fontId="125" fillId="42" borderId="28" xfId="0" applyFont="1" applyFill="1" applyBorder="1" applyAlignment="1">
      <alignment horizontal="center" vertical="center"/>
    </xf>
    <xf numFmtId="0" fontId="125" fillId="42" borderId="54" xfId="0" applyFont="1" applyFill="1" applyBorder="1" applyAlignment="1">
      <alignment horizontal="center" vertical="center"/>
    </xf>
    <xf numFmtId="0" fontId="125" fillId="42" borderId="29" xfId="0" applyFont="1" applyFill="1" applyBorder="1" applyAlignment="1">
      <alignment horizontal="center" vertical="center"/>
    </xf>
    <xf numFmtId="171" fontId="9" fillId="41" borderId="56" xfId="0" applyNumberFormat="1" applyFont="1" applyFill="1" applyBorder="1" applyAlignment="1">
      <alignment horizontal="right" vertical="center"/>
    </xf>
    <xf numFmtId="0" fontId="14" fillId="24" borderId="23" xfId="0" applyFont="1" applyFill="1" applyBorder="1" applyAlignment="1">
      <alignment horizontal="center" vertical="center"/>
    </xf>
    <xf numFmtId="0" fontId="14" fillId="24" borderId="53" xfId="0" applyFont="1" applyFill="1" applyBorder="1" applyAlignment="1">
      <alignment horizontal="center" vertical="center"/>
    </xf>
    <xf numFmtId="0" fontId="14" fillId="24" borderId="57" xfId="0" applyFont="1" applyFill="1" applyBorder="1" applyAlignment="1">
      <alignment horizontal="center" vertical="center"/>
    </xf>
    <xf numFmtId="171" fontId="9" fillId="41" borderId="30" xfId="0" applyNumberFormat="1" applyFont="1" applyFill="1" applyBorder="1" applyAlignment="1">
      <alignment horizontal="right" vertical="center"/>
    </xf>
    <xf numFmtId="171" fontId="9" fillId="41" borderId="0" xfId="0" applyNumberFormat="1" applyFont="1" applyFill="1" applyAlignment="1">
      <alignment horizontal="right" vertical="center"/>
    </xf>
    <xf numFmtId="171" fontId="9" fillId="41" borderId="27" xfId="0" applyNumberFormat="1" applyFont="1" applyFill="1" applyBorder="1" applyAlignment="1">
      <alignment horizontal="right" vertical="center"/>
    </xf>
    <xf numFmtId="0" fontId="0" fillId="24" borderId="73" xfId="0" applyFill="1" applyBorder="1" applyAlignment="1">
      <alignment horizontal="center"/>
    </xf>
    <xf numFmtId="0" fontId="33" fillId="36" borderId="11" xfId="0" applyFont="1" applyFill="1" applyBorder="1" applyAlignment="1">
      <alignment horizontal="center"/>
    </xf>
    <xf numFmtId="0" fontId="125" fillId="42" borderId="23" xfId="0" applyFont="1" applyFill="1" applyBorder="1" applyAlignment="1">
      <alignment horizontal="center" vertical="center" wrapText="1"/>
    </xf>
    <xf numFmtId="0" fontId="125" fillId="42" borderId="53" xfId="0" applyFont="1" applyFill="1" applyBorder="1" applyAlignment="1">
      <alignment horizontal="center" vertical="center" wrapText="1"/>
    </xf>
    <xf numFmtId="0" fontId="125" fillId="42" borderId="57" xfId="0" applyFont="1" applyFill="1" applyBorder="1" applyAlignment="1">
      <alignment horizontal="center" vertical="center" wrapText="1"/>
    </xf>
    <xf numFmtId="171" fontId="9" fillId="27" borderId="28" xfId="0" applyNumberFormat="1" applyFont="1" applyFill="1" applyBorder="1" applyAlignment="1">
      <alignment horizontal="center" vertical="center"/>
    </xf>
    <xf numFmtId="171" fontId="9" fillId="27" borderId="54" xfId="0" applyNumberFormat="1" applyFont="1" applyFill="1" applyBorder="1" applyAlignment="1">
      <alignment horizontal="center" vertical="center"/>
    </xf>
    <xf numFmtId="171" fontId="9" fillId="27" borderId="29" xfId="0" applyNumberFormat="1" applyFont="1" applyFill="1" applyBorder="1" applyAlignment="1">
      <alignment horizontal="center" vertical="center"/>
    </xf>
    <xf numFmtId="171" fontId="9" fillId="27" borderId="30" xfId="0" applyNumberFormat="1" applyFont="1" applyFill="1" applyBorder="1" applyAlignment="1">
      <alignment horizontal="center" vertical="center"/>
    </xf>
    <xf numFmtId="171" fontId="9" fillId="27" borderId="0" xfId="0" applyNumberFormat="1" applyFont="1" applyFill="1" applyAlignment="1">
      <alignment horizontal="center" vertical="center"/>
    </xf>
    <xf numFmtId="171" fontId="9" fillId="27" borderId="27" xfId="0" applyNumberFormat="1" applyFont="1" applyFill="1" applyBorder="1" applyAlignment="1">
      <alignment horizontal="center" vertical="center"/>
    </xf>
    <xf numFmtId="171" fontId="9" fillId="27" borderId="43" xfId="0" applyNumberFormat="1" applyFont="1" applyFill="1" applyBorder="1" applyAlignment="1">
      <alignment horizontal="center" vertical="center"/>
    </xf>
    <xf numFmtId="171" fontId="9" fillId="27" borderId="55" xfId="0" applyNumberFormat="1" applyFont="1" applyFill="1" applyBorder="1" applyAlignment="1">
      <alignment horizontal="center" vertical="center"/>
    </xf>
    <xf numFmtId="171" fontId="9" fillId="27" borderId="42" xfId="0" applyNumberFormat="1" applyFont="1" applyFill="1" applyBorder="1" applyAlignment="1">
      <alignment horizontal="center" vertical="center"/>
    </xf>
    <xf numFmtId="0" fontId="33" fillId="27" borderId="11" xfId="0" applyFont="1" applyFill="1" applyBorder="1" applyAlignment="1">
      <alignment horizontal="center"/>
    </xf>
    <xf numFmtId="0" fontId="9" fillId="24" borderId="23" xfId="0" applyFont="1" applyFill="1" applyBorder="1" applyAlignment="1">
      <alignment horizontal="left" vertical="center"/>
    </xf>
    <xf numFmtId="0" fontId="9" fillId="24" borderId="53" xfId="0" applyFont="1" applyFill="1" applyBorder="1" applyAlignment="1">
      <alignment horizontal="left" vertical="center"/>
    </xf>
    <xf numFmtId="0" fontId="9" fillId="24" borderId="57" xfId="0" applyFont="1" applyFill="1" applyBorder="1" applyAlignment="1">
      <alignment horizontal="left" vertical="center"/>
    </xf>
    <xf numFmtId="0" fontId="9" fillId="24" borderId="82" xfId="0" applyFont="1" applyFill="1" applyBorder="1" applyAlignment="1" applyProtection="1">
      <alignment horizontal="left" vertical="center"/>
      <protection locked="0"/>
    </xf>
    <xf numFmtId="0" fontId="9" fillId="24" borderId="56" xfId="0" applyFont="1" applyFill="1" applyBorder="1" applyAlignment="1" applyProtection="1">
      <alignment horizontal="left" vertical="center"/>
      <protection locked="0"/>
    </xf>
    <xf numFmtId="0" fontId="9" fillId="24" borderId="83" xfId="0" applyFont="1" applyFill="1" applyBorder="1" applyAlignment="1" applyProtection="1">
      <alignment horizontal="left" vertical="center"/>
      <protection locked="0"/>
    </xf>
    <xf numFmtId="0" fontId="3" fillId="38" borderId="82" xfId="0" applyFont="1" applyFill="1" applyBorder="1" applyAlignment="1" applyProtection="1">
      <alignment horizontal="center" vertical="center"/>
      <protection locked="0"/>
    </xf>
    <xf numFmtId="0" fontId="3" fillId="38" borderId="56" xfId="0" applyFont="1" applyFill="1" applyBorder="1" applyAlignment="1" applyProtection="1">
      <alignment horizontal="center" vertical="center"/>
      <protection locked="0"/>
    </xf>
    <xf numFmtId="0" fontId="3" fillId="38" borderId="83" xfId="0" applyFont="1" applyFill="1" applyBorder="1" applyAlignment="1" applyProtection="1">
      <alignment horizontal="center" vertical="center"/>
      <protection locked="0"/>
    </xf>
    <xf numFmtId="0" fontId="33" fillId="26" borderId="23" xfId="0" applyFont="1" applyFill="1" applyBorder="1" applyAlignment="1">
      <alignment horizontal="center" vertical="center"/>
    </xf>
    <xf numFmtId="0" fontId="33" fillId="26" borderId="53" xfId="0" applyFont="1" applyFill="1" applyBorder="1" applyAlignment="1">
      <alignment horizontal="center" vertical="center"/>
    </xf>
    <xf numFmtId="0" fontId="33" fillId="26" borderId="57" xfId="0" applyFont="1" applyFill="1" applyBorder="1" applyAlignment="1">
      <alignment horizontal="center" vertical="center"/>
    </xf>
    <xf numFmtId="0" fontId="37" fillId="27" borderId="11" xfId="0" applyFont="1" applyFill="1" applyBorder="1" applyAlignment="1">
      <alignment horizontal="center" vertical="center"/>
    </xf>
    <xf numFmtId="0" fontId="11" fillId="38" borderId="145" xfId="0" applyFont="1" applyFill="1" applyBorder="1" applyAlignment="1" applyProtection="1">
      <alignment horizontal="left" vertical="center"/>
      <protection locked="0"/>
    </xf>
    <xf numFmtId="0" fontId="11" fillId="38" borderId="146" xfId="0" applyFont="1" applyFill="1" applyBorder="1" applyAlignment="1" applyProtection="1">
      <alignment horizontal="left" vertical="center"/>
      <protection locked="0"/>
    </xf>
    <xf numFmtId="0" fontId="11" fillId="38" borderId="147" xfId="0" applyFont="1" applyFill="1" applyBorder="1" applyAlignment="1" applyProtection="1">
      <alignment horizontal="left" vertical="center"/>
      <protection locked="0"/>
    </xf>
    <xf numFmtId="171" fontId="33" fillId="0" borderId="23" xfId="0" applyNumberFormat="1" applyFont="1" applyBorder="1" applyAlignment="1">
      <alignment horizontal="center" vertical="center"/>
    </xf>
    <xf numFmtId="171" fontId="33" fillId="0" borderId="53" xfId="0" applyNumberFormat="1" applyFont="1" applyBorder="1" applyAlignment="1">
      <alignment horizontal="center" vertical="center"/>
    </xf>
    <xf numFmtId="171" fontId="33" fillId="0" borderId="57" xfId="0" applyNumberFormat="1" applyFont="1" applyBorder="1" applyAlignment="1">
      <alignment horizontal="center" vertical="center"/>
    </xf>
    <xf numFmtId="0" fontId="9" fillId="24" borderId="84" xfId="0" applyFont="1" applyFill="1" applyBorder="1" applyAlignment="1" applyProtection="1">
      <alignment horizontal="left" vertical="center"/>
      <protection locked="0"/>
    </xf>
    <xf numFmtId="166" fontId="33" fillId="24" borderId="11" xfId="0" applyNumberFormat="1" applyFont="1" applyFill="1" applyBorder="1" applyAlignment="1">
      <alignment horizontal="center" vertical="center"/>
    </xf>
    <xf numFmtId="0" fontId="37" fillId="0" borderId="23" xfId="0" applyFont="1" applyBorder="1" applyAlignment="1">
      <alignment horizontal="left" vertical="center"/>
    </xf>
    <xf numFmtId="0" fontId="37" fillId="0" borderId="53" xfId="0" applyFont="1" applyBorder="1" applyAlignment="1">
      <alignment horizontal="left" vertical="center"/>
    </xf>
    <xf numFmtId="0" fontId="37" fillId="0" borderId="57" xfId="0" applyFont="1" applyBorder="1" applyAlignment="1">
      <alignment horizontal="left" vertical="center"/>
    </xf>
    <xf numFmtId="0" fontId="34" fillId="36" borderId="11" xfId="0" applyFont="1" applyFill="1" applyBorder="1" applyAlignment="1">
      <alignment horizontal="center" vertical="center"/>
    </xf>
    <xf numFmtId="0" fontId="9" fillId="48" borderId="23" xfId="0" applyFont="1" applyFill="1" applyBorder="1" applyAlignment="1">
      <alignment horizontal="center" vertical="center"/>
    </xf>
    <xf numFmtId="0" fontId="9" fillId="48" borderId="53" xfId="0" applyFont="1" applyFill="1" applyBorder="1" applyAlignment="1">
      <alignment horizontal="center" vertical="center"/>
    </xf>
    <xf numFmtId="0" fontId="9" fillId="48" borderId="57" xfId="0" applyFont="1" applyFill="1" applyBorder="1" applyAlignment="1">
      <alignment horizontal="center" vertical="center"/>
    </xf>
    <xf numFmtId="0" fontId="33" fillId="0" borderId="11" xfId="0" applyFont="1" applyBorder="1" applyAlignment="1">
      <alignment horizontal="center"/>
    </xf>
    <xf numFmtId="166" fontId="33" fillId="24" borderId="23" xfId="0" applyNumberFormat="1" applyFont="1" applyFill="1" applyBorder="1" applyAlignment="1">
      <alignment horizontal="center" vertical="center"/>
    </xf>
    <xf numFmtId="166" fontId="33" fillId="24" borderId="53" xfId="0" applyNumberFormat="1" applyFont="1" applyFill="1" applyBorder="1" applyAlignment="1">
      <alignment horizontal="center" vertical="center"/>
    </xf>
    <xf numFmtId="166" fontId="33" fillId="24" borderId="57" xfId="0" applyNumberFormat="1" applyFont="1" applyFill="1" applyBorder="1" applyAlignment="1">
      <alignment horizontal="center" vertical="center"/>
    </xf>
    <xf numFmtId="0" fontId="9" fillId="24" borderId="132" xfId="0" applyFont="1" applyFill="1" applyBorder="1" applyAlignment="1" applyProtection="1">
      <alignment vertical="center"/>
      <protection locked="0"/>
    </xf>
    <xf numFmtId="0" fontId="33" fillId="24" borderId="133" xfId="0" applyFont="1" applyFill="1" applyBorder="1" applyAlignment="1" applyProtection="1">
      <alignment vertical="center"/>
      <protection locked="0"/>
    </xf>
    <xf numFmtId="0" fontId="33" fillId="24" borderId="134" xfId="0" applyFont="1" applyFill="1" applyBorder="1" applyAlignment="1" applyProtection="1">
      <alignment vertical="center"/>
      <protection locked="0"/>
    </xf>
    <xf numFmtId="174" fontId="9" fillId="53" borderId="23" xfId="0" applyNumberFormat="1" applyFont="1" applyFill="1" applyBorder="1" applyAlignment="1">
      <alignment horizontal="center" vertical="center"/>
    </xf>
    <xf numFmtId="174" fontId="9" fillId="53" borderId="53" xfId="0" applyNumberFormat="1" applyFont="1" applyFill="1" applyBorder="1" applyAlignment="1">
      <alignment horizontal="center" vertical="center"/>
    </xf>
    <xf numFmtId="174" fontId="9" fillId="53" borderId="57" xfId="0" applyNumberFormat="1" applyFont="1" applyFill="1" applyBorder="1" applyAlignment="1">
      <alignment horizontal="center" vertical="center"/>
    </xf>
    <xf numFmtId="175" fontId="9" fillId="53" borderId="23" xfId="0" applyNumberFormat="1" applyFont="1" applyFill="1" applyBorder="1" applyAlignment="1">
      <alignment horizontal="center" vertical="center"/>
    </xf>
    <xf numFmtId="175" fontId="9" fillId="53" borderId="53" xfId="0" applyNumberFormat="1" applyFont="1" applyFill="1" applyBorder="1" applyAlignment="1">
      <alignment horizontal="center" vertical="center"/>
    </xf>
    <xf numFmtId="175" fontId="9" fillId="53" borderId="57" xfId="0" applyNumberFormat="1" applyFont="1" applyFill="1" applyBorder="1" applyAlignment="1">
      <alignment horizontal="center" vertical="center"/>
    </xf>
    <xf numFmtId="3" fontId="9" fillId="53" borderId="23" xfId="0" applyNumberFormat="1" applyFont="1" applyFill="1" applyBorder="1" applyAlignment="1">
      <alignment horizontal="center" vertical="center"/>
    </xf>
    <xf numFmtId="3" fontId="9" fillId="53" borderId="53" xfId="0" applyNumberFormat="1" applyFont="1" applyFill="1" applyBorder="1" applyAlignment="1">
      <alignment horizontal="center" vertical="center"/>
    </xf>
    <xf numFmtId="3" fontId="9" fillId="53" borderId="57" xfId="0" applyNumberFormat="1" applyFont="1" applyFill="1" applyBorder="1" applyAlignment="1">
      <alignment horizontal="center" vertical="center"/>
    </xf>
    <xf numFmtId="166" fontId="9" fillId="38" borderId="23" xfId="0" applyNumberFormat="1" applyFont="1" applyFill="1" applyBorder="1" applyAlignment="1" applyProtection="1">
      <alignment horizontal="center" vertical="center"/>
      <protection locked="0"/>
    </xf>
    <xf numFmtId="166" fontId="9" fillId="38" borderId="53" xfId="0" applyNumberFormat="1" applyFont="1" applyFill="1" applyBorder="1" applyAlignment="1" applyProtection="1">
      <alignment horizontal="center" vertical="center"/>
      <protection locked="0"/>
    </xf>
    <xf numFmtId="166" fontId="9" fillId="38" borderId="57" xfId="0" applyNumberFormat="1" applyFont="1" applyFill="1" applyBorder="1" applyAlignment="1" applyProtection="1">
      <alignment horizontal="center" vertical="center"/>
      <protection locked="0"/>
    </xf>
    <xf numFmtId="0" fontId="147" fillId="38" borderId="132" xfId="0" applyFont="1" applyFill="1" applyBorder="1" applyAlignment="1" applyProtection="1">
      <alignment horizontal="left" vertical="top"/>
      <protection locked="0"/>
    </xf>
    <xf numFmtId="0" fontId="147" fillId="38" borderId="133" xfId="0" applyFont="1" applyFill="1" applyBorder="1" applyAlignment="1" applyProtection="1">
      <alignment horizontal="left" vertical="top"/>
      <protection locked="0"/>
    </xf>
    <xf numFmtId="0" fontId="147" fillId="38" borderId="134" xfId="0" applyFont="1" applyFill="1" applyBorder="1" applyAlignment="1" applyProtection="1">
      <alignment horizontal="left" vertical="top"/>
      <protection locked="0"/>
    </xf>
    <xf numFmtId="0" fontId="11" fillId="38" borderId="144" xfId="0" applyFont="1" applyFill="1" applyBorder="1" applyAlignment="1" applyProtection="1">
      <alignment horizontal="center" vertical="center"/>
      <protection locked="0"/>
    </xf>
    <xf numFmtId="0" fontId="11" fillId="38" borderId="11" xfId="0" applyFont="1" applyFill="1" applyBorder="1" applyAlignment="1" applyProtection="1">
      <alignment horizontal="center" vertical="center"/>
      <protection locked="0"/>
    </xf>
    <xf numFmtId="0" fontId="11" fillId="38" borderId="149" xfId="0" applyFont="1" applyFill="1" applyBorder="1" applyAlignment="1" applyProtection="1">
      <alignment horizontal="left" vertical="center"/>
      <protection locked="0"/>
    </xf>
    <xf numFmtId="0" fontId="11" fillId="38" borderId="53" xfId="0" applyFont="1" applyFill="1" applyBorder="1" applyAlignment="1" applyProtection="1">
      <alignment horizontal="left" vertical="center"/>
      <protection locked="0"/>
    </xf>
    <xf numFmtId="0" fontId="11" fillId="38" borderId="143" xfId="0" applyFont="1" applyFill="1" applyBorder="1" applyAlignment="1" applyProtection="1">
      <alignment horizontal="left" vertical="center"/>
      <protection locked="0"/>
    </xf>
    <xf numFmtId="0" fontId="125" fillId="42" borderId="23" xfId="0" applyFont="1" applyFill="1" applyBorder="1" applyAlignment="1">
      <alignment horizontal="center" vertical="center"/>
    </xf>
    <xf numFmtId="0" fontId="125" fillId="42" borderId="53" xfId="0" applyFont="1" applyFill="1" applyBorder="1" applyAlignment="1">
      <alignment horizontal="center" vertical="center"/>
    </xf>
    <xf numFmtId="0" fontId="125" fillId="42" borderId="57" xfId="0" applyFont="1" applyFill="1" applyBorder="1" applyAlignment="1">
      <alignment horizontal="center" vertical="center"/>
    </xf>
    <xf numFmtId="14" fontId="33" fillId="38" borderId="133" xfId="0" applyNumberFormat="1" applyFont="1" applyFill="1" applyBorder="1" applyAlignment="1" applyProtection="1">
      <alignment horizontal="center"/>
      <protection locked="0"/>
    </xf>
    <xf numFmtId="0" fontId="33" fillId="38" borderId="133" xfId="0" applyFont="1" applyFill="1" applyBorder="1" applyAlignment="1" applyProtection="1">
      <alignment horizontal="center"/>
      <protection locked="0"/>
    </xf>
    <xf numFmtId="171" fontId="9" fillId="41" borderId="28" xfId="0" applyNumberFormat="1" applyFont="1" applyFill="1" applyBorder="1" applyAlignment="1">
      <alignment horizontal="right" vertical="center"/>
    </xf>
    <xf numFmtId="171" fontId="9" fillId="41" borderId="54" xfId="0" applyNumberFormat="1" applyFont="1" applyFill="1" applyBorder="1" applyAlignment="1">
      <alignment horizontal="right" vertical="center"/>
    </xf>
    <xf numFmtId="166" fontId="9" fillId="38" borderId="160" xfId="0" applyNumberFormat="1" applyFont="1" applyFill="1" applyBorder="1" applyAlignment="1" applyProtection="1">
      <alignment horizontal="center" vertical="center"/>
      <protection locked="0"/>
    </xf>
    <xf numFmtId="166" fontId="9" fillId="38" borderId="161" xfId="0" applyNumberFormat="1" applyFont="1" applyFill="1" applyBorder="1" applyAlignment="1" applyProtection="1">
      <alignment horizontal="center" vertical="center"/>
      <protection locked="0"/>
    </xf>
    <xf numFmtId="166" fontId="9" fillId="38" borderId="162" xfId="0" applyNumberFormat="1" applyFont="1" applyFill="1" applyBorder="1" applyAlignment="1" applyProtection="1">
      <alignment horizontal="center" vertical="center"/>
      <protection locked="0"/>
    </xf>
    <xf numFmtId="171" fontId="9" fillId="27" borderId="53" xfId="0" applyNumberFormat="1" applyFont="1" applyFill="1" applyBorder="1" applyAlignment="1">
      <alignment horizontal="right" vertical="center"/>
    </xf>
    <xf numFmtId="171" fontId="9" fillId="27" borderId="57" xfId="0" applyNumberFormat="1" applyFont="1" applyFill="1" applyBorder="1" applyAlignment="1">
      <alignment horizontal="right" vertical="center"/>
    </xf>
    <xf numFmtId="171" fontId="9" fillId="27" borderId="23" xfId="0" applyNumberFormat="1" applyFont="1" applyFill="1" applyBorder="1" applyAlignment="1">
      <alignment horizontal="right" vertical="center"/>
    </xf>
    <xf numFmtId="171" fontId="9" fillId="27" borderId="23" xfId="0" applyNumberFormat="1" applyFont="1" applyFill="1" applyBorder="1" applyAlignment="1">
      <alignment horizontal="right"/>
    </xf>
    <xf numFmtId="171" fontId="9" fillId="27" borderId="53" xfId="0" applyNumberFormat="1" applyFont="1" applyFill="1" applyBorder="1" applyAlignment="1">
      <alignment horizontal="right"/>
    </xf>
    <xf numFmtId="171" fontId="9" fillId="27" borderId="57" xfId="0" applyNumberFormat="1" applyFont="1" applyFill="1" applyBorder="1" applyAlignment="1">
      <alignment horizontal="right"/>
    </xf>
    <xf numFmtId="0" fontId="0" fillId="0" borderId="53" xfId="0" applyBorder="1"/>
    <xf numFmtId="0" fontId="0" fillId="0" borderId="57" xfId="0" applyBorder="1"/>
    <xf numFmtId="0" fontId="11" fillId="0" borderId="23" xfId="0" applyFont="1" applyBorder="1" applyAlignment="1">
      <alignment horizontal="right" vertical="center"/>
    </xf>
    <xf numFmtId="0" fontId="11" fillId="0" borderId="53" xfId="0" applyFont="1" applyBorder="1" applyAlignment="1">
      <alignment horizontal="right" vertical="center"/>
    </xf>
    <xf numFmtId="166" fontId="33" fillId="27" borderId="11" xfId="0" applyNumberFormat="1" applyFont="1" applyFill="1" applyBorder="1" applyAlignment="1">
      <alignment horizontal="center" vertical="center"/>
    </xf>
    <xf numFmtId="171" fontId="33" fillId="0" borderId="11" xfId="0" applyNumberFormat="1" applyFont="1" applyBorder="1" applyAlignment="1">
      <alignment horizontal="center" vertical="center"/>
    </xf>
    <xf numFmtId="171" fontId="9" fillId="41" borderId="29" xfId="0" applyNumberFormat="1" applyFont="1" applyFill="1" applyBorder="1" applyAlignment="1">
      <alignment horizontal="right" vertical="center"/>
    </xf>
    <xf numFmtId="171" fontId="9" fillId="41" borderId="82" xfId="0" applyNumberFormat="1" applyFont="1" applyFill="1" applyBorder="1" applyAlignment="1">
      <alignment horizontal="right" vertical="center"/>
    </xf>
    <xf numFmtId="171" fontId="9" fillId="41" borderId="83" xfId="0" applyNumberFormat="1" applyFont="1" applyFill="1" applyBorder="1" applyAlignment="1">
      <alignment horizontal="right" vertical="center"/>
    </xf>
    <xf numFmtId="0" fontId="9" fillId="27" borderId="23" xfId="0" applyFont="1" applyFill="1" applyBorder="1" applyAlignment="1">
      <alignment horizontal="right" vertical="center"/>
    </xf>
    <xf numFmtId="0" fontId="9" fillId="27" borderId="53" xfId="0" applyFont="1" applyFill="1" applyBorder="1" applyAlignment="1">
      <alignment horizontal="right" vertical="center"/>
    </xf>
    <xf numFmtId="0" fontId="9" fillId="27" borderId="57" xfId="0" applyFont="1" applyFill="1" applyBorder="1" applyAlignment="1">
      <alignment horizontal="right" vertical="center"/>
    </xf>
    <xf numFmtId="0" fontId="125" fillId="42" borderId="23" xfId="0" applyFont="1" applyFill="1" applyBorder="1" applyAlignment="1">
      <alignment horizontal="left" vertical="center"/>
    </xf>
    <xf numFmtId="0" fontId="125" fillId="42" borderId="53" xfId="0" applyFont="1" applyFill="1" applyBorder="1" applyAlignment="1">
      <alignment horizontal="left" vertical="center"/>
    </xf>
    <xf numFmtId="0" fontId="97" fillId="42" borderId="53" xfId="0" applyFont="1" applyFill="1" applyBorder="1" applyAlignment="1">
      <alignment horizontal="left" vertical="center"/>
    </xf>
    <xf numFmtId="0" fontId="97" fillId="42" borderId="57" xfId="0" applyFont="1" applyFill="1" applyBorder="1" applyAlignment="1">
      <alignment horizontal="left" vertical="center"/>
    </xf>
    <xf numFmtId="0" fontId="0" fillId="40" borderId="73" xfId="0" applyFill="1" applyBorder="1" applyAlignment="1">
      <alignment horizontal="center"/>
    </xf>
    <xf numFmtId="10" fontId="9" fillId="27" borderId="23" xfId="0" applyNumberFormat="1" applyFont="1" applyFill="1" applyBorder="1" applyAlignment="1">
      <alignment horizontal="center" vertical="center"/>
    </xf>
    <xf numFmtId="10" fontId="9" fillId="27" borderId="57" xfId="0" applyNumberFormat="1" applyFont="1" applyFill="1" applyBorder="1" applyAlignment="1">
      <alignment horizontal="center" vertical="center"/>
    </xf>
    <xf numFmtId="171" fontId="9" fillId="31" borderId="23" xfId="0" applyNumberFormat="1" applyFont="1" applyFill="1" applyBorder="1" applyAlignment="1">
      <alignment horizontal="right" vertical="center"/>
    </xf>
    <xf numFmtId="171" fontId="9" fillId="31" borderId="53" xfId="0" applyNumberFormat="1" applyFont="1" applyFill="1" applyBorder="1" applyAlignment="1">
      <alignment horizontal="right" vertical="center"/>
    </xf>
    <xf numFmtId="171" fontId="9" fillId="31" borderId="57" xfId="0" applyNumberFormat="1" applyFont="1" applyFill="1" applyBorder="1" applyAlignment="1">
      <alignment horizontal="right" vertical="center"/>
    </xf>
    <xf numFmtId="0" fontId="98" fillId="42" borderId="152" xfId="0" applyFont="1" applyFill="1" applyBorder="1" applyAlignment="1">
      <alignment horizontal="center" vertical="center" textRotation="90" wrapText="1"/>
    </xf>
    <xf numFmtId="0" fontId="98" fillId="42" borderId="152" xfId="0" applyFont="1" applyFill="1" applyBorder="1"/>
    <xf numFmtId="0" fontId="98" fillId="42" borderId="153" xfId="0" applyFont="1" applyFill="1" applyBorder="1"/>
    <xf numFmtId="0" fontId="3" fillId="24" borderId="132" xfId="0" applyFont="1" applyFill="1" applyBorder="1" applyAlignment="1" applyProtection="1">
      <alignment horizontal="left" vertical="center"/>
      <protection locked="0"/>
    </xf>
    <xf numFmtId="0" fontId="3" fillId="24" borderId="133" xfId="0" applyFont="1" applyFill="1" applyBorder="1" applyAlignment="1" applyProtection="1">
      <alignment horizontal="left" vertical="center"/>
      <protection locked="0"/>
    </xf>
    <xf numFmtId="0" fontId="3" fillId="24" borderId="134" xfId="0" applyFont="1" applyFill="1" applyBorder="1" applyAlignment="1" applyProtection="1">
      <alignment horizontal="left" vertical="center"/>
      <protection locked="0"/>
    </xf>
    <xf numFmtId="0" fontId="3" fillId="24" borderId="23" xfId="0" applyFont="1" applyFill="1" applyBorder="1" applyAlignment="1" applyProtection="1">
      <alignment horizontal="left" vertical="center"/>
      <protection locked="0"/>
    </xf>
    <xf numFmtId="0" fontId="3" fillId="24" borderId="53" xfId="0" applyFont="1" applyFill="1" applyBorder="1" applyAlignment="1" applyProtection="1">
      <alignment horizontal="left" vertical="center"/>
      <protection locked="0"/>
    </xf>
    <xf numFmtId="0" fontId="3" fillId="24" borderId="57" xfId="0" applyFont="1" applyFill="1" applyBorder="1" applyAlignment="1" applyProtection="1">
      <alignment horizontal="left" vertical="center"/>
      <protection locked="0"/>
    </xf>
    <xf numFmtId="0" fontId="8" fillId="24" borderId="132" xfId="0" applyFont="1" applyFill="1" applyBorder="1" applyAlignment="1" applyProtection="1">
      <alignment horizontal="left" vertical="center"/>
      <protection locked="0"/>
    </xf>
    <xf numFmtId="0" fontId="1" fillId="24" borderId="133" xfId="0" applyFont="1" applyFill="1" applyBorder="1" applyAlignment="1" applyProtection="1">
      <alignment horizontal="left" vertical="center"/>
      <protection locked="0"/>
    </xf>
    <xf numFmtId="0" fontId="1" fillId="24" borderId="134" xfId="0" applyFont="1" applyFill="1" applyBorder="1" applyAlignment="1" applyProtection="1">
      <alignment horizontal="left" vertical="center"/>
      <protection locked="0"/>
    </xf>
    <xf numFmtId="0" fontId="8" fillId="0" borderId="23" xfId="0" applyFont="1"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11" fillId="38" borderId="154" xfId="0" applyFont="1" applyFill="1" applyBorder="1" applyAlignment="1" applyProtection="1">
      <alignment horizontal="center" vertical="center"/>
      <protection locked="0"/>
    </xf>
    <xf numFmtId="0" fontId="11" fillId="38" borderId="155" xfId="0" applyFont="1" applyFill="1" applyBorder="1" applyAlignment="1" applyProtection="1">
      <alignment horizontal="center" vertical="center"/>
      <protection locked="0"/>
    </xf>
    <xf numFmtId="0" fontId="145" fillId="0" borderId="156" xfId="0" applyFont="1" applyBorder="1" applyAlignment="1">
      <alignment horizontal="center" vertical="center" wrapText="1"/>
    </xf>
    <xf numFmtId="0" fontId="26" fillId="0" borderId="156" xfId="0" applyFont="1" applyBorder="1" applyAlignment="1">
      <alignment horizontal="center" vertical="center" wrapText="1"/>
    </xf>
    <xf numFmtId="0" fontId="8" fillId="0" borderId="132" xfId="0" applyFont="1" applyBorder="1" applyAlignment="1" applyProtection="1">
      <alignment horizontal="center" vertical="center"/>
      <protection locked="0"/>
    </xf>
    <xf numFmtId="0" fontId="0" fillId="0" borderId="133" xfId="0" applyBorder="1" applyAlignment="1" applyProtection="1">
      <alignment horizontal="center" vertical="center"/>
      <protection locked="0"/>
    </xf>
    <xf numFmtId="0" fontId="0" fillId="0" borderId="134" xfId="0" applyBorder="1" applyAlignment="1" applyProtection="1">
      <alignment horizontal="center" vertical="center"/>
      <protection locked="0"/>
    </xf>
    <xf numFmtId="0" fontId="11" fillId="43" borderId="157" xfId="0" applyFont="1" applyFill="1" applyBorder="1" applyAlignment="1">
      <alignment horizontal="center" vertical="center"/>
    </xf>
    <xf numFmtId="0" fontId="11" fillId="43" borderId="158" xfId="0" applyFont="1" applyFill="1" applyBorder="1" applyAlignment="1">
      <alignment horizontal="center" vertical="center"/>
    </xf>
    <xf numFmtId="0" fontId="11" fillId="43" borderId="159" xfId="0" applyFont="1" applyFill="1" applyBorder="1" applyAlignment="1">
      <alignment horizontal="center" vertical="center"/>
    </xf>
    <xf numFmtId="0" fontId="21" fillId="24" borderId="132" xfId="33" applyFill="1" applyBorder="1" applyAlignment="1" applyProtection="1">
      <alignment horizontal="left" vertical="center"/>
      <protection locked="0"/>
    </xf>
    <xf numFmtId="0" fontId="8" fillId="24" borderId="133" xfId="0" applyFont="1" applyFill="1" applyBorder="1" applyAlignment="1" applyProtection="1">
      <alignment horizontal="left" vertical="center"/>
      <protection locked="0"/>
    </xf>
    <xf numFmtId="0" fontId="8" fillId="24" borderId="134" xfId="0" applyFont="1" applyFill="1" applyBorder="1" applyAlignment="1" applyProtection="1">
      <alignment horizontal="left" vertical="center"/>
      <protection locked="0"/>
    </xf>
    <xf numFmtId="0" fontId="98" fillId="42" borderId="129" xfId="0" applyFont="1" applyFill="1" applyBorder="1" applyAlignment="1">
      <alignment horizontal="center" vertical="center" textRotation="90"/>
    </xf>
    <xf numFmtId="0" fontId="98" fillId="42" borderId="130" xfId="0" applyFont="1" applyFill="1" applyBorder="1" applyAlignment="1">
      <alignment horizontal="center" vertical="center" textRotation="90"/>
    </xf>
    <xf numFmtId="0" fontId="98" fillId="42" borderId="131" xfId="0" applyFont="1" applyFill="1" applyBorder="1" applyAlignment="1">
      <alignment horizontal="center" vertical="center" textRotation="90"/>
    </xf>
    <xf numFmtId="0" fontId="8" fillId="24" borderId="132" xfId="0" applyFont="1" applyFill="1" applyBorder="1" applyAlignment="1" applyProtection="1">
      <alignment horizontal="center" vertical="center"/>
      <protection locked="0"/>
    </xf>
    <xf numFmtId="0" fontId="8" fillId="24" borderId="133" xfId="0" applyFont="1" applyFill="1" applyBorder="1" applyAlignment="1" applyProtection="1">
      <alignment horizontal="center" vertical="center"/>
      <protection locked="0"/>
    </xf>
    <xf numFmtId="0" fontId="8" fillId="24" borderId="134" xfId="0" applyFont="1" applyFill="1" applyBorder="1" applyAlignment="1" applyProtection="1">
      <alignment horizontal="center" vertical="center"/>
      <protection locked="0"/>
    </xf>
    <xf numFmtId="171" fontId="9" fillId="38" borderId="160" xfId="0" applyNumberFormat="1" applyFont="1" applyFill="1" applyBorder="1" applyAlignment="1" applyProtection="1">
      <alignment horizontal="center" vertical="center"/>
      <protection locked="0"/>
    </xf>
    <xf numFmtId="171" fontId="9" fillId="38" borderId="161" xfId="0" applyNumberFormat="1" applyFont="1" applyFill="1" applyBorder="1" applyAlignment="1" applyProtection="1">
      <alignment horizontal="center" vertical="center"/>
      <protection locked="0"/>
    </xf>
    <xf numFmtId="171" fontId="9" fillId="38" borderId="163" xfId="0" applyNumberFormat="1" applyFont="1" applyFill="1" applyBorder="1" applyAlignment="1" applyProtection="1">
      <alignment horizontal="center" vertical="center"/>
      <protection locked="0"/>
    </xf>
    <xf numFmtId="0" fontId="125" fillId="42" borderId="43" xfId="0" applyFont="1" applyFill="1" applyBorder="1" applyAlignment="1">
      <alignment horizontal="center" vertical="center"/>
    </xf>
    <xf numFmtId="0" fontId="125" fillId="42" borderId="55" xfId="0" applyFont="1" applyFill="1" applyBorder="1" applyAlignment="1">
      <alignment horizontal="center" vertical="center"/>
    </xf>
    <xf numFmtId="0" fontId="125" fillId="42" borderId="42" xfId="0" applyFont="1" applyFill="1" applyBorder="1" applyAlignment="1">
      <alignment horizontal="center" vertical="center"/>
    </xf>
    <xf numFmtId="0" fontId="0" fillId="40" borderId="13" xfId="0" applyFill="1" applyBorder="1" applyAlignment="1">
      <alignment horizontal="left" vertical="top" wrapText="1"/>
    </xf>
    <xf numFmtId="0" fontId="0" fillId="40" borderId="0" xfId="0" applyFill="1" applyAlignment="1">
      <alignment horizontal="left" vertical="center"/>
    </xf>
    <xf numFmtId="0" fontId="9" fillId="24" borderId="132" xfId="0" applyFont="1" applyFill="1" applyBorder="1" applyAlignment="1" applyProtection="1">
      <alignment horizontal="left" vertical="center"/>
      <protection locked="0"/>
    </xf>
    <xf numFmtId="0" fontId="9" fillId="24" borderId="133" xfId="0" applyFont="1" applyFill="1" applyBorder="1" applyAlignment="1" applyProtection="1">
      <alignment horizontal="left" vertical="center"/>
      <protection locked="0"/>
    </xf>
    <xf numFmtId="0" fontId="9" fillId="24" borderId="134" xfId="0" applyFont="1" applyFill="1" applyBorder="1" applyAlignment="1" applyProtection="1">
      <alignment horizontal="left" vertical="center"/>
      <protection locked="0"/>
    </xf>
    <xf numFmtId="0" fontId="125" fillId="42" borderId="23" xfId="0" applyFont="1" applyFill="1" applyBorder="1" applyAlignment="1">
      <alignment horizontal="left" vertical="center" wrapText="1"/>
    </xf>
    <xf numFmtId="0" fontId="125" fillId="42" borderId="53" xfId="0" applyFont="1" applyFill="1" applyBorder="1" applyAlignment="1">
      <alignment horizontal="left" vertical="center" wrapText="1"/>
    </xf>
    <xf numFmtId="0" fontId="125" fillId="42" borderId="57" xfId="0" applyFont="1" applyFill="1" applyBorder="1" applyAlignment="1">
      <alignment horizontal="left" vertical="center"/>
    </xf>
    <xf numFmtId="0" fontId="0" fillId="0" borderId="132" xfId="0" applyBorder="1" applyAlignment="1" applyProtection="1">
      <alignment horizontal="center"/>
      <protection locked="0"/>
    </xf>
    <xf numFmtId="0" fontId="0" fillId="0" borderId="133" xfId="0" applyBorder="1" applyAlignment="1" applyProtection="1">
      <alignment horizontal="center"/>
      <protection locked="0"/>
    </xf>
    <xf numFmtId="0" fontId="0" fillId="0" borderId="134" xfId="0" applyBorder="1" applyAlignment="1" applyProtection="1">
      <alignment horizontal="center"/>
      <protection locked="0"/>
    </xf>
    <xf numFmtId="0" fontId="8" fillId="0" borderId="132" xfId="0" applyFont="1" applyBorder="1" applyAlignment="1" applyProtection="1">
      <alignment horizontal="left" vertical="center"/>
      <protection locked="0"/>
    </xf>
    <xf numFmtId="0" fontId="0" fillId="0" borderId="133" xfId="0" applyBorder="1" applyAlignment="1" applyProtection="1">
      <alignment horizontal="left" vertical="center"/>
      <protection locked="0"/>
    </xf>
    <xf numFmtId="0" fontId="0" fillId="0" borderId="134" xfId="0" applyBorder="1" applyAlignment="1" applyProtection="1">
      <alignment horizontal="left" vertical="center"/>
      <protection locked="0"/>
    </xf>
    <xf numFmtId="0" fontId="146" fillId="42" borderId="28" xfId="0" applyFont="1" applyFill="1" applyBorder="1" applyAlignment="1">
      <alignment horizontal="left" vertical="center"/>
    </xf>
    <xf numFmtId="0" fontId="34" fillId="42" borderId="54" xfId="0" applyFont="1" applyFill="1" applyBorder="1" applyAlignment="1">
      <alignment horizontal="left" vertical="center"/>
    </xf>
    <xf numFmtId="0" fontId="34" fillId="42" borderId="29" xfId="0" applyFont="1" applyFill="1" applyBorder="1" applyAlignment="1">
      <alignment horizontal="left" vertical="center"/>
    </xf>
    <xf numFmtId="0" fontId="9" fillId="40" borderId="0" xfId="0" applyFont="1" applyFill="1" applyAlignment="1">
      <alignment horizontal="center" vertical="center"/>
    </xf>
    <xf numFmtId="0" fontId="8" fillId="24" borderId="23" xfId="0" applyFont="1" applyFill="1" applyBorder="1" applyAlignment="1" applyProtection="1">
      <alignment horizontal="left" vertical="center"/>
      <protection locked="0"/>
    </xf>
    <xf numFmtId="0" fontId="8" fillId="24" borderId="53" xfId="0" applyFont="1" applyFill="1" applyBorder="1" applyAlignment="1" applyProtection="1">
      <alignment horizontal="left" vertical="center"/>
      <protection locked="0"/>
    </xf>
    <xf numFmtId="0" fontId="8" fillId="24" borderId="57" xfId="0" applyFont="1" applyFill="1" applyBorder="1" applyAlignment="1" applyProtection="1">
      <alignment horizontal="left" vertical="center"/>
      <protection locked="0"/>
    </xf>
    <xf numFmtId="0" fontId="21" fillId="24" borderId="23" xfId="33" applyFill="1" applyBorder="1" applyAlignment="1" applyProtection="1">
      <alignment horizontal="left" vertical="center"/>
      <protection locked="0"/>
    </xf>
    <xf numFmtId="0" fontId="9" fillId="24" borderId="23" xfId="0" applyFont="1" applyFill="1" applyBorder="1" applyAlignment="1" applyProtection="1">
      <alignment horizontal="left" vertical="center"/>
      <protection locked="0"/>
    </xf>
    <xf numFmtId="0" fontId="9" fillId="24" borderId="53" xfId="0" applyFont="1" applyFill="1" applyBorder="1" applyAlignment="1" applyProtection="1">
      <alignment horizontal="left" vertical="center"/>
      <protection locked="0"/>
    </xf>
    <xf numFmtId="0" fontId="9" fillId="24" borderId="57" xfId="0" applyFont="1" applyFill="1" applyBorder="1" applyAlignment="1" applyProtection="1">
      <alignment horizontal="left" vertical="center"/>
      <protection locked="0"/>
    </xf>
    <xf numFmtId="0" fontId="8" fillId="24" borderId="23" xfId="0" applyFont="1" applyFill="1" applyBorder="1" applyAlignment="1" applyProtection="1">
      <alignment horizontal="center" vertical="center"/>
      <protection locked="0"/>
    </xf>
    <xf numFmtId="0" fontId="8" fillId="24" borderId="53" xfId="0" applyFont="1" applyFill="1" applyBorder="1" applyAlignment="1" applyProtection="1">
      <alignment horizontal="center" vertical="center"/>
      <protection locked="0"/>
    </xf>
    <xf numFmtId="0" fontId="8" fillId="24" borderId="57" xfId="0" applyFont="1" applyFill="1" applyBorder="1" applyAlignment="1" applyProtection="1">
      <alignment horizontal="center" vertical="center"/>
      <protection locked="0"/>
    </xf>
    <xf numFmtId="0" fontId="1" fillId="24" borderId="53" xfId="0" applyFont="1" applyFill="1" applyBorder="1" applyAlignment="1" applyProtection="1">
      <alignment horizontal="left" vertical="center"/>
      <protection locked="0"/>
    </xf>
    <xf numFmtId="0" fontId="1" fillId="24" borderId="57" xfId="0" applyFont="1" applyFill="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0" fillId="0" borderId="53" xfId="0" applyBorder="1" applyAlignment="1" applyProtection="1">
      <alignment horizontal="left" vertical="center"/>
      <protection locked="0"/>
    </xf>
    <xf numFmtId="0" fontId="0" fillId="0" borderId="57" xfId="0" applyBorder="1" applyAlignment="1" applyProtection="1">
      <alignment horizontal="left" vertical="center"/>
      <protection locked="0"/>
    </xf>
    <xf numFmtId="171" fontId="9" fillId="38" borderId="148" xfId="0" applyNumberFormat="1" applyFont="1" applyFill="1" applyBorder="1" applyAlignment="1" applyProtection="1">
      <alignment horizontal="center" vertical="center"/>
      <protection locked="0"/>
    </xf>
    <xf numFmtId="171" fontId="9" fillId="38" borderId="146" xfId="0" applyNumberFormat="1" applyFont="1" applyFill="1" applyBorder="1" applyAlignment="1" applyProtection="1">
      <alignment horizontal="center" vertical="center"/>
      <protection locked="0"/>
    </xf>
    <xf numFmtId="171" fontId="9" fillId="38" borderId="147" xfId="0" applyNumberFormat="1" applyFont="1" applyFill="1" applyBorder="1" applyAlignment="1" applyProtection="1">
      <alignment horizontal="center" vertical="center"/>
      <protection locked="0"/>
    </xf>
    <xf numFmtId="0" fontId="9" fillId="26" borderId="23" xfId="0" applyFont="1" applyFill="1" applyBorder="1" applyAlignment="1">
      <alignment horizontal="center" vertical="center"/>
    </xf>
    <xf numFmtId="0" fontId="9" fillId="26" borderId="53" xfId="0" applyFont="1" applyFill="1" applyBorder="1" applyAlignment="1">
      <alignment horizontal="center" vertical="center"/>
    </xf>
    <xf numFmtId="0" fontId="9" fillId="26" borderId="57" xfId="0" applyFont="1" applyFill="1" applyBorder="1" applyAlignment="1">
      <alignment horizontal="center" vertical="center"/>
    </xf>
    <xf numFmtId="0" fontId="33" fillId="26" borderId="53" xfId="0" applyFont="1" applyFill="1" applyBorder="1" applyAlignment="1">
      <alignment horizontal="center"/>
    </xf>
    <xf numFmtId="0" fontId="33" fillId="26" borderId="57" xfId="0" applyFont="1" applyFill="1" applyBorder="1" applyAlignment="1">
      <alignment horizontal="center"/>
    </xf>
    <xf numFmtId="0" fontId="0" fillId="0" borderId="85" xfId="0" applyBorder="1"/>
    <xf numFmtId="0" fontId="3" fillId="0" borderId="23" xfId="0" applyFont="1" applyBorder="1" applyAlignment="1">
      <alignment horizontal="center"/>
    </xf>
    <xf numFmtId="0" fontId="3" fillId="0" borderId="53" xfId="0" applyFont="1" applyBorder="1" applyAlignment="1">
      <alignment horizontal="center"/>
    </xf>
    <xf numFmtId="0" fontId="3" fillId="0" borderId="57" xfId="0" applyFont="1" applyBorder="1" applyAlignment="1">
      <alignment horizontal="center"/>
    </xf>
    <xf numFmtId="3" fontId="33" fillId="27" borderId="23" xfId="0" applyNumberFormat="1" applyFont="1" applyFill="1" applyBorder="1" applyAlignment="1">
      <alignment horizontal="center" vertical="center"/>
    </xf>
    <xf numFmtId="3" fontId="33" fillId="27" borderId="57" xfId="0" applyNumberFormat="1" applyFont="1" applyFill="1" applyBorder="1" applyAlignment="1">
      <alignment horizontal="center" vertical="center"/>
    </xf>
    <xf numFmtId="166" fontId="33" fillId="27" borderId="23" xfId="0" applyNumberFormat="1" applyFont="1" applyFill="1" applyBorder="1" applyAlignment="1">
      <alignment horizontal="center" vertical="center"/>
    </xf>
    <xf numFmtId="166" fontId="33" fillId="27" borderId="53" xfId="0" applyNumberFormat="1" applyFont="1" applyFill="1" applyBorder="1" applyAlignment="1">
      <alignment horizontal="center" vertical="center"/>
    </xf>
    <xf numFmtId="49" fontId="8" fillId="0" borderId="132" xfId="0" applyNumberFormat="1" applyFont="1" applyBorder="1" applyAlignment="1" applyProtection="1">
      <alignment horizontal="center" vertical="center"/>
      <protection locked="0"/>
    </xf>
    <xf numFmtId="49" fontId="8" fillId="0" borderId="133" xfId="0" applyNumberFormat="1" applyFont="1" applyBorder="1" applyAlignment="1" applyProtection="1">
      <alignment horizontal="center" vertical="center"/>
      <protection locked="0"/>
    </xf>
    <xf numFmtId="49" fontId="8" fillId="0" borderId="134" xfId="0" applyNumberFormat="1" applyFont="1" applyBorder="1" applyAlignment="1" applyProtection="1">
      <alignment horizontal="center" vertical="center"/>
      <protection locked="0"/>
    </xf>
    <xf numFmtId="0" fontId="8" fillId="40" borderId="0" xfId="0" applyFont="1" applyFill="1" applyAlignment="1">
      <alignment horizontal="left" vertical="center"/>
    </xf>
    <xf numFmtId="0" fontId="102" fillId="40" borderId="0" xfId="0" applyFont="1" applyFill="1" applyAlignment="1">
      <alignment horizontal="left" vertical="center"/>
    </xf>
    <xf numFmtId="0" fontId="9" fillId="40" borderId="0" xfId="0" applyFont="1" applyFill="1" applyAlignment="1">
      <alignment horizontal="left" vertical="center"/>
    </xf>
    <xf numFmtId="0" fontId="125" fillId="42" borderId="28" xfId="0" applyFont="1" applyFill="1" applyBorder="1" applyAlignment="1">
      <alignment horizontal="left" vertical="center"/>
    </xf>
    <xf numFmtId="0" fontId="125" fillId="42" borderId="54" xfId="0" applyFont="1" applyFill="1" applyBorder="1" applyAlignment="1">
      <alignment horizontal="left" vertical="center"/>
    </xf>
    <xf numFmtId="0" fontId="125" fillId="42" borderId="29" xfId="0" applyFont="1" applyFill="1" applyBorder="1" applyAlignment="1">
      <alignment horizontal="left" vertical="center"/>
    </xf>
    <xf numFmtId="0" fontId="9" fillId="43" borderId="53" xfId="0" applyFont="1" applyFill="1" applyBorder="1" applyAlignment="1">
      <alignment horizontal="center" vertical="center"/>
    </xf>
    <xf numFmtId="0" fontId="11" fillId="43" borderId="157" xfId="0" applyFont="1" applyFill="1" applyBorder="1" applyAlignment="1">
      <alignment horizontal="center"/>
    </xf>
    <xf numFmtId="0" fontId="11" fillId="43" borderId="158" xfId="0" applyFont="1" applyFill="1" applyBorder="1" applyAlignment="1">
      <alignment horizontal="center"/>
    </xf>
    <xf numFmtId="0" fontId="11" fillId="43" borderId="159" xfId="0" applyFont="1" applyFill="1" applyBorder="1" applyAlignment="1">
      <alignment horizontal="center"/>
    </xf>
    <xf numFmtId="0" fontId="33" fillId="38" borderId="134" xfId="0" applyFont="1" applyFill="1" applyBorder="1" applyAlignment="1" applyProtection="1">
      <alignment horizontal="center"/>
      <protection locked="0"/>
    </xf>
    <xf numFmtId="0" fontId="9" fillId="40" borderId="0" xfId="0" applyFont="1" applyFill="1" applyAlignment="1">
      <alignment horizontal="center"/>
    </xf>
    <xf numFmtId="0" fontId="33" fillId="24" borderId="132" xfId="0" applyFont="1" applyFill="1" applyBorder="1" applyAlignment="1" applyProtection="1">
      <alignment horizontal="left" vertical="center"/>
      <protection locked="0"/>
    </xf>
    <xf numFmtId="0" fontId="33" fillId="24" borderId="133" xfId="0" applyFont="1" applyFill="1" applyBorder="1" applyAlignment="1" applyProtection="1">
      <alignment horizontal="left" vertical="center"/>
      <protection locked="0"/>
    </xf>
    <xf numFmtId="0" fontId="33" fillId="24" borderId="134" xfId="0" applyFont="1" applyFill="1" applyBorder="1" applyAlignment="1" applyProtection="1">
      <alignment horizontal="left" vertical="center"/>
      <protection locked="0"/>
    </xf>
    <xf numFmtId="3" fontId="43" fillId="40" borderId="0" xfId="0" applyNumberFormat="1" applyFont="1" applyFill="1" applyAlignment="1">
      <alignment horizontal="center" vertical="center"/>
    </xf>
    <xf numFmtId="0" fontId="41" fillId="36" borderId="78" xfId="0" applyFont="1" applyFill="1" applyBorder="1" applyAlignment="1">
      <alignment horizontal="center" vertical="center" textRotation="90"/>
    </xf>
    <xf numFmtId="0" fontId="41" fillId="36" borderId="10" xfId="0" applyFont="1" applyFill="1" applyBorder="1" applyAlignment="1">
      <alignment horizontal="center" vertical="center" textRotation="90"/>
    </xf>
    <xf numFmtId="14" fontId="8" fillId="0" borderId="132" xfId="0" applyNumberFormat="1" applyFont="1" applyBorder="1" applyAlignment="1" applyProtection="1">
      <alignment horizontal="center"/>
      <protection locked="0"/>
    </xf>
    <xf numFmtId="14" fontId="0" fillId="0" borderId="133" xfId="0" applyNumberFormat="1" applyBorder="1" applyAlignment="1" applyProtection="1">
      <alignment horizontal="center"/>
      <protection locked="0"/>
    </xf>
    <xf numFmtId="14" fontId="0" fillId="0" borderId="134" xfId="0" applyNumberFormat="1" applyBorder="1" applyAlignment="1" applyProtection="1">
      <alignment horizontal="center"/>
      <protection locked="0"/>
    </xf>
    <xf numFmtId="171" fontId="9" fillId="41" borderId="23" xfId="0" applyNumberFormat="1" applyFont="1" applyFill="1" applyBorder="1" applyAlignment="1">
      <alignment horizontal="right" vertical="center"/>
    </xf>
    <xf numFmtId="171" fontId="9" fillId="41" borderId="53" xfId="0" applyNumberFormat="1" applyFont="1" applyFill="1" applyBorder="1" applyAlignment="1">
      <alignment horizontal="right" vertical="center"/>
    </xf>
    <xf numFmtId="171" fontId="9" fillId="41" borderId="57" xfId="0" applyNumberFormat="1" applyFont="1" applyFill="1" applyBorder="1" applyAlignment="1">
      <alignment horizontal="right" vertical="center"/>
    </xf>
    <xf numFmtId="171" fontId="9" fillId="33" borderId="28" xfId="0" applyNumberFormat="1" applyFont="1" applyFill="1" applyBorder="1" applyAlignment="1">
      <alignment horizontal="right" vertical="center"/>
    </xf>
    <xf numFmtId="171" fontId="9" fillId="33" borderId="54" xfId="0" applyNumberFormat="1" applyFont="1" applyFill="1" applyBorder="1" applyAlignment="1">
      <alignment horizontal="right" vertical="center"/>
    </xf>
    <xf numFmtId="171" fontId="9" fillId="33" borderId="29" xfId="0" applyNumberFormat="1" applyFont="1" applyFill="1" applyBorder="1" applyAlignment="1">
      <alignment horizontal="right" vertical="center"/>
    </xf>
    <xf numFmtId="0" fontId="3" fillId="38" borderId="13" xfId="0" applyFont="1" applyFill="1" applyBorder="1" applyAlignment="1">
      <alignment horizontal="center" vertical="center"/>
    </xf>
    <xf numFmtId="171" fontId="22" fillId="41" borderId="23" xfId="0" applyNumberFormat="1" applyFont="1" applyFill="1" applyBorder="1" applyAlignment="1">
      <alignment horizontal="center" vertical="center"/>
    </xf>
    <xf numFmtId="171" fontId="22" fillId="41" borderId="53" xfId="0" applyNumberFormat="1" applyFont="1" applyFill="1" applyBorder="1" applyAlignment="1">
      <alignment horizontal="center" vertical="center"/>
    </xf>
    <xf numFmtId="171" fontId="22" fillId="41" borderId="57" xfId="0" applyNumberFormat="1" applyFont="1" applyFill="1" applyBorder="1" applyAlignment="1">
      <alignment horizontal="center" vertical="center"/>
    </xf>
    <xf numFmtId="168" fontId="9" fillId="24" borderId="23" xfId="0" applyNumberFormat="1" applyFont="1" applyFill="1" applyBorder="1" applyAlignment="1">
      <alignment horizontal="center" vertical="center"/>
    </xf>
    <xf numFmtId="168" fontId="9" fillId="24" borderId="53" xfId="0" applyNumberFormat="1" applyFont="1" applyFill="1" applyBorder="1" applyAlignment="1">
      <alignment horizontal="center" vertical="center"/>
    </xf>
    <xf numFmtId="168" fontId="9" fillId="24" borderId="57" xfId="0" applyNumberFormat="1" applyFont="1" applyFill="1" applyBorder="1" applyAlignment="1">
      <alignment horizontal="center" vertical="center"/>
    </xf>
    <xf numFmtId="0" fontId="9" fillId="33" borderId="23" xfId="0" applyFont="1" applyFill="1" applyBorder="1" applyAlignment="1">
      <alignment horizontal="left" vertical="center"/>
    </xf>
    <xf numFmtId="0" fontId="9" fillId="33" borderId="53" xfId="0" applyFont="1" applyFill="1" applyBorder="1" applyAlignment="1">
      <alignment horizontal="left" vertical="center"/>
    </xf>
    <xf numFmtId="0" fontId="22" fillId="27" borderId="23" xfId="0" applyFont="1" applyFill="1" applyBorder="1" applyAlignment="1">
      <alignment horizontal="center" vertical="center"/>
    </xf>
    <xf numFmtId="0" fontId="22" fillId="27" borderId="53" xfId="0" applyFont="1" applyFill="1" applyBorder="1" applyAlignment="1">
      <alignment horizontal="center" vertical="center"/>
    </xf>
    <xf numFmtId="0" fontId="22" fillId="27" borderId="57" xfId="0" applyFont="1" applyFill="1" applyBorder="1" applyAlignment="1">
      <alignment horizontal="center" vertical="center"/>
    </xf>
    <xf numFmtId="0" fontId="9" fillId="33" borderId="82" xfId="0" applyFont="1" applyFill="1" applyBorder="1" applyAlignment="1">
      <alignment horizontal="left" vertical="center"/>
    </xf>
    <xf numFmtId="0" fontId="9" fillId="33" borderId="56" xfId="0" applyFont="1" applyFill="1" applyBorder="1" applyAlignment="1">
      <alignment horizontal="left" vertical="center"/>
    </xf>
    <xf numFmtId="0" fontId="9" fillId="33" borderId="43" xfId="0" applyFont="1" applyFill="1" applyBorder="1" applyAlignment="1">
      <alignment horizontal="left" vertical="center"/>
    </xf>
    <xf numFmtId="0" fontId="9" fillId="33" borderId="55" xfId="0" applyFont="1" applyFill="1" applyBorder="1" applyAlignment="1">
      <alignment horizontal="left" vertical="center"/>
    </xf>
    <xf numFmtId="0" fontId="125" fillId="42" borderId="23" xfId="0" applyFont="1" applyFill="1" applyBorder="1" applyAlignment="1">
      <alignment horizontal="center"/>
    </xf>
    <xf numFmtId="0" fontId="125" fillId="42" borderId="53" xfId="0" applyFont="1" applyFill="1" applyBorder="1" applyAlignment="1">
      <alignment horizontal="center"/>
    </xf>
    <xf numFmtId="0" fontId="125" fillId="42" borderId="57" xfId="0" applyFont="1" applyFill="1" applyBorder="1" applyAlignment="1">
      <alignment horizontal="center"/>
    </xf>
    <xf numFmtId="0" fontId="42" fillId="32" borderId="43" xfId="0" applyFont="1" applyFill="1" applyBorder="1" applyAlignment="1">
      <alignment horizontal="left" vertical="center"/>
    </xf>
    <xf numFmtId="0" fontId="42" fillId="32" borderId="55" xfId="0" applyFont="1" applyFill="1" applyBorder="1" applyAlignment="1">
      <alignment horizontal="left" vertical="center"/>
    </xf>
    <xf numFmtId="171" fontId="11" fillId="41" borderId="23" xfId="0" applyNumberFormat="1" applyFont="1" applyFill="1" applyBorder="1" applyAlignment="1">
      <alignment horizontal="right"/>
    </xf>
    <xf numFmtId="171" fontId="11" fillId="41" borderId="53" xfId="0" applyNumberFormat="1" applyFont="1" applyFill="1" applyBorder="1" applyAlignment="1">
      <alignment horizontal="right"/>
    </xf>
    <xf numFmtId="171" fontId="11" fillId="41" borderId="57" xfId="0" applyNumberFormat="1" applyFont="1" applyFill="1" applyBorder="1" applyAlignment="1">
      <alignment horizontal="right"/>
    </xf>
    <xf numFmtId="0" fontId="34" fillId="32" borderId="55" xfId="0" applyFont="1" applyFill="1" applyBorder="1" applyAlignment="1">
      <alignment horizontal="left" vertical="center"/>
    </xf>
    <xf numFmtId="0" fontId="9" fillId="36" borderId="23" xfId="0" applyFont="1" applyFill="1" applyBorder="1" applyAlignment="1">
      <alignment horizontal="center" vertical="center"/>
    </xf>
    <xf numFmtId="0" fontId="9" fillId="36" borderId="53" xfId="0" applyFont="1" applyFill="1" applyBorder="1" applyAlignment="1">
      <alignment horizontal="center" vertical="center"/>
    </xf>
    <xf numFmtId="0" fontId="9" fillId="36" borderId="57" xfId="0" applyFont="1" applyFill="1" applyBorder="1" applyAlignment="1">
      <alignment horizontal="center" vertical="center"/>
    </xf>
    <xf numFmtId="0" fontId="9" fillId="24" borderId="23" xfId="0" applyFont="1" applyFill="1" applyBorder="1" applyAlignment="1">
      <alignment horizontal="left" vertical="center" wrapText="1"/>
    </xf>
    <xf numFmtId="0" fontId="9" fillId="24" borderId="53" xfId="0" applyFont="1" applyFill="1" applyBorder="1" applyAlignment="1">
      <alignment horizontal="left" vertical="center" wrapText="1"/>
    </xf>
    <xf numFmtId="0" fontId="9" fillId="24" borderId="57" xfId="0" applyFont="1" applyFill="1" applyBorder="1" applyAlignment="1">
      <alignment horizontal="left" vertical="center" wrapText="1"/>
    </xf>
    <xf numFmtId="0" fontId="8" fillId="40" borderId="73" xfId="0" applyFont="1" applyFill="1" applyBorder="1" applyAlignment="1">
      <alignment horizontal="left" vertical="center"/>
    </xf>
    <xf numFmtId="0" fontId="9" fillId="40" borderId="57" xfId="0" applyFont="1" applyFill="1" applyBorder="1" applyAlignment="1">
      <alignment horizontal="left" vertical="center"/>
    </xf>
    <xf numFmtId="0" fontId="11" fillId="0" borderId="23" xfId="0" applyFont="1" applyBorder="1" applyAlignment="1">
      <alignment horizontal="right" vertical="center" wrapText="1"/>
    </xf>
    <xf numFmtId="0" fontId="11" fillId="0" borderId="53" xfId="0" applyFont="1" applyBorder="1" applyAlignment="1">
      <alignment horizontal="right" vertical="center" wrapText="1"/>
    </xf>
    <xf numFmtId="0" fontId="11" fillId="0" borderId="57" xfId="0" applyFont="1" applyBorder="1" applyAlignment="1">
      <alignment horizontal="right" vertical="center" wrapText="1"/>
    </xf>
    <xf numFmtId="171" fontId="9" fillId="36" borderId="11" xfId="0" applyNumberFormat="1" applyFont="1" applyFill="1" applyBorder="1" applyAlignment="1">
      <alignment horizontal="right" vertical="center"/>
    </xf>
    <xf numFmtId="0" fontId="3" fillId="24" borderId="13" xfId="0" applyFont="1" applyFill="1" applyBorder="1" applyAlignment="1">
      <alignment horizontal="center" vertical="center"/>
    </xf>
    <xf numFmtId="0" fontId="0" fillId="27" borderId="11" xfId="0" applyFill="1" applyBorder="1" applyAlignment="1">
      <alignment horizontal="center"/>
    </xf>
    <xf numFmtId="166" fontId="9" fillId="40" borderId="23" xfId="0" applyNumberFormat="1" applyFont="1" applyFill="1" applyBorder="1" applyAlignment="1">
      <alignment horizontal="center"/>
    </xf>
    <xf numFmtId="166" fontId="9" fillId="40" borderId="53" xfId="0" applyNumberFormat="1" applyFont="1" applyFill="1" applyBorder="1" applyAlignment="1">
      <alignment horizontal="center"/>
    </xf>
    <xf numFmtId="166" fontId="9" fillId="40" borderId="57" xfId="0" applyNumberFormat="1" applyFont="1" applyFill="1" applyBorder="1" applyAlignment="1">
      <alignment horizontal="center"/>
    </xf>
    <xf numFmtId="0" fontId="33" fillId="40" borderId="0" xfId="0" applyFont="1" applyFill="1" applyAlignment="1">
      <alignment horizontal="center" vertical="center"/>
    </xf>
    <xf numFmtId="0" fontId="33" fillId="26" borderId="23" xfId="0" applyFont="1" applyFill="1" applyBorder="1" applyAlignment="1">
      <alignment horizontal="left" vertical="center"/>
    </xf>
    <xf numFmtId="0" fontId="33" fillId="26" borderId="53" xfId="0" applyFont="1" applyFill="1" applyBorder="1" applyAlignment="1">
      <alignment horizontal="left" vertical="center"/>
    </xf>
    <xf numFmtId="0" fontId="33" fillId="26" borderId="57" xfId="0" applyFont="1" applyFill="1" applyBorder="1" applyAlignment="1">
      <alignment horizontal="left" vertical="center"/>
    </xf>
    <xf numFmtId="0" fontId="9" fillId="26" borderId="28" xfId="0" applyFont="1" applyFill="1" applyBorder="1" applyAlignment="1">
      <alignment horizontal="center" vertical="center"/>
    </xf>
    <xf numFmtId="0" fontId="9" fillId="26" borderId="54" xfId="0" applyFont="1" applyFill="1" applyBorder="1" applyAlignment="1">
      <alignment horizontal="center" vertical="center"/>
    </xf>
    <xf numFmtId="0" fontId="9" fillId="26" borderId="29" xfId="0" applyFont="1" applyFill="1" applyBorder="1" applyAlignment="1">
      <alignment horizontal="center" vertical="center"/>
    </xf>
    <xf numFmtId="171" fontId="9" fillId="53" borderId="43" xfId="0" applyNumberFormat="1" applyFont="1" applyFill="1" applyBorder="1" applyAlignment="1">
      <alignment horizontal="center"/>
    </xf>
    <xf numFmtId="171" fontId="9" fillId="53" borderId="55" xfId="0" applyNumberFormat="1" applyFont="1" applyFill="1" applyBorder="1" applyAlignment="1">
      <alignment horizontal="center"/>
    </xf>
    <xf numFmtId="171" fontId="9" fillId="53" borderId="42" xfId="0" applyNumberFormat="1" applyFont="1" applyFill="1" applyBorder="1" applyAlignment="1">
      <alignment horizontal="center"/>
    </xf>
    <xf numFmtId="0" fontId="9" fillId="40" borderId="23" xfId="0" applyFont="1" applyFill="1" applyBorder="1" applyAlignment="1">
      <alignment horizontal="left"/>
    </xf>
    <xf numFmtId="0" fontId="9" fillId="40" borderId="53" xfId="0" applyFont="1" applyFill="1" applyBorder="1" applyAlignment="1">
      <alignment horizontal="left"/>
    </xf>
    <xf numFmtId="0" fontId="9" fillId="40" borderId="57" xfId="0" applyFont="1" applyFill="1" applyBorder="1" applyAlignment="1">
      <alignment horizontal="left"/>
    </xf>
    <xf numFmtId="0" fontId="11" fillId="53" borderId="43" xfId="0" applyFont="1" applyFill="1" applyBorder="1" applyAlignment="1">
      <alignment horizontal="right" vertical="center"/>
    </xf>
    <xf numFmtId="0" fontId="11" fillId="53" borderId="55" xfId="0" applyFont="1" applyFill="1" applyBorder="1" applyAlignment="1">
      <alignment horizontal="right" vertical="center"/>
    </xf>
    <xf numFmtId="0" fontId="11" fillId="53" borderId="53" xfId="0" applyFont="1" applyFill="1" applyBorder="1" applyAlignment="1">
      <alignment horizontal="right" vertical="center"/>
    </xf>
    <xf numFmtId="0" fontId="11" fillId="53" borderId="57" xfId="0" applyFont="1" applyFill="1" applyBorder="1" applyAlignment="1">
      <alignment horizontal="right" vertical="center"/>
    </xf>
    <xf numFmtId="0" fontId="11" fillId="53" borderId="43" xfId="0" applyFont="1" applyFill="1" applyBorder="1" applyAlignment="1">
      <alignment horizontal="center" vertical="center"/>
    </xf>
    <xf numFmtId="0" fontId="11" fillId="53" borderId="55" xfId="0" applyFont="1" applyFill="1" applyBorder="1" applyAlignment="1">
      <alignment horizontal="center" vertical="center"/>
    </xf>
    <xf numFmtId="0" fontId="11" fillId="53" borderId="42" xfId="0" applyFont="1" applyFill="1" applyBorder="1" applyAlignment="1">
      <alignment horizontal="center" vertical="center"/>
    </xf>
    <xf numFmtId="14" fontId="9" fillId="0" borderId="132" xfId="0" applyNumberFormat="1" applyFont="1" applyBorder="1" applyAlignment="1" applyProtection="1">
      <alignment horizontal="center" vertical="center"/>
      <protection locked="0"/>
    </xf>
    <xf numFmtId="14" fontId="33" fillId="0" borderId="133" xfId="0" applyNumberFormat="1" applyFont="1" applyBorder="1" applyAlignment="1" applyProtection="1">
      <alignment horizontal="center" vertical="center"/>
      <protection locked="0"/>
    </xf>
    <xf numFmtId="14" fontId="33" fillId="0" borderId="134" xfId="0" applyNumberFormat="1" applyFont="1" applyBorder="1" applyAlignment="1" applyProtection="1">
      <alignment horizontal="center" vertical="center"/>
      <protection locked="0"/>
    </xf>
    <xf numFmtId="9" fontId="33" fillId="27" borderId="11" xfId="0" applyNumberFormat="1" applyFont="1" applyFill="1" applyBorder="1" applyAlignment="1">
      <alignment horizontal="center" vertical="center"/>
    </xf>
    <xf numFmtId="3" fontId="9" fillId="40" borderId="23" xfId="0" applyNumberFormat="1" applyFont="1" applyFill="1" applyBorder="1" applyAlignment="1">
      <alignment horizontal="center"/>
    </xf>
    <xf numFmtId="3" fontId="9" fillId="40" borderId="53" xfId="0" applyNumberFormat="1" applyFont="1" applyFill="1" applyBorder="1" applyAlignment="1">
      <alignment horizontal="center"/>
    </xf>
    <xf numFmtId="3" fontId="9" fillId="40" borderId="57" xfId="0" applyNumberFormat="1" applyFont="1" applyFill="1" applyBorder="1" applyAlignment="1">
      <alignment horizontal="center"/>
    </xf>
    <xf numFmtId="0" fontId="9" fillId="0" borderId="135" xfId="0" applyFont="1" applyBorder="1" applyAlignment="1" applyProtection="1">
      <alignment horizontal="left" vertical="top" wrapText="1"/>
      <protection locked="0"/>
    </xf>
    <xf numFmtId="0" fontId="9" fillId="0" borderId="136" xfId="0" applyFont="1" applyBorder="1" applyAlignment="1" applyProtection="1">
      <alignment horizontal="left" vertical="top" wrapText="1"/>
      <protection locked="0"/>
    </xf>
    <xf numFmtId="0" fontId="9" fillId="0" borderId="137" xfId="0" applyFont="1" applyBorder="1" applyAlignment="1" applyProtection="1">
      <alignment horizontal="left" vertical="top" wrapText="1"/>
      <protection locked="0"/>
    </xf>
    <xf numFmtId="0" fontId="9" fillId="0" borderId="138"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39" xfId="0" applyFont="1" applyBorder="1" applyAlignment="1" applyProtection="1">
      <alignment horizontal="left" vertical="top" wrapText="1"/>
      <protection locked="0"/>
    </xf>
    <xf numFmtId="0" fontId="9" fillId="0" borderId="140" xfId="0" applyFont="1" applyBorder="1" applyAlignment="1" applyProtection="1">
      <alignment horizontal="left" vertical="top" wrapText="1"/>
      <protection locked="0"/>
    </xf>
    <xf numFmtId="0" fontId="9" fillId="0" borderId="141" xfId="0" applyFont="1" applyBorder="1" applyAlignment="1" applyProtection="1">
      <alignment horizontal="left" vertical="top" wrapText="1"/>
      <protection locked="0"/>
    </xf>
    <xf numFmtId="0" fontId="9" fillId="0" borderId="142" xfId="0" applyFont="1" applyBorder="1" applyAlignment="1" applyProtection="1">
      <alignment horizontal="left" vertical="top" wrapText="1"/>
      <protection locked="0"/>
    </xf>
    <xf numFmtId="0" fontId="9" fillId="0" borderId="0" xfId="0" applyFont="1" applyAlignment="1">
      <alignment horizontal="left" vertical="center" wrapText="1"/>
    </xf>
    <xf numFmtId="0" fontId="9" fillId="0" borderId="27" xfId="0" applyFont="1" applyBorder="1" applyAlignment="1">
      <alignment horizontal="left" vertical="center" wrapText="1"/>
    </xf>
    <xf numFmtId="14" fontId="33" fillId="40" borderId="0" xfId="0" applyNumberFormat="1" applyFont="1" applyFill="1" applyAlignment="1">
      <alignment horizontal="center" vertical="center"/>
    </xf>
    <xf numFmtId="166" fontId="9" fillId="38" borderId="148" xfId="0" applyNumberFormat="1" applyFont="1" applyFill="1" applyBorder="1" applyAlignment="1" applyProtection="1">
      <alignment horizontal="center" vertical="center"/>
      <protection locked="0"/>
    </xf>
    <xf numFmtId="166" fontId="9" fillId="38" borderId="146" xfId="0" applyNumberFormat="1" applyFont="1" applyFill="1" applyBorder="1" applyAlignment="1" applyProtection="1">
      <alignment horizontal="center" vertical="center"/>
      <protection locked="0"/>
    </xf>
    <xf numFmtId="166" fontId="9" fillId="38" borderId="150" xfId="0" applyNumberFormat="1" applyFont="1" applyFill="1" applyBorder="1" applyAlignment="1" applyProtection="1">
      <alignment horizontal="center" vertical="center"/>
      <protection locked="0"/>
    </xf>
    <xf numFmtId="0" fontId="11" fillId="38" borderId="151" xfId="0" applyFont="1" applyFill="1" applyBorder="1" applyAlignment="1" applyProtection="1">
      <alignment horizontal="center" vertical="center"/>
      <protection locked="0"/>
    </xf>
    <xf numFmtId="0" fontId="11" fillId="38" borderId="127" xfId="0" applyFont="1" applyFill="1" applyBorder="1" applyAlignment="1" applyProtection="1">
      <alignment horizontal="center" vertical="center"/>
      <protection locked="0"/>
    </xf>
    <xf numFmtId="166" fontId="33" fillId="0" borderId="11" xfId="0" applyNumberFormat="1" applyFont="1" applyBorder="1" applyAlignment="1">
      <alignment horizontal="center" vertical="center"/>
    </xf>
    <xf numFmtId="3" fontId="9" fillId="42" borderId="53" xfId="0" applyNumberFormat="1" applyFont="1" applyFill="1" applyBorder="1" applyAlignment="1">
      <alignment horizontal="center" vertical="center"/>
    </xf>
    <xf numFmtId="3" fontId="9" fillId="42" borderId="57" xfId="0" applyNumberFormat="1" applyFont="1" applyFill="1" applyBorder="1" applyAlignment="1">
      <alignment horizontal="center" vertical="center"/>
    </xf>
    <xf numFmtId="166" fontId="33" fillId="0" borderId="23" xfId="0" applyNumberFormat="1" applyFont="1" applyBorder="1" applyAlignment="1">
      <alignment horizontal="center" vertical="center"/>
    </xf>
    <xf numFmtId="166" fontId="33" fillId="0" borderId="53" xfId="0" applyNumberFormat="1" applyFont="1" applyBorder="1" applyAlignment="1">
      <alignment horizontal="center" vertical="center"/>
    </xf>
    <xf numFmtId="166" fontId="33" fillId="0" borderId="57" xfId="0" applyNumberFormat="1" applyFont="1" applyBorder="1" applyAlignment="1">
      <alignment horizontal="center" vertical="center"/>
    </xf>
    <xf numFmtId="0" fontId="41" fillId="26" borderId="86" xfId="0" applyFont="1" applyFill="1" applyBorder="1" applyAlignment="1">
      <alignment horizontal="center" vertical="center" textRotation="90"/>
    </xf>
    <xf numFmtId="0" fontId="41" fillId="26" borderId="78" xfId="0" applyFont="1" applyFill="1" applyBorder="1" applyAlignment="1">
      <alignment horizontal="center" vertical="center" textRotation="90"/>
    </xf>
    <xf numFmtId="0" fontId="41" fillId="26" borderId="10" xfId="0" applyFont="1" applyFill="1" applyBorder="1" applyAlignment="1">
      <alignment horizontal="center" vertical="center" textRotation="90"/>
    </xf>
    <xf numFmtId="0" fontId="34" fillId="28" borderId="30" xfId="0" applyFont="1" applyFill="1" applyBorder="1" applyAlignment="1">
      <alignment horizontal="left" vertical="center" wrapText="1"/>
    </xf>
    <xf numFmtId="0" fontId="34" fillId="28" borderId="0" xfId="0" applyFont="1" applyFill="1" applyAlignment="1">
      <alignment horizontal="left" vertical="center" wrapText="1"/>
    </xf>
    <xf numFmtId="0" fontId="34" fillId="28" borderId="27" xfId="0" applyFont="1" applyFill="1" applyBorder="1" applyAlignment="1">
      <alignment horizontal="left" vertical="center" wrapText="1"/>
    </xf>
    <xf numFmtId="0" fontId="34" fillId="28" borderId="43" xfId="0" applyFont="1" applyFill="1" applyBorder="1" applyAlignment="1">
      <alignment horizontal="left" vertical="center" wrapText="1"/>
    </xf>
    <xf numFmtId="0" fontId="34" fillId="28" borderId="55" xfId="0" applyFont="1" applyFill="1" applyBorder="1" applyAlignment="1">
      <alignment horizontal="left" vertical="center" wrapText="1"/>
    </xf>
    <xf numFmtId="0" fontId="34" fillId="28" borderId="42" xfId="0" applyFont="1" applyFill="1" applyBorder="1" applyAlignment="1">
      <alignment horizontal="left" vertical="center" wrapText="1"/>
    </xf>
    <xf numFmtId="0" fontId="14" fillId="27" borderId="23" xfId="0" applyFont="1" applyFill="1" applyBorder="1" applyAlignment="1">
      <alignment horizontal="center" vertical="center"/>
    </xf>
    <xf numFmtId="0" fontId="14" fillId="27" borderId="53" xfId="0" applyFont="1" applyFill="1" applyBorder="1" applyAlignment="1">
      <alignment horizontal="center" vertical="center"/>
    </xf>
    <xf numFmtId="0" fontId="14" fillId="27" borderId="57" xfId="0" applyFont="1" applyFill="1" applyBorder="1" applyAlignment="1">
      <alignment horizontal="center" vertical="center"/>
    </xf>
    <xf numFmtId="0" fontId="9" fillId="26" borderId="23" xfId="0" applyFont="1" applyFill="1" applyBorder="1" applyAlignment="1">
      <alignment horizontal="left" vertical="center"/>
    </xf>
    <xf numFmtId="0" fontId="9" fillId="26" borderId="53" xfId="0" applyFont="1" applyFill="1" applyBorder="1" applyAlignment="1">
      <alignment horizontal="left" vertical="center"/>
    </xf>
    <xf numFmtId="0" fontId="9" fillId="26" borderId="57" xfId="0" applyFont="1" applyFill="1" applyBorder="1" applyAlignment="1">
      <alignment horizontal="left" vertical="center"/>
    </xf>
    <xf numFmtId="0" fontId="41" fillId="26" borderId="78" xfId="0" applyFont="1" applyFill="1" applyBorder="1" applyAlignment="1">
      <alignment vertical="center" textRotation="90"/>
    </xf>
    <xf numFmtId="0" fontId="41" fillId="26" borderId="10" xfId="0" applyFont="1" applyFill="1" applyBorder="1" applyAlignment="1">
      <alignment vertical="center" textRotation="90"/>
    </xf>
    <xf numFmtId="0" fontId="41" fillId="26" borderId="12" xfId="0" applyFont="1" applyFill="1" applyBorder="1" applyAlignment="1">
      <alignment vertical="center" textRotation="90"/>
    </xf>
    <xf numFmtId="0" fontId="34" fillId="28" borderId="30" xfId="0" applyFont="1" applyFill="1" applyBorder="1" applyAlignment="1">
      <alignment horizontal="left" vertical="center"/>
    </xf>
    <xf numFmtId="0" fontId="34" fillId="28" borderId="0" xfId="0" applyFont="1" applyFill="1" applyAlignment="1">
      <alignment horizontal="left" vertical="center"/>
    </xf>
    <xf numFmtId="0" fontId="9" fillId="0" borderId="0" xfId="0" applyFont="1" applyAlignment="1">
      <alignment horizontal="center" vertical="center" wrapText="1"/>
    </xf>
    <xf numFmtId="0" fontId="9" fillId="0" borderId="43" xfId="0" applyFont="1" applyBorder="1" applyAlignment="1">
      <alignment horizontal="center"/>
    </xf>
    <xf numFmtId="0" fontId="9" fillId="0" borderId="55" xfId="0" applyFont="1" applyBorder="1" applyAlignment="1">
      <alignment horizontal="center"/>
    </xf>
    <xf numFmtId="0" fontId="9" fillId="0" borderId="23" xfId="0" applyFont="1" applyBorder="1" applyAlignment="1">
      <alignment horizontal="center" vertical="center"/>
    </xf>
    <xf numFmtId="0" fontId="9" fillId="0" borderId="53" xfId="0" applyFont="1" applyBorder="1" applyAlignment="1">
      <alignment horizontal="center" vertical="center"/>
    </xf>
    <xf numFmtId="0" fontId="9" fillId="0" borderId="57" xfId="0" applyFont="1" applyBorder="1" applyAlignment="1">
      <alignment horizontal="center" vertical="center"/>
    </xf>
    <xf numFmtId="0" fontId="9" fillId="26" borderId="28" xfId="0" applyFont="1" applyFill="1" applyBorder="1" applyAlignment="1">
      <alignment horizontal="left" vertical="center"/>
    </xf>
    <xf numFmtId="0" fontId="9" fillId="26" borderId="54" xfId="0" applyFont="1" applyFill="1" applyBorder="1" applyAlignment="1">
      <alignment horizontal="left" vertical="center"/>
    </xf>
    <xf numFmtId="0" fontId="9" fillId="26" borderId="29" xfId="0" applyFont="1" applyFill="1" applyBorder="1" applyAlignment="1">
      <alignment horizontal="left" vertical="center"/>
    </xf>
    <xf numFmtId="0" fontId="3" fillId="0" borderId="53" xfId="0" applyFont="1" applyBorder="1" applyAlignment="1">
      <alignment horizontal="center" vertical="center"/>
    </xf>
    <xf numFmtId="0" fontId="3" fillId="0" borderId="57" xfId="0" applyFont="1" applyBorder="1" applyAlignment="1">
      <alignment horizontal="center" vertical="center"/>
    </xf>
    <xf numFmtId="0" fontId="3" fillId="0" borderId="23" xfId="0" applyFont="1" applyBorder="1" applyAlignment="1">
      <alignment horizontal="center" vertical="center"/>
    </xf>
    <xf numFmtId="0" fontId="9" fillId="48" borderId="11" xfId="0" applyFont="1" applyFill="1" applyBorder="1" applyAlignment="1">
      <alignment horizontal="center" vertical="center"/>
    </xf>
    <xf numFmtId="0" fontId="34" fillId="28" borderId="53" xfId="0" applyFont="1" applyFill="1" applyBorder="1" applyAlignment="1">
      <alignment horizontal="left" vertical="center"/>
    </xf>
    <xf numFmtId="0" fontId="34" fillId="28" borderId="57" xfId="0" applyFont="1" applyFill="1" applyBorder="1" applyAlignment="1">
      <alignment horizontal="left" vertical="center"/>
    </xf>
    <xf numFmtId="0" fontId="9" fillId="40" borderId="23" xfId="0" applyFont="1" applyFill="1" applyBorder="1" applyAlignment="1">
      <alignment horizontal="left" vertical="center"/>
    </xf>
    <xf numFmtId="0" fontId="9" fillId="40" borderId="53" xfId="0" applyFont="1" applyFill="1" applyBorder="1" applyAlignment="1">
      <alignment horizontal="left" vertical="center"/>
    </xf>
    <xf numFmtId="0" fontId="0" fillId="41" borderId="0" xfId="0" applyFill="1" applyAlignment="1">
      <alignment horizontal="left"/>
    </xf>
    <xf numFmtId="0" fontId="0" fillId="31" borderId="53" xfId="0" applyFill="1" applyBorder="1"/>
    <xf numFmtId="0" fontId="0" fillId="31" borderId="85" xfId="0" applyFill="1" applyBorder="1"/>
    <xf numFmtId="0" fontId="9" fillId="26" borderId="30" xfId="0" applyFont="1" applyFill="1" applyBorder="1" applyAlignment="1">
      <alignment horizontal="left" vertical="center"/>
    </xf>
    <xf numFmtId="0" fontId="9" fillId="26" borderId="0" xfId="0" applyFont="1" applyFill="1" applyAlignment="1">
      <alignment horizontal="left" vertical="center"/>
    </xf>
    <xf numFmtId="0" fontId="9" fillId="26" borderId="27" xfId="0" applyFont="1" applyFill="1" applyBorder="1" applyAlignment="1">
      <alignment horizontal="left" vertical="center"/>
    </xf>
    <xf numFmtId="0" fontId="34" fillId="28" borderId="27" xfId="0" applyFont="1" applyFill="1" applyBorder="1" applyAlignment="1">
      <alignment horizontal="left" vertical="center"/>
    </xf>
    <xf numFmtId="0" fontId="9" fillId="26" borderId="85" xfId="0" applyFont="1" applyFill="1" applyBorder="1" applyAlignment="1">
      <alignment horizontal="center" vertical="center"/>
    </xf>
    <xf numFmtId="0" fontId="3" fillId="24" borderId="82" xfId="0" applyFont="1" applyFill="1" applyBorder="1" applyAlignment="1" applyProtection="1">
      <alignment horizontal="left" vertical="center"/>
      <protection locked="0"/>
    </xf>
    <xf numFmtId="0" fontId="3" fillId="24" borderId="83" xfId="0" applyFont="1" applyFill="1" applyBorder="1" applyAlignment="1" applyProtection="1">
      <alignment horizontal="left" vertical="center"/>
      <protection locked="0"/>
    </xf>
    <xf numFmtId="9" fontId="9" fillId="27" borderId="23" xfId="0" applyNumberFormat="1" applyFont="1" applyFill="1" applyBorder="1" applyAlignment="1">
      <alignment horizontal="center" vertical="center"/>
    </xf>
    <xf numFmtId="9" fontId="9" fillId="27" borderId="53" xfId="0" applyNumberFormat="1" applyFont="1" applyFill="1" applyBorder="1" applyAlignment="1">
      <alignment horizontal="center" vertical="center"/>
    </xf>
    <xf numFmtId="9" fontId="9" fillId="27" borderId="57" xfId="0" applyNumberFormat="1" applyFont="1" applyFill="1" applyBorder="1" applyAlignment="1">
      <alignment horizontal="center" vertical="center"/>
    </xf>
    <xf numFmtId="0" fontId="9" fillId="48" borderId="23" xfId="0" applyFont="1" applyFill="1" applyBorder="1" applyAlignment="1">
      <alignment horizontal="left" vertical="center"/>
    </xf>
    <xf numFmtId="0" fontId="9" fillId="48" borderId="53" xfId="0" applyFont="1" applyFill="1" applyBorder="1" applyAlignment="1">
      <alignment horizontal="left" vertical="center"/>
    </xf>
    <xf numFmtId="0" fontId="9" fillId="48" borderId="57" xfId="0" applyFont="1" applyFill="1" applyBorder="1" applyAlignment="1">
      <alignment horizontal="left" vertical="center"/>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42" fillId="32" borderId="79" xfId="0" applyFont="1" applyFill="1" applyBorder="1" applyAlignment="1">
      <alignment horizontal="center" vertical="center" wrapText="1"/>
    </xf>
    <xf numFmtId="0" fontId="42" fillId="32" borderId="80" xfId="0" applyFont="1" applyFill="1" applyBorder="1" applyAlignment="1">
      <alignment horizontal="center" vertical="center" wrapText="1"/>
    </xf>
    <xf numFmtId="0" fontId="42" fillId="32" borderId="81" xfId="0" applyFont="1" applyFill="1" applyBorder="1" applyAlignment="1">
      <alignment horizontal="center" vertical="center" wrapText="1"/>
    </xf>
    <xf numFmtId="0" fontId="0" fillId="24" borderId="0" xfId="0" applyFill="1" applyAlignment="1">
      <alignment horizontal="center"/>
    </xf>
    <xf numFmtId="166" fontId="9" fillId="53" borderId="43" xfId="0" applyNumberFormat="1" applyFont="1" applyFill="1" applyBorder="1" applyAlignment="1">
      <alignment horizontal="center" vertical="center"/>
    </xf>
    <xf numFmtId="166" fontId="9" fillId="53" borderId="55" xfId="0" applyNumberFormat="1" applyFont="1" applyFill="1" applyBorder="1" applyAlignment="1">
      <alignment horizontal="center" vertical="center"/>
    </xf>
    <xf numFmtId="166" fontId="9" fillId="53" borderId="42" xfId="0" applyNumberFormat="1" applyFont="1" applyFill="1" applyBorder="1" applyAlignment="1">
      <alignment horizontal="center" vertical="center"/>
    </xf>
    <xf numFmtId="0" fontId="8" fillId="0" borderId="73" xfId="0" applyFont="1" applyBorder="1" applyAlignment="1">
      <alignment horizontal="left" vertical="top" wrapText="1"/>
    </xf>
    <xf numFmtId="0" fontId="37" fillId="27" borderId="23" xfId="0" applyFont="1" applyFill="1" applyBorder="1" applyAlignment="1">
      <alignment horizontal="left" vertical="center"/>
    </xf>
    <xf numFmtId="0" fontId="37" fillId="27" borderId="53" xfId="0" applyFont="1" applyFill="1" applyBorder="1" applyAlignment="1">
      <alignment horizontal="left" vertical="center"/>
    </xf>
    <xf numFmtId="0" fontId="37" fillId="27" borderId="57" xfId="0" applyFont="1" applyFill="1" applyBorder="1" applyAlignment="1">
      <alignment horizontal="left" vertical="center"/>
    </xf>
    <xf numFmtId="0" fontId="33" fillId="48" borderId="11" xfId="0" applyFont="1" applyFill="1" applyBorder="1" applyAlignment="1">
      <alignment horizontal="center"/>
    </xf>
    <xf numFmtId="0" fontId="0" fillId="0" borderId="0" xfId="0" applyAlignment="1">
      <alignment horizontal="center"/>
    </xf>
    <xf numFmtId="0" fontId="123" fillId="0" borderId="0" xfId="0" applyFont="1" applyAlignment="1" applyProtection="1">
      <alignment horizontal="left" vertical="center" wrapText="1"/>
      <protection hidden="1"/>
    </xf>
    <xf numFmtId="0" fontId="123" fillId="0" borderId="0" xfId="0" applyFont="1" applyAlignment="1" applyProtection="1">
      <alignment horizontal="left" vertical="center"/>
      <protection hidden="1"/>
    </xf>
    <xf numFmtId="0" fontId="20" fillId="33" borderId="15" xfId="0" applyFont="1" applyFill="1" applyBorder="1" applyAlignment="1" applyProtection="1">
      <alignment horizontal="center" vertical="center" wrapText="1"/>
      <protection hidden="1"/>
    </xf>
    <xf numFmtId="0" fontId="20" fillId="33" borderId="20" xfId="0" applyFont="1" applyFill="1" applyBorder="1" applyAlignment="1" applyProtection="1">
      <alignment horizontal="center" vertical="center" wrapText="1"/>
      <protection hidden="1"/>
    </xf>
    <xf numFmtId="0" fontId="0" fillId="33" borderId="165" xfId="0" applyFill="1" applyBorder="1" applyAlignment="1" applyProtection="1">
      <alignment horizontal="center" vertical="center" wrapText="1"/>
      <protection hidden="1"/>
    </xf>
    <xf numFmtId="0" fontId="20" fillId="43" borderId="15" xfId="0" applyFont="1" applyFill="1" applyBorder="1" applyAlignment="1" applyProtection="1">
      <alignment horizontal="center" vertical="center" textRotation="90" wrapText="1"/>
      <protection hidden="1"/>
    </xf>
    <xf numFmtId="0" fontId="0" fillId="43" borderId="25" xfId="0" applyFill="1" applyBorder="1" applyAlignment="1" applyProtection="1">
      <alignment horizontal="center" vertical="center" textRotation="90" wrapText="1"/>
      <protection hidden="1"/>
    </xf>
    <xf numFmtId="0" fontId="0" fillId="43" borderId="165" xfId="0" applyFill="1" applyBorder="1" applyAlignment="1" applyProtection="1">
      <alignment horizontal="center" vertical="center" textRotation="90" wrapText="1"/>
      <protection hidden="1"/>
    </xf>
    <xf numFmtId="0" fontId="20" fillId="48" borderId="15" xfId="0" applyFont="1" applyFill="1" applyBorder="1" applyAlignment="1" applyProtection="1">
      <alignment horizontal="center" vertical="center" textRotation="90"/>
      <protection hidden="1"/>
    </xf>
    <xf numFmtId="0" fontId="20" fillId="48" borderId="25" xfId="0" applyFont="1" applyFill="1" applyBorder="1" applyAlignment="1" applyProtection="1">
      <alignment horizontal="center" vertical="center" textRotation="90"/>
      <protection hidden="1"/>
    </xf>
    <xf numFmtId="0" fontId="20" fillId="48" borderId="20" xfId="0" applyFont="1" applyFill="1" applyBorder="1" applyAlignment="1" applyProtection="1">
      <alignment horizontal="center" vertical="center" textRotation="90"/>
      <protection hidden="1"/>
    </xf>
    <xf numFmtId="0" fontId="20" fillId="43" borderId="23" xfId="0" applyFont="1" applyFill="1" applyBorder="1" applyAlignment="1" applyProtection="1">
      <alignment horizontal="center" vertical="center" wrapText="1"/>
      <protection hidden="1"/>
    </xf>
    <xf numFmtId="0" fontId="0" fillId="43" borderId="57" xfId="0" applyFill="1" applyBorder="1" applyAlignment="1" applyProtection="1">
      <alignment horizontal="center" vertical="center" wrapText="1"/>
      <protection hidden="1"/>
    </xf>
    <xf numFmtId="0" fontId="20" fillId="33" borderId="15" xfId="0" applyFont="1" applyFill="1" applyBorder="1" applyAlignment="1" applyProtection="1">
      <alignment horizontal="center" vertical="center"/>
      <protection hidden="1"/>
    </xf>
    <xf numFmtId="0" fontId="0" fillId="33" borderId="165" xfId="0" applyFill="1" applyBorder="1" applyAlignment="1" applyProtection="1">
      <alignment horizontal="center" vertical="center"/>
      <protection hidden="1"/>
    </xf>
    <xf numFmtId="0" fontId="20" fillId="43" borderId="25" xfId="0" applyFont="1" applyFill="1" applyBorder="1" applyAlignment="1" applyProtection="1">
      <alignment horizontal="center" vertical="center" textRotation="90"/>
      <protection hidden="1"/>
    </xf>
    <xf numFmtId="0" fontId="20" fillId="43" borderId="165" xfId="0" applyFont="1" applyFill="1" applyBorder="1" applyAlignment="1" applyProtection="1">
      <alignment horizontal="center" vertical="center" textRotation="90"/>
      <protection hidden="1"/>
    </xf>
    <xf numFmtId="0" fontId="20" fillId="43" borderId="11" xfId="0" applyFont="1" applyFill="1" applyBorder="1" applyAlignment="1" applyProtection="1">
      <alignment horizontal="center" vertical="center" wrapText="1"/>
      <protection hidden="1"/>
    </xf>
    <xf numFmtId="0" fontId="0" fillId="43" borderId="11" xfId="0" applyFill="1" applyBorder="1" applyAlignment="1" applyProtection="1">
      <alignment horizontal="center" vertical="center" wrapText="1"/>
      <protection hidden="1"/>
    </xf>
    <xf numFmtId="0" fontId="0" fillId="43" borderId="127" xfId="0" applyFill="1" applyBorder="1" applyAlignment="1" applyProtection="1">
      <alignment horizontal="center" vertical="center" wrapText="1"/>
      <protection hidden="1"/>
    </xf>
    <xf numFmtId="0" fontId="20" fillId="43" borderId="11" xfId="0" applyFont="1"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43" borderId="127" xfId="0" applyFill="1" applyBorder="1" applyAlignment="1" applyProtection="1">
      <alignment horizontal="center" vertical="center"/>
      <protection hidden="1"/>
    </xf>
    <xf numFmtId="0" fontId="20" fillId="33" borderId="165" xfId="0" applyFont="1" applyFill="1" applyBorder="1" applyAlignment="1" applyProtection="1">
      <alignment horizontal="center" vertical="center" wrapText="1"/>
      <protection hidden="1"/>
    </xf>
    <xf numFmtId="0" fontId="20" fillId="43" borderId="53" xfId="0" applyFont="1" applyFill="1" applyBorder="1" applyAlignment="1" applyProtection="1">
      <alignment horizontal="center" vertical="center" wrapText="1"/>
      <protection hidden="1"/>
    </xf>
    <xf numFmtId="0" fontId="0" fillId="43" borderId="53" xfId="0" applyFill="1" applyBorder="1" applyAlignment="1" applyProtection="1">
      <alignment horizontal="center" vertical="center"/>
      <protection hidden="1"/>
    </xf>
    <xf numFmtId="0" fontId="0" fillId="43" borderId="57" xfId="0" applyFill="1" applyBorder="1" applyAlignment="1" applyProtection="1">
      <alignment horizontal="center" vertical="center"/>
      <protection hidden="1"/>
    </xf>
    <xf numFmtId="0" fontId="20" fillId="43" borderId="127" xfId="0" applyFont="1" applyFill="1" applyBorder="1" applyAlignment="1" applyProtection="1">
      <alignment horizontal="center" vertical="center"/>
      <protection hidden="1"/>
    </xf>
    <xf numFmtId="0" fontId="98" fillId="32" borderId="23" xfId="0" applyFont="1" applyFill="1" applyBorder="1" applyAlignment="1" applyProtection="1">
      <alignment horizontal="center" vertical="center" wrapText="1"/>
      <protection hidden="1"/>
    </xf>
    <xf numFmtId="0" fontId="98" fillId="32" borderId="53" xfId="0" applyFont="1" applyFill="1" applyBorder="1" applyAlignment="1" applyProtection="1">
      <alignment horizontal="center" vertical="center" wrapText="1"/>
      <protection hidden="1"/>
    </xf>
    <xf numFmtId="0" fontId="98" fillId="32" borderId="57" xfId="0" applyFont="1" applyFill="1" applyBorder="1" applyAlignment="1" applyProtection="1">
      <alignment horizontal="center" vertical="center" wrapText="1"/>
      <protection hidden="1"/>
    </xf>
    <xf numFmtId="0" fontId="20" fillId="43" borderId="23" xfId="0" applyFont="1" applyFill="1" applyBorder="1" applyAlignment="1" applyProtection="1">
      <alignment horizontal="center" vertical="center"/>
      <protection hidden="1"/>
    </xf>
    <xf numFmtId="0" fontId="20" fillId="43" borderId="53" xfId="0" applyFont="1" applyFill="1" applyBorder="1" applyAlignment="1" applyProtection="1">
      <alignment horizontal="center" vertical="center"/>
      <protection hidden="1"/>
    </xf>
    <xf numFmtId="0" fontId="20" fillId="43" borderId="57" xfId="0" applyFont="1" applyFill="1" applyBorder="1" applyAlignment="1" applyProtection="1">
      <alignment horizontal="center" vertical="center"/>
      <protection hidden="1"/>
    </xf>
    <xf numFmtId="0" fontId="20" fillId="48" borderId="15" xfId="0" applyFont="1" applyFill="1" applyBorder="1" applyAlignment="1" applyProtection="1">
      <alignment horizontal="center" vertical="center" textRotation="90" wrapText="1"/>
      <protection hidden="1"/>
    </xf>
    <xf numFmtId="0" fontId="20" fillId="48" borderId="25" xfId="0" applyFont="1" applyFill="1" applyBorder="1" applyAlignment="1" applyProtection="1">
      <alignment horizontal="center" vertical="center" textRotation="90" wrapText="1"/>
      <protection hidden="1"/>
    </xf>
    <xf numFmtId="0" fontId="20" fillId="48" borderId="15" xfId="0" applyFont="1" applyFill="1" applyBorder="1" applyAlignment="1" applyProtection="1">
      <alignment horizontal="center" vertical="center"/>
      <protection hidden="1"/>
    </xf>
    <xf numFmtId="0" fontId="20" fillId="48" borderId="25" xfId="0" applyFont="1" applyFill="1" applyBorder="1" applyAlignment="1" applyProtection="1">
      <alignment horizontal="center" vertical="center"/>
      <protection hidden="1"/>
    </xf>
    <xf numFmtId="0" fontId="20" fillId="48" borderId="20" xfId="0" applyFont="1" applyFill="1" applyBorder="1" applyAlignment="1" applyProtection="1">
      <alignment horizontal="center" vertical="center"/>
      <protection hidden="1"/>
    </xf>
    <xf numFmtId="0" fontId="20" fillId="48" borderId="20" xfId="0" applyFont="1" applyFill="1" applyBorder="1" applyAlignment="1" applyProtection="1">
      <alignment horizontal="center" vertical="center" textRotation="90" wrapText="1"/>
      <protection hidden="1"/>
    </xf>
    <xf numFmtId="0" fontId="0" fillId="33" borderId="20" xfId="0" applyFill="1" applyBorder="1" applyAlignment="1" applyProtection="1">
      <alignment horizontal="center" vertical="center"/>
      <protection hidden="1"/>
    </xf>
    <xf numFmtId="0" fontId="0" fillId="33" borderId="20" xfId="0" applyFill="1" applyBorder="1" applyAlignment="1" applyProtection="1">
      <alignment horizontal="center" vertical="center" wrapText="1"/>
      <protection hidden="1"/>
    </xf>
    <xf numFmtId="0" fontId="33" fillId="0" borderId="55" xfId="0" applyFont="1" applyBorder="1" applyAlignment="1" applyProtection="1">
      <alignment horizontal="left"/>
      <protection locked="0"/>
    </xf>
    <xf numFmtId="0" fontId="0" fillId="0" borderId="53" xfId="0" applyBorder="1" applyAlignment="1" applyProtection="1">
      <alignment horizontal="left"/>
      <protection locked="0"/>
    </xf>
    <xf numFmtId="0" fontId="20" fillId="33" borderId="20" xfId="0" applyFont="1" applyFill="1" applyBorder="1" applyAlignment="1" applyProtection="1">
      <alignment horizontal="center" vertical="center"/>
      <protection hidden="1"/>
    </xf>
    <xf numFmtId="0" fontId="20" fillId="33" borderId="30" xfId="0" applyFont="1" applyFill="1" applyBorder="1" applyAlignment="1" applyProtection="1">
      <alignment horizontal="center" vertical="center" wrapText="1"/>
      <protection hidden="1"/>
    </xf>
    <xf numFmtId="0" fontId="0" fillId="33" borderId="43" xfId="0" applyFill="1" applyBorder="1" applyAlignment="1" applyProtection="1">
      <alignment horizontal="center" vertical="center" wrapText="1"/>
      <protection hidden="1"/>
    </xf>
    <xf numFmtId="0" fontId="20" fillId="48" borderId="23" xfId="0" applyFont="1" applyFill="1" applyBorder="1" applyAlignment="1" applyProtection="1">
      <alignment horizontal="center" vertical="center"/>
      <protection hidden="1"/>
    </xf>
    <xf numFmtId="0" fontId="20" fillId="48" borderId="57" xfId="0" applyFont="1" applyFill="1" applyBorder="1" applyAlignment="1" applyProtection="1">
      <alignment horizontal="center" vertical="center"/>
      <protection hidden="1"/>
    </xf>
    <xf numFmtId="0" fontId="20" fillId="33" borderId="23" xfId="0" applyFont="1" applyFill="1" applyBorder="1" applyAlignment="1" applyProtection="1">
      <alignment horizontal="center" vertical="center"/>
      <protection hidden="1"/>
    </xf>
    <xf numFmtId="0" fontId="20" fillId="33" borderId="53" xfId="0" applyFont="1" applyFill="1" applyBorder="1" applyAlignment="1" applyProtection="1">
      <alignment horizontal="center" vertical="center"/>
      <protection hidden="1"/>
    </xf>
    <xf numFmtId="0" fontId="20" fillId="33" borderId="57" xfId="0" applyFont="1" applyFill="1" applyBorder="1" applyAlignment="1" applyProtection="1">
      <alignment horizontal="center" vertical="center"/>
      <protection hidden="1"/>
    </xf>
    <xf numFmtId="0" fontId="20" fillId="33" borderId="165" xfId="0" applyFont="1" applyFill="1" applyBorder="1" applyAlignment="1" applyProtection="1">
      <alignment horizontal="center" vertical="center"/>
      <protection hidden="1"/>
    </xf>
    <xf numFmtId="0" fontId="0" fillId="0" borderId="55" xfId="0" applyBorder="1" applyProtection="1">
      <protection locked="0"/>
    </xf>
    <xf numFmtId="0" fontId="0" fillId="0" borderId="0" xfId="0" applyAlignment="1" applyProtection="1">
      <alignment horizontal="left"/>
      <protection locked="0"/>
    </xf>
    <xf numFmtId="168" fontId="4" fillId="0" borderId="56" xfId="0" applyNumberFormat="1" applyFont="1" applyBorder="1" applyAlignment="1" applyProtection="1">
      <alignment horizontal="center"/>
      <protection hidden="1"/>
    </xf>
    <xf numFmtId="168" fontId="4" fillId="0" borderId="52" xfId="0" applyNumberFormat="1" applyFont="1" applyBorder="1" applyAlignment="1" applyProtection="1">
      <alignment horizontal="center"/>
      <protection hidden="1"/>
    </xf>
    <xf numFmtId="168" fontId="2" fillId="0" borderId="34" xfId="0" applyNumberFormat="1" applyFont="1" applyBorder="1" applyAlignment="1" applyProtection="1">
      <alignment horizontal="center"/>
      <protection hidden="1"/>
    </xf>
    <xf numFmtId="168" fontId="2" fillId="0" borderId="100" xfId="0" applyNumberFormat="1" applyFont="1" applyBorder="1" applyAlignment="1" applyProtection="1">
      <alignment horizontal="center"/>
      <protection hidden="1"/>
    </xf>
    <xf numFmtId="168" fontId="0" fillId="33" borderId="101" xfId="0" applyNumberFormat="1" applyFill="1" applyBorder="1" applyAlignment="1" applyProtection="1">
      <alignment horizontal="center" vertical="center"/>
      <protection hidden="1"/>
    </xf>
    <xf numFmtId="168" fontId="0" fillId="33" borderId="41" xfId="0" applyNumberFormat="1" applyFill="1" applyBorder="1" applyAlignment="1" applyProtection="1">
      <alignment horizontal="center" vertical="center"/>
      <protection hidden="1"/>
    </xf>
    <xf numFmtId="0" fontId="26" fillId="0" borderId="102" xfId="0" applyFont="1" applyBorder="1" applyAlignment="1" applyProtection="1">
      <alignment horizontal="right"/>
      <protection hidden="1"/>
    </xf>
    <xf numFmtId="0" fontId="26" fillId="0" borderId="50" xfId="0" applyFont="1" applyBorder="1" applyAlignment="1" applyProtection="1">
      <alignment horizontal="right"/>
      <protection hidden="1"/>
    </xf>
    <xf numFmtId="0" fontId="26" fillId="0" borderId="46" xfId="0" applyFont="1" applyBorder="1" applyAlignment="1" applyProtection="1">
      <alignment horizontal="right"/>
      <protection hidden="1"/>
    </xf>
    <xf numFmtId="0" fontId="2" fillId="0" borderId="93" xfId="0" applyFont="1" applyBorder="1" applyProtection="1">
      <protection hidden="1"/>
    </xf>
    <xf numFmtId="0" fontId="17" fillId="0" borderId="53" xfId="0" applyFont="1" applyBorder="1" applyProtection="1">
      <protection hidden="1"/>
    </xf>
    <xf numFmtId="0" fontId="17" fillId="0" borderId="94" xfId="0" applyFont="1" applyBorder="1" applyProtection="1">
      <protection hidden="1"/>
    </xf>
    <xf numFmtId="0" fontId="0" fillId="33" borderId="90" xfId="0" applyFill="1" applyBorder="1" applyAlignment="1" applyProtection="1">
      <alignment horizontal="center"/>
      <protection hidden="1"/>
    </xf>
    <xf numFmtId="0" fontId="0" fillId="33" borderId="91" xfId="0" applyFill="1" applyBorder="1" applyAlignment="1" applyProtection="1">
      <alignment horizontal="center"/>
      <protection hidden="1"/>
    </xf>
    <xf numFmtId="0" fontId="0" fillId="33" borderId="92" xfId="0" applyFill="1" applyBorder="1" applyAlignment="1" applyProtection="1">
      <alignment horizontal="center"/>
      <protection hidden="1"/>
    </xf>
    <xf numFmtId="168" fontId="4" fillId="0" borderId="87" xfId="0" applyNumberFormat="1" applyFont="1" applyBorder="1" applyAlignment="1" applyProtection="1">
      <alignment horizontal="center"/>
      <protection hidden="1"/>
    </xf>
    <xf numFmtId="168" fontId="4" fillId="0" borderId="88" xfId="0" applyNumberFormat="1" applyFont="1" applyBorder="1" applyAlignment="1" applyProtection="1">
      <alignment horizontal="center"/>
      <protection hidden="1"/>
    </xf>
    <xf numFmtId="168" fontId="2" fillId="0" borderId="68" xfId="0" applyNumberFormat="1" applyFont="1" applyBorder="1" applyAlignment="1" applyProtection="1">
      <alignment horizontal="center"/>
      <protection hidden="1"/>
    </xf>
    <xf numFmtId="168" fontId="2" fillId="0" borderId="70" xfId="0" applyNumberFormat="1" applyFont="1" applyBorder="1" applyAlignment="1" applyProtection="1">
      <alignment horizontal="center"/>
      <protection hidden="1"/>
    </xf>
    <xf numFmtId="0" fontId="0" fillId="33" borderId="43" xfId="0" applyFill="1" applyBorder="1" applyAlignment="1" applyProtection="1">
      <alignment horizontal="center" vertical="center"/>
      <protection hidden="1"/>
    </xf>
    <xf numFmtId="0" fontId="0" fillId="33" borderId="55" xfId="0" applyFill="1" applyBorder="1" applyAlignment="1" applyProtection="1">
      <alignment horizontal="center" vertical="center"/>
      <protection hidden="1"/>
    </xf>
    <xf numFmtId="0" fontId="0" fillId="33" borderId="42" xfId="0" applyFill="1" applyBorder="1" applyAlignment="1" applyProtection="1">
      <alignment horizontal="center" vertical="center"/>
      <protection hidden="1"/>
    </xf>
    <xf numFmtId="0" fontId="122" fillId="41" borderId="0" xfId="0" applyFont="1" applyFill="1" applyAlignment="1" applyProtection="1">
      <alignment horizontal="center"/>
      <protection hidden="1"/>
    </xf>
    <xf numFmtId="168" fontId="4" fillId="0" borderId="82" xfId="0" applyNumberFormat="1" applyFont="1" applyBorder="1" applyAlignment="1" applyProtection="1">
      <alignment horizontal="center"/>
      <protection hidden="1"/>
    </xf>
    <xf numFmtId="168" fontId="4" fillId="0" borderId="83" xfId="0" applyNumberFormat="1" applyFont="1" applyBorder="1" applyAlignment="1" applyProtection="1">
      <alignment horizontal="center"/>
      <protection hidden="1"/>
    </xf>
    <xf numFmtId="0" fontId="0" fillId="43" borderId="72" xfId="0" applyFill="1" applyBorder="1" applyAlignment="1" applyProtection="1">
      <alignment horizontal="center"/>
      <protection hidden="1"/>
    </xf>
    <xf numFmtId="0" fontId="0" fillId="43" borderId="73" xfId="0" applyFill="1" applyBorder="1" applyAlignment="1" applyProtection="1">
      <alignment horizontal="center"/>
      <protection hidden="1"/>
    </xf>
    <xf numFmtId="0" fontId="0" fillId="33" borderId="23" xfId="0" applyFill="1" applyBorder="1" applyAlignment="1" applyProtection="1">
      <alignment horizontal="center"/>
      <protection hidden="1"/>
    </xf>
    <xf numFmtId="0" fontId="0" fillId="33" borderId="53" xfId="0" applyFill="1" applyBorder="1" applyAlignment="1" applyProtection="1">
      <alignment horizontal="center"/>
      <protection hidden="1"/>
    </xf>
    <xf numFmtId="0" fontId="0" fillId="33" borderId="57" xfId="0" applyFill="1" applyBorder="1" applyAlignment="1" applyProtection="1">
      <alignment horizontal="center"/>
      <protection hidden="1"/>
    </xf>
    <xf numFmtId="0" fontId="148" fillId="42" borderId="79" xfId="0" applyFont="1" applyFill="1" applyBorder="1" applyAlignment="1" applyProtection="1">
      <alignment horizontal="center" vertical="center"/>
      <protection hidden="1"/>
    </xf>
    <xf numFmtId="0" fontId="148" fillId="42" borderId="80" xfId="0" applyFont="1" applyFill="1" applyBorder="1" applyAlignment="1" applyProtection="1">
      <alignment horizontal="center" vertical="center"/>
      <protection hidden="1"/>
    </xf>
    <xf numFmtId="0" fontId="148" fillId="42" borderId="89" xfId="0" applyFont="1" applyFill="1" applyBorder="1" applyAlignment="1" applyProtection="1">
      <alignment horizontal="center" vertical="center"/>
      <protection hidden="1"/>
    </xf>
    <xf numFmtId="0" fontId="0" fillId="0" borderId="0" xfId="0" applyAlignment="1" applyProtection="1">
      <alignment horizontal="left"/>
      <protection hidden="1"/>
    </xf>
    <xf numFmtId="0" fontId="0" fillId="0" borderId="55" xfId="0" applyBorder="1" applyAlignment="1" applyProtection="1">
      <alignment horizontal="left"/>
      <protection locked="0"/>
    </xf>
    <xf numFmtId="0" fontId="148" fillId="42" borderId="81" xfId="0" applyFont="1" applyFill="1" applyBorder="1" applyAlignment="1" applyProtection="1">
      <alignment horizontal="center" vertical="center"/>
      <protection hidden="1"/>
    </xf>
    <xf numFmtId="0" fontId="0" fillId="33" borderId="95" xfId="0" applyFill="1" applyBorder="1" applyAlignment="1" applyProtection="1">
      <alignment horizontal="center" vertical="center"/>
      <protection hidden="1"/>
    </xf>
    <xf numFmtId="0" fontId="0" fillId="33" borderId="96" xfId="0" applyFill="1" applyBorder="1" applyAlignment="1" applyProtection="1">
      <alignment horizontal="center" vertical="center"/>
      <protection hidden="1"/>
    </xf>
    <xf numFmtId="0" fontId="0" fillId="33" borderId="97" xfId="0" applyFill="1" applyBorder="1" applyAlignment="1" applyProtection="1">
      <alignment horizontal="center" vertical="center"/>
      <protection hidden="1"/>
    </xf>
    <xf numFmtId="0" fontId="0" fillId="33" borderId="98" xfId="0" applyFill="1" applyBorder="1" applyAlignment="1" applyProtection="1">
      <alignment horizontal="center" vertical="center"/>
      <protection hidden="1"/>
    </xf>
    <xf numFmtId="0" fontId="0" fillId="33" borderId="99" xfId="0" applyFill="1" applyBorder="1" applyAlignment="1" applyProtection="1">
      <alignment horizontal="center" vertical="center"/>
      <protection hidden="1"/>
    </xf>
    <xf numFmtId="0" fontId="0" fillId="43" borderId="79" xfId="0" applyFill="1" applyBorder="1" applyAlignment="1" applyProtection="1">
      <alignment horizontal="center"/>
      <protection hidden="1"/>
    </xf>
    <xf numFmtId="0" fontId="0" fillId="43" borderId="80" xfId="0" applyFill="1" applyBorder="1" applyAlignment="1" applyProtection="1">
      <alignment horizontal="center"/>
      <protection hidden="1"/>
    </xf>
    <xf numFmtId="0" fontId="0" fillId="43" borderId="81" xfId="0" applyFill="1" applyBorder="1" applyAlignment="1" applyProtection="1">
      <alignment horizontal="center"/>
      <protection hidden="1"/>
    </xf>
    <xf numFmtId="0" fontId="17" fillId="0" borderId="93" xfId="0" applyFont="1" applyBorder="1" applyProtection="1">
      <protection hidden="1"/>
    </xf>
    <xf numFmtId="168" fontId="0" fillId="33" borderId="73" xfId="0" applyNumberFormat="1" applyFill="1" applyBorder="1" applyAlignment="1" applyProtection="1">
      <alignment horizontal="center"/>
      <protection hidden="1"/>
    </xf>
    <xf numFmtId="0" fontId="33" fillId="0" borderId="55" xfId="0" applyFont="1" applyBorder="1" applyAlignment="1" applyProtection="1">
      <alignment horizontal="left"/>
      <protection hidden="1"/>
    </xf>
    <xf numFmtId="0" fontId="20" fillId="48" borderId="23" xfId="0" applyFont="1" applyFill="1" applyBorder="1" applyAlignment="1" applyProtection="1">
      <alignment horizontal="center" vertical="center" wrapText="1"/>
      <protection hidden="1"/>
    </xf>
    <xf numFmtId="0" fontId="0" fillId="48" borderId="57" xfId="0" applyFill="1" applyBorder="1" applyAlignment="1" applyProtection="1">
      <alignment horizontal="center" vertical="center" wrapText="1"/>
      <protection hidden="1"/>
    </xf>
    <xf numFmtId="0" fontId="144" fillId="32" borderId="43" xfId="0" applyFont="1" applyFill="1" applyBorder="1" applyAlignment="1" applyProtection="1">
      <alignment horizontal="center" vertical="center" wrapText="1"/>
      <protection hidden="1"/>
    </xf>
    <xf numFmtId="0" fontId="144" fillId="32" borderId="53" xfId="0" applyFont="1" applyFill="1" applyBorder="1" applyAlignment="1" applyProtection="1">
      <alignment horizontal="center" vertical="center" wrapText="1"/>
      <protection hidden="1"/>
    </xf>
    <xf numFmtId="0" fontId="144" fillId="32" borderId="57" xfId="0" applyFont="1" applyFill="1" applyBorder="1" applyAlignment="1" applyProtection="1">
      <alignment horizontal="center" vertical="center" wrapText="1"/>
      <protection hidden="1"/>
    </xf>
    <xf numFmtId="0" fontId="20" fillId="48" borderId="57" xfId="0" applyFont="1" applyFill="1" applyBorder="1" applyAlignment="1" applyProtection="1">
      <alignment horizontal="center" vertical="center" wrapText="1"/>
      <protection hidden="1"/>
    </xf>
    <xf numFmtId="0" fontId="0" fillId="48" borderId="25" xfId="0" applyFill="1" applyBorder="1" applyAlignment="1" applyProtection="1">
      <alignment horizontal="center" vertical="center" textRotation="90" wrapText="1"/>
      <protection hidden="1"/>
    </xf>
    <xf numFmtId="0" fontId="0" fillId="48" borderId="20" xfId="0" applyFill="1" applyBorder="1" applyAlignment="1" applyProtection="1">
      <alignment horizontal="center" vertical="center" textRotation="90" wrapText="1"/>
      <protection hidden="1"/>
    </xf>
    <xf numFmtId="14" fontId="54" fillId="0" borderId="0" xfId="0" applyNumberFormat="1" applyFont="1" applyAlignment="1">
      <alignment horizontal="right" vertical="top"/>
    </xf>
    <xf numFmtId="0" fontId="144" fillId="32" borderId="53" xfId="0" applyFont="1" applyFill="1" applyBorder="1" applyAlignment="1" applyProtection="1">
      <alignment horizontal="left" vertical="center"/>
      <protection hidden="1"/>
    </xf>
    <xf numFmtId="0" fontId="144" fillId="32" borderId="57" xfId="0" applyFont="1" applyFill="1" applyBorder="1" applyAlignment="1" applyProtection="1">
      <alignment horizontal="left" vertical="center"/>
      <protection hidden="1"/>
    </xf>
    <xf numFmtId="0" fontId="0" fillId="48" borderId="25" xfId="0" applyFill="1" applyBorder="1" applyAlignment="1" applyProtection="1">
      <alignment horizontal="center" vertical="center"/>
      <protection hidden="1"/>
    </xf>
    <xf numFmtId="0" fontId="0" fillId="48" borderId="20" xfId="0" applyFill="1" applyBorder="1" applyAlignment="1" applyProtection="1">
      <alignment horizontal="center" vertical="center"/>
      <protection hidden="1"/>
    </xf>
    <xf numFmtId="0" fontId="20" fillId="48" borderId="15" xfId="0" applyFont="1" applyFill="1" applyBorder="1" applyAlignment="1" applyProtection="1">
      <alignment horizontal="center" vertical="center" wrapText="1"/>
      <protection hidden="1"/>
    </xf>
    <xf numFmtId="0" fontId="0" fillId="48" borderId="53" xfId="0" applyFill="1" applyBorder="1" applyAlignment="1" applyProtection="1">
      <alignment horizontal="center" vertical="center"/>
      <protection hidden="1"/>
    </xf>
    <xf numFmtId="0" fontId="0" fillId="48" borderId="57" xfId="0" applyFill="1" applyBorder="1" applyAlignment="1" applyProtection="1">
      <alignment horizontal="center" vertical="center"/>
      <protection hidden="1"/>
    </xf>
    <xf numFmtId="0" fontId="20" fillId="48" borderId="53" xfId="0" applyFont="1" applyFill="1" applyBorder="1" applyAlignment="1" applyProtection="1">
      <alignment horizontal="center" vertical="center"/>
      <protection hidden="1"/>
    </xf>
    <xf numFmtId="0" fontId="0" fillId="48" borderId="25" xfId="0" applyFill="1" applyBorder="1" applyAlignment="1" applyProtection="1">
      <alignment horizontal="center" vertical="center" wrapText="1"/>
      <protection hidden="1"/>
    </xf>
    <xf numFmtId="0" fontId="0" fillId="48" borderId="20" xfId="0" applyFill="1" applyBorder="1" applyAlignment="1" applyProtection="1">
      <alignment horizontal="center" vertical="center" wrapText="1"/>
      <protection hidden="1"/>
    </xf>
    <xf numFmtId="0" fontId="0" fillId="0" borderId="55" xfId="0" applyBorder="1" applyAlignment="1" applyProtection="1">
      <alignment horizontal="center"/>
      <protection hidden="1"/>
    </xf>
    <xf numFmtId="0" fontId="0" fillId="0" borderId="53" xfId="0" applyBorder="1" applyAlignment="1" applyProtection="1">
      <alignment horizontal="left"/>
      <protection hidden="1"/>
    </xf>
    <xf numFmtId="0" fontId="20" fillId="33" borderId="25" xfId="0" applyFont="1" applyFill="1" applyBorder="1" applyAlignment="1" applyProtection="1">
      <alignment horizontal="center" vertical="center" wrapText="1"/>
      <protection hidden="1"/>
    </xf>
    <xf numFmtId="0" fontId="101" fillId="0" borderId="132" xfId="69" applyFont="1" applyBorder="1" applyAlignment="1" applyProtection="1">
      <alignment horizontal="left"/>
      <protection locked="0"/>
    </xf>
    <xf numFmtId="0" fontId="101" fillId="0" borderId="133" xfId="69" applyFont="1" applyBorder="1" applyAlignment="1" applyProtection="1">
      <alignment horizontal="left"/>
      <protection locked="0"/>
    </xf>
    <xf numFmtId="0" fontId="101" fillId="0" borderId="134" xfId="69" applyFont="1" applyBorder="1" applyAlignment="1" applyProtection="1">
      <alignment horizontal="left"/>
      <protection locked="0"/>
    </xf>
    <xf numFmtId="44" fontId="129" fillId="0" borderId="23" xfId="48" applyFont="1" applyBorder="1" applyAlignment="1" applyProtection="1">
      <alignment horizontal="center"/>
    </xf>
    <xf numFmtId="44" fontId="129" fillId="0" borderId="53" xfId="48" applyFont="1" applyBorder="1" applyAlignment="1" applyProtection="1">
      <alignment horizontal="center"/>
    </xf>
    <xf numFmtId="44" fontId="129" fillId="0" borderId="57" xfId="48" applyFont="1" applyBorder="1" applyAlignment="1" applyProtection="1">
      <alignment horizontal="center"/>
    </xf>
    <xf numFmtId="0" fontId="125" fillId="42" borderId="15" xfId="69" applyFont="1" applyFill="1" applyBorder="1" applyAlignment="1">
      <alignment horizontal="center" vertical="center"/>
    </xf>
    <xf numFmtId="0" fontId="101" fillId="0" borderId="127" xfId="69" applyFont="1" applyBorder="1" applyAlignment="1" applyProtection="1">
      <alignment horizontal="left"/>
      <protection locked="0"/>
    </xf>
    <xf numFmtId="0" fontId="101" fillId="0" borderId="11" xfId="69" applyFont="1" applyBorder="1" applyAlignment="1" applyProtection="1">
      <alignment horizontal="left"/>
      <protection locked="0"/>
    </xf>
    <xf numFmtId="0" fontId="149" fillId="45" borderId="173" xfId="0" applyFont="1" applyFill="1" applyBorder="1" applyAlignment="1" applyProtection="1">
      <alignment horizontal="left" vertical="center" wrapText="1"/>
      <protection locked="0"/>
    </xf>
    <xf numFmtId="0" fontId="149" fillId="45" borderId="174" xfId="0" applyFont="1" applyFill="1" applyBorder="1" applyAlignment="1" applyProtection="1">
      <alignment horizontal="left" vertical="center" wrapText="1"/>
      <protection locked="0"/>
    </xf>
    <xf numFmtId="0" fontId="149" fillId="45" borderId="175" xfId="0" applyFont="1" applyFill="1" applyBorder="1" applyAlignment="1" applyProtection="1">
      <alignment horizontal="left" vertical="center" wrapText="1"/>
      <protection locked="0"/>
    </xf>
    <xf numFmtId="7" fontId="129" fillId="0" borderId="132" xfId="48" applyNumberFormat="1" applyFont="1" applyBorder="1" applyAlignment="1" applyProtection="1">
      <alignment horizontal="center"/>
      <protection locked="0"/>
    </xf>
    <xf numFmtId="7" fontId="129" fillId="0" borderId="133" xfId="48" applyNumberFormat="1" applyFont="1" applyBorder="1" applyAlignment="1" applyProtection="1">
      <alignment horizontal="center"/>
      <protection locked="0"/>
    </xf>
    <xf numFmtId="7" fontId="129" fillId="0" borderId="134" xfId="48" applyNumberFormat="1" applyFont="1" applyBorder="1" applyAlignment="1" applyProtection="1">
      <alignment horizontal="center"/>
      <protection locked="0"/>
    </xf>
    <xf numFmtId="0" fontId="149" fillId="45" borderId="173" xfId="0" applyFont="1" applyFill="1" applyBorder="1" applyAlignment="1" applyProtection="1">
      <alignment horizontal="center" vertical="center" wrapText="1"/>
      <protection locked="0"/>
    </xf>
    <xf numFmtId="0" fontId="149" fillId="45" borderId="174" xfId="0" applyFont="1" applyFill="1" applyBorder="1" applyAlignment="1" applyProtection="1">
      <alignment horizontal="center" vertical="center" wrapText="1"/>
      <protection locked="0"/>
    </xf>
    <xf numFmtId="0" fontId="149" fillId="45" borderId="175" xfId="0" applyFont="1" applyFill="1" applyBorder="1" applyAlignment="1" applyProtection="1">
      <alignment horizontal="center" vertical="center" wrapText="1"/>
      <protection locked="0"/>
    </xf>
    <xf numFmtId="0" fontId="134" fillId="50" borderId="176" xfId="0" applyFont="1" applyFill="1" applyBorder="1" applyAlignment="1">
      <alignment horizontal="center" vertical="top"/>
    </xf>
    <xf numFmtId="0" fontId="134" fillId="50" borderId="0" xfId="0" applyFont="1" applyFill="1" applyAlignment="1">
      <alignment horizontal="center" vertical="top"/>
    </xf>
    <xf numFmtId="0" fontId="150" fillId="50" borderId="176" xfId="0" applyFont="1" applyFill="1" applyBorder="1" applyAlignment="1">
      <alignment horizontal="center" vertical="top" wrapText="1"/>
    </xf>
    <xf numFmtId="0" fontId="98" fillId="42" borderId="86" xfId="69" applyFont="1" applyFill="1" applyBorder="1" applyAlignment="1">
      <alignment horizontal="center" vertical="center" textRotation="90"/>
    </xf>
    <xf numFmtId="0" fontId="98" fillId="42" borderId="78" xfId="69" applyFont="1" applyFill="1" applyBorder="1" applyAlignment="1">
      <alignment horizontal="center" vertical="center" textRotation="90"/>
    </xf>
    <xf numFmtId="0" fontId="98" fillId="42" borderId="71" xfId="69" applyFont="1" applyFill="1" applyBorder="1" applyAlignment="1">
      <alignment horizontal="center" vertical="center" textRotation="90"/>
    </xf>
    <xf numFmtId="3" fontId="101" fillId="0" borderId="11" xfId="69" applyNumberFormat="1" applyFont="1" applyBorder="1" applyAlignment="1" applyProtection="1">
      <alignment horizontal="center"/>
      <protection locked="0"/>
    </xf>
    <xf numFmtId="0" fontId="101" fillId="0" borderId="154" xfId="69" applyFont="1" applyBorder="1" applyAlignment="1" applyProtection="1">
      <alignment horizontal="left" vertical="center"/>
      <protection locked="0"/>
    </xf>
    <xf numFmtId="0" fontId="101" fillId="0" borderId="155" xfId="69" applyFont="1" applyBorder="1" applyAlignment="1" applyProtection="1">
      <alignment horizontal="left" vertical="center"/>
      <protection locked="0"/>
    </xf>
    <xf numFmtId="0" fontId="2" fillId="40" borderId="91" xfId="69" applyFont="1" applyFill="1" applyBorder="1" applyAlignment="1">
      <alignment horizontal="center" vertical="center"/>
    </xf>
    <xf numFmtId="0" fontId="2" fillId="40" borderId="73" xfId="69" applyFont="1" applyFill="1" applyBorder="1" applyAlignment="1">
      <alignment horizontal="center" vertical="center"/>
    </xf>
    <xf numFmtId="0" fontId="129" fillId="40" borderId="0" xfId="69" applyFont="1" applyFill="1" applyAlignment="1">
      <alignment horizontal="left"/>
    </xf>
    <xf numFmtId="0" fontId="101" fillId="0" borderId="132" xfId="69" applyFont="1" applyBorder="1" applyAlignment="1" applyProtection="1">
      <alignment horizontal="left" vertical="center"/>
      <protection locked="0"/>
    </xf>
    <xf numFmtId="0" fontId="101" fillId="0" borderId="133" xfId="69" applyFont="1" applyBorder="1" applyAlignment="1" applyProtection="1">
      <alignment horizontal="left" vertical="center"/>
      <protection locked="0"/>
    </xf>
    <xf numFmtId="0" fontId="101" fillId="0" borderId="134" xfId="69" applyFont="1" applyBorder="1" applyAlignment="1" applyProtection="1">
      <alignment horizontal="left" vertical="center"/>
      <protection locked="0"/>
    </xf>
    <xf numFmtId="0" fontId="129" fillId="40" borderId="0" xfId="69" applyFont="1" applyFill="1" applyAlignment="1">
      <alignment horizontal="left" vertical="center"/>
    </xf>
    <xf numFmtId="0" fontId="101" fillId="0" borderId="172" xfId="69" applyFont="1" applyBorder="1" applyAlignment="1" applyProtection="1">
      <alignment horizontal="left" vertical="center"/>
      <protection locked="0"/>
    </xf>
    <xf numFmtId="0" fontId="101" fillId="0" borderId="167" xfId="69" applyFont="1" applyBorder="1" applyAlignment="1" applyProtection="1">
      <alignment horizontal="left" vertical="center"/>
      <protection locked="0"/>
    </xf>
    <xf numFmtId="0" fontId="101" fillId="0" borderId="135" xfId="69" applyFont="1" applyBorder="1" applyAlignment="1" applyProtection="1">
      <alignment horizontal="left" vertical="top" wrapText="1"/>
      <protection locked="0"/>
    </xf>
    <xf numFmtId="0" fontId="101" fillId="0" borderId="136" xfId="69" applyFont="1" applyBorder="1" applyAlignment="1" applyProtection="1">
      <alignment horizontal="left" vertical="top" wrapText="1"/>
      <protection locked="0"/>
    </xf>
    <xf numFmtId="0" fontId="101" fillId="0" borderId="137" xfId="69" applyFont="1" applyBorder="1" applyAlignment="1" applyProtection="1">
      <alignment horizontal="left" vertical="top" wrapText="1"/>
      <protection locked="0"/>
    </xf>
    <xf numFmtId="0" fontId="101" fillId="0" borderId="138" xfId="69" applyFont="1" applyBorder="1" applyAlignment="1" applyProtection="1">
      <alignment horizontal="left" vertical="top" wrapText="1"/>
      <protection locked="0"/>
    </xf>
    <xf numFmtId="0" fontId="101" fillId="0" borderId="0" xfId="69" applyFont="1" applyAlignment="1" applyProtection="1">
      <alignment horizontal="left" vertical="top" wrapText="1"/>
      <protection locked="0"/>
    </xf>
    <xf numFmtId="0" fontId="101" fillId="0" borderId="139" xfId="69" applyFont="1" applyBorder="1" applyAlignment="1" applyProtection="1">
      <alignment horizontal="left" vertical="top" wrapText="1"/>
      <protection locked="0"/>
    </xf>
    <xf numFmtId="0" fontId="101" fillId="0" borderId="140" xfId="69" applyFont="1" applyBorder="1" applyAlignment="1" applyProtection="1">
      <alignment horizontal="left" vertical="top" wrapText="1"/>
      <protection locked="0"/>
    </xf>
    <xf numFmtId="0" fontId="101" fillId="0" borderId="141" xfId="69" applyFont="1" applyBorder="1" applyAlignment="1" applyProtection="1">
      <alignment horizontal="left" vertical="top" wrapText="1"/>
      <protection locked="0"/>
    </xf>
    <xf numFmtId="0" fontId="101" fillId="0" borderId="142" xfId="69" applyFont="1" applyBorder="1" applyAlignment="1" applyProtection="1">
      <alignment horizontal="left" vertical="top" wrapText="1"/>
      <protection locked="0"/>
    </xf>
    <xf numFmtId="0" fontId="101" fillId="0" borderId="155" xfId="69" applyFont="1" applyBorder="1" applyAlignment="1" applyProtection="1">
      <alignment horizontal="center"/>
      <protection locked="0"/>
    </xf>
    <xf numFmtId="0" fontId="101" fillId="0" borderId="170" xfId="69" applyFont="1" applyBorder="1" applyAlignment="1" applyProtection="1">
      <alignment horizontal="center"/>
      <protection locked="0"/>
    </xf>
    <xf numFmtId="0" fontId="9" fillId="0" borderId="151" xfId="69" applyFont="1" applyBorder="1" applyAlignment="1" applyProtection="1">
      <alignment horizontal="left" vertical="center"/>
      <protection locked="0"/>
    </xf>
    <xf numFmtId="0" fontId="9" fillId="0" borderId="127" xfId="69" applyFont="1" applyBorder="1" applyAlignment="1" applyProtection="1">
      <alignment horizontal="left" vertical="center"/>
      <protection locked="0"/>
    </xf>
    <xf numFmtId="0" fontId="9" fillId="0" borderId="144" xfId="69" applyFont="1" applyBorder="1" applyAlignment="1" applyProtection="1">
      <alignment horizontal="left" vertical="center"/>
      <protection locked="0"/>
    </xf>
    <xf numFmtId="0" fontId="9" fillId="0" borderId="11" xfId="69" applyFont="1" applyBorder="1" applyAlignment="1" applyProtection="1">
      <alignment horizontal="left" vertical="center"/>
      <protection locked="0"/>
    </xf>
    <xf numFmtId="0" fontId="101" fillId="40" borderId="73" xfId="69" applyFont="1" applyFill="1" applyBorder="1" applyAlignment="1">
      <alignment horizontal="left" wrapText="1"/>
    </xf>
    <xf numFmtId="0" fontId="101" fillId="40" borderId="0" xfId="69" applyFont="1" applyFill="1" applyAlignment="1">
      <alignment horizontal="left" wrapText="1"/>
    </xf>
    <xf numFmtId="0" fontId="101" fillId="0" borderId="155" xfId="69" applyFont="1" applyBorder="1" applyAlignment="1" applyProtection="1">
      <alignment horizontal="left"/>
      <protection locked="0"/>
    </xf>
    <xf numFmtId="168" fontId="101" fillId="0" borderId="11" xfId="69" applyNumberFormat="1" applyFont="1" applyBorder="1" applyAlignment="1" applyProtection="1">
      <alignment horizontal="center"/>
      <protection locked="0"/>
    </xf>
    <xf numFmtId="168" fontId="101" fillId="0" borderId="169" xfId="69" applyNumberFormat="1" applyFont="1" applyBorder="1" applyAlignment="1" applyProtection="1">
      <alignment horizontal="center"/>
      <protection locked="0"/>
    </xf>
    <xf numFmtId="168" fontId="101" fillId="0" borderId="155" xfId="69" applyNumberFormat="1" applyFont="1" applyBorder="1" applyAlignment="1" applyProtection="1">
      <alignment horizontal="center"/>
      <protection locked="0"/>
    </xf>
    <xf numFmtId="168" fontId="101" fillId="0" borderId="170" xfId="69" applyNumberFormat="1" applyFont="1" applyBorder="1" applyAlignment="1" applyProtection="1">
      <alignment horizontal="center"/>
      <protection locked="0"/>
    </xf>
    <xf numFmtId="3" fontId="101" fillId="0" borderId="155" xfId="69" applyNumberFormat="1" applyFont="1" applyBorder="1" applyAlignment="1" applyProtection="1">
      <alignment horizontal="center"/>
      <protection locked="0"/>
    </xf>
    <xf numFmtId="168" fontId="101" fillId="0" borderId="127" xfId="69" applyNumberFormat="1" applyFont="1" applyBorder="1" applyAlignment="1" applyProtection="1">
      <alignment horizontal="center"/>
      <protection locked="0"/>
    </xf>
    <xf numFmtId="168" fontId="101" fillId="0" borderId="168" xfId="69" applyNumberFormat="1" applyFont="1" applyBorder="1" applyAlignment="1" applyProtection="1">
      <alignment horizontal="center"/>
      <protection locked="0"/>
    </xf>
    <xf numFmtId="0" fontId="101" fillId="0" borderId="127" xfId="69" applyFont="1" applyBorder="1" applyAlignment="1" applyProtection="1">
      <alignment horizontal="center"/>
      <protection locked="0"/>
    </xf>
    <xf numFmtId="0" fontId="9" fillId="0" borderId="164" xfId="69" applyFont="1" applyBorder="1" applyAlignment="1" applyProtection="1">
      <alignment horizontal="left" vertical="center"/>
      <protection locked="0"/>
    </xf>
    <xf numFmtId="0" fontId="9" fillId="0" borderId="161" xfId="69" applyFont="1" applyBorder="1" applyAlignment="1" applyProtection="1">
      <alignment horizontal="left" vertical="center"/>
      <protection locked="0"/>
    </xf>
    <xf numFmtId="0" fontId="9" fillId="0" borderId="162" xfId="69" applyFont="1" applyBorder="1" applyAlignment="1" applyProtection="1">
      <alignment horizontal="left" vertical="center"/>
      <protection locked="0"/>
    </xf>
    <xf numFmtId="0" fontId="101" fillId="0" borderId="11" xfId="69" applyFont="1" applyBorder="1" applyAlignment="1" applyProtection="1">
      <alignment horizontal="center"/>
      <protection locked="0"/>
    </xf>
    <xf numFmtId="3" fontId="129" fillId="0" borderId="30" xfId="48" applyNumberFormat="1" applyFont="1" applyBorder="1" applyAlignment="1" applyProtection="1">
      <alignment horizontal="center"/>
    </xf>
    <xf numFmtId="3" fontId="129" fillId="0" borderId="0" xfId="48" applyNumberFormat="1" applyFont="1" applyBorder="1" applyAlignment="1" applyProtection="1">
      <alignment horizontal="center"/>
    </xf>
    <xf numFmtId="3" fontId="129" fillId="0" borderId="27" xfId="48" applyNumberFormat="1" applyFont="1" applyBorder="1" applyAlignment="1" applyProtection="1">
      <alignment horizontal="center"/>
    </xf>
    <xf numFmtId="0" fontId="125" fillId="42" borderId="15" xfId="69" applyFont="1" applyFill="1" applyBorder="1" applyAlignment="1">
      <alignment horizontal="center" vertical="center" wrapText="1"/>
    </xf>
    <xf numFmtId="3" fontId="101" fillId="0" borderId="127" xfId="69" applyNumberFormat="1" applyFont="1" applyBorder="1" applyAlignment="1" applyProtection="1">
      <alignment horizontal="center"/>
      <protection locked="0"/>
    </xf>
    <xf numFmtId="0" fontId="101" fillId="0" borderId="168" xfId="69" applyFont="1" applyBorder="1" applyAlignment="1" applyProtection="1">
      <alignment horizontal="center"/>
      <protection locked="0"/>
    </xf>
    <xf numFmtId="0" fontId="101" fillId="0" borderId="169" xfId="69" applyFont="1" applyBorder="1" applyAlignment="1" applyProtection="1">
      <alignment horizontal="center"/>
      <protection locked="0"/>
    </xf>
    <xf numFmtId="0" fontId="101" fillId="38" borderId="132" xfId="69" applyFont="1" applyFill="1" applyBorder="1" applyAlignment="1" applyProtection="1">
      <alignment vertical="center"/>
      <protection locked="0"/>
    </xf>
    <xf numFmtId="0" fontId="101" fillId="38" borderId="133" xfId="69" applyFont="1" applyFill="1" applyBorder="1" applyAlignment="1" applyProtection="1">
      <alignment vertical="center"/>
      <protection locked="0"/>
    </xf>
    <xf numFmtId="0" fontId="101" fillId="38" borderId="134" xfId="69" applyFont="1" applyFill="1" applyBorder="1" applyAlignment="1" applyProtection="1">
      <alignment vertical="center"/>
      <protection locked="0"/>
    </xf>
    <xf numFmtId="0" fontId="101" fillId="0" borderId="164" xfId="69" applyFont="1" applyBorder="1" applyAlignment="1" applyProtection="1">
      <alignment horizontal="left" vertical="center"/>
      <protection locked="0"/>
    </xf>
    <xf numFmtId="0" fontId="101" fillId="0" borderId="161" xfId="69" applyFont="1" applyBorder="1" applyAlignment="1" applyProtection="1">
      <alignment horizontal="left" vertical="center"/>
      <protection locked="0"/>
    </xf>
    <xf numFmtId="0" fontId="101" fillId="0" borderId="162" xfId="69" applyFont="1" applyBorder="1" applyAlignment="1" applyProtection="1">
      <alignment horizontal="left" vertical="center"/>
      <protection locked="0"/>
    </xf>
    <xf numFmtId="0" fontId="101" fillId="0" borderId="160" xfId="69" applyFont="1" applyBorder="1" applyAlignment="1" applyProtection="1">
      <alignment horizontal="left" vertical="center"/>
      <protection locked="0"/>
    </xf>
    <xf numFmtId="0" fontId="101" fillId="0" borderId="160" xfId="69" applyFont="1" applyBorder="1" applyAlignment="1" applyProtection="1">
      <alignment horizontal="center"/>
      <protection locked="0"/>
    </xf>
    <xf numFmtId="0" fontId="101" fillId="0" borderId="161" xfId="69" applyFont="1" applyBorder="1" applyAlignment="1" applyProtection="1">
      <alignment horizontal="center"/>
      <protection locked="0"/>
    </xf>
    <xf numFmtId="0" fontId="101" fillId="0" borderId="162" xfId="69" applyFont="1" applyBorder="1" applyAlignment="1" applyProtection="1">
      <alignment horizontal="center"/>
      <protection locked="0"/>
    </xf>
    <xf numFmtId="0" fontId="101" fillId="0" borderId="163" xfId="69" applyFont="1" applyBorder="1" applyAlignment="1" applyProtection="1">
      <alignment horizontal="center"/>
      <protection locked="0"/>
    </xf>
    <xf numFmtId="0" fontId="125" fillId="42" borderId="148" xfId="69" applyFont="1" applyFill="1" applyBorder="1" applyAlignment="1">
      <alignment horizontal="center" vertical="center"/>
    </xf>
    <xf numFmtId="0" fontId="125" fillId="42" borderId="146" xfId="69" applyFont="1" applyFill="1" applyBorder="1" applyAlignment="1">
      <alignment horizontal="center" vertical="center"/>
    </xf>
    <xf numFmtId="0" fontId="125" fillId="42" borderId="150" xfId="69" applyFont="1" applyFill="1" applyBorder="1" applyAlignment="1">
      <alignment horizontal="center" vertical="center"/>
    </xf>
    <xf numFmtId="0" fontId="125" fillId="42" borderId="148" xfId="69" applyFont="1" applyFill="1" applyBorder="1" applyAlignment="1">
      <alignment horizontal="center" vertical="center" wrapText="1"/>
    </xf>
    <xf numFmtId="0" fontId="125" fillId="42" borderId="146" xfId="69" applyFont="1" applyFill="1" applyBorder="1" applyAlignment="1">
      <alignment horizontal="center" vertical="center" wrapText="1"/>
    </xf>
    <xf numFmtId="0" fontId="125" fillId="42" borderId="150" xfId="69" applyFont="1" applyFill="1" applyBorder="1" applyAlignment="1">
      <alignment horizontal="center" vertical="center" wrapText="1"/>
    </xf>
    <xf numFmtId="0" fontId="101" fillId="0" borderId="23" xfId="69" applyFont="1" applyBorder="1" applyAlignment="1" applyProtection="1">
      <alignment horizontal="center"/>
      <protection locked="0"/>
    </xf>
    <xf numFmtId="0" fontId="101" fillId="0" borderId="53" xfId="69" applyFont="1" applyBorder="1" applyAlignment="1" applyProtection="1">
      <alignment horizontal="center"/>
      <protection locked="0"/>
    </xf>
    <xf numFmtId="0" fontId="101" fillId="0" borderId="57" xfId="69" applyFont="1" applyBorder="1" applyAlignment="1" applyProtection="1">
      <alignment horizontal="center"/>
      <protection locked="0"/>
    </xf>
    <xf numFmtId="0" fontId="101" fillId="0" borderId="143" xfId="69" applyFont="1" applyBorder="1" applyAlignment="1" applyProtection="1">
      <alignment horizontal="center"/>
      <protection locked="0"/>
    </xf>
    <xf numFmtId="0" fontId="101" fillId="0" borderId="166" xfId="69" applyFont="1" applyBorder="1" applyAlignment="1" applyProtection="1">
      <alignment horizontal="left" vertical="center"/>
      <protection locked="0"/>
    </xf>
    <xf numFmtId="0" fontId="101" fillId="0" borderId="171" xfId="69" applyFont="1" applyBorder="1" applyAlignment="1" applyProtection="1">
      <alignment horizontal="left" vertical="center"/>
      <protection locked="0"/>
    </xf>
    <xf numFmtId="0" fontId="101" fillId="0" borderId="148" xfId="69" applyFont="1" applyBorder="1" applyAlignment="1" applyProtection="1">
      <alignment horizontal="center"/>
      <protection locked="0"/>
    </xf>
    <xf numFmtId="0" fontId="101" fillId="0" borderId="146" xfId="69" applyFont="1" applyBorder="1" applyAlignment="1" applyProtection="1">
      <alignment horizontal="center"/>
      <protection locked="0"/>
    </xf>
    <xf numFmtId="0" fontId="101" fillId="0" borderId="150" xfId="69" applyFont="1" applyBorder="1" applyAlignment="1" applyProtection="1">
      <alignment horizontal="center"/>
      <protection locked="0"/>
    </xf>
    <xf numFmtId="0" fontId="101" fillId="0" borderId="147" xfId="69" applyFont="1" applyBorder="1" applyAlignment="1" applyProtection="1">
      <alignment horizontal="center"/>
      <protection locked="0"/>
    </xf>
    <xf numFmtId="0" fontId="125" fillId="42" borderId="28" xfId="69" applyFont="1" applyFill="1" applyBorder="1" applyAlignment="1">
      <alignment horizontal="center" vertical="center"/>
    </xf>
    <xf numFmtId="44" fontId="129" fillId="0" borderId="132" xfId="47" applyFont="1" applyBorder="1" applyAlignment="1" applyProtection="1">
      <alignment horizontal="center"/>
      <protection locked="0"/>
    </xf>
    <xf numFmtId="44" fontId="129" fillId="0" borderId="133" xfId="47" applyFont="1" applyBorder="1" applyAlignment="1" applyProtection="1">
      <alignment horizontal="center"/>
      <protection locked="0"/>
    </xf>
    <xf numFmtId="44" fontId="129" fillId="0" borderId="134" xfId="47" applyFont="1" applyBorder="1" applyAlignment="1" applyProtection="1">
      <alignment horizontal="center"/>
      <protection locked="0"/>
    </xf>
    <xf numFmtId="0" fontId="125" fillId="42" borderId="23" xfId="69" applyFont="1" applyFill="1" applyBorder="1" applyAlignment="1">
      <alignment horizontal="center" vertical="center"/>
    </xf>
    <xf numFmtId="0" fontId="125" fillId="42" borderId="53" xfId="69" applyFont="1" applyFill="1" applyBorder="1" applyAlignment="1">
      <alignment horizontal="center" vertical="center"/>
    </xf>
    <xf numFmtId="0" fontId="92" fillId="0" borderId="0" xfId="69" applyAlignment="1">
      <alignment horizontal="center"/>
    </xf>
    <xf numFmtId="0" fontId="92" fillId="0" borderId="0" xfId="69" applyAlignment="1">
      <alignment horizontal="center" vertical="center"/>
    </xf>
    <xf numFmtId="0" fontId="96" fillId="39" borderId="0" xfId="69" applyFont="1" applyFill="1" applyAlignment="1">
      <alignment horizontal="center"/>
    </xf>
    <xf numFmtId="0" fontId="96" fillId="54" borderId="0" xfId="69" applyFont="1" applyFill="1" applyAlignment="1">
      <alignment horizontal="center"/>
    </xf>
    <xf numFmtId="0" fontId="92" fillId="0" borderId="0" xfId="69" applyAlignment="1">
      <alignment horizontal="center" wrapText="1"/>
    </xf>
    <xf numFmtId="0" fontId="114" fillId="38" borderId="111" xfId="0" applyFont="1" applyFill="1" applyBorder="1" applyAlignment="1" applyProtection="1">
      <alignment horizontal="left" vertical="center"/>
      <protection locked="0"/>
    </xf>
    <xf numFmtId="0" fontId="114" fillId="38" borderId="183" xfId="0" applyFont="1" applyFill="1" applyBorder="1" applyAlignment="1" applyProtection="1">
      <alignment horizontal="left" vertical="center"/>
      <protection locked="0"/>
    </xf>
    <xf numFmtId="14" fontId="115" fillId="38" borderId="184" xfId="48" applyNumberFormat="1" applyFont="1" applyFill="1" applyBorder="1" applyAlignment="1" applyProtection="1">
      <alignment horizontal="left" vertical="center"/>
      <protection locked="0"/>
    </xf>
    <xf numFmtId="14" fontId="115" fillId="38" borderId="185" xfId="48" applyNumberFormat="1" applyFont="1" applyFill="1" applyBorder="1" applyAlignment="1" applyProtection="1">
      <alignment horizontal="left" vertical="center"/>
      <protection locked="0"/>
    </xf>
    <xf numFmtId="14" fontId="115" fillId="38" borderId="186" xfId="48" applyNumberFormat="1" applyFont="1" applyFill="1" applyBorder="1" applyAlignment="1" applyProtection="1">
      <alignment horizontal="left" vertical="center"/>
      <protection locked="0"/>
    </xf>
    <xf numFmtId="0" fontId="115" fillId="38" borderId="184" xfId="48" applyNumberFormat="1" applyFont="1" applyFill="1" applyBorder="1" applyAlignment="1" applyProtection="1">
      <alignment horizontal="left" vertical="center"/>
      <protection locked="0"/>
    </xf>
    <xf numFmtId="0" fontId="115" fillId="38" borderId="185" xfId="48" applyNumberFormat="1" applyFont="1" applyFill="1" applyBorder="1" applyAlignment="1" applyProtection="1">
      <alignment horizontal="left" vertical="center"/>
      <protection locked="0"/>
    </xf>
    <xf numFmtId="0" fontId="115" fillId="38" borderId="186" xfId="48" applyNumberFormat="1" applyFont="1" applyFill="1" applyBorder="1" applyAlignment="1" applyProtection="1">
      <alignment horizontal="left" vertical="center"/>
      <protection locked="0"/>
    </xf>
    <xf numFmtId="0" fontId="114" fillId="38" borderId="116" xfId="0" applyFont="1" applyFill="1" applyBorder="1" applyAlignment="1" applyProtection="1">
      <alignment horizontal="left" vertical="center"/>
      <protection locked="0"/>
    </xf>
    <xf numFmtId="0" fontId="114" fillId="38" borderId="187" xfId="0" applyFont="1" applyFill="1" applyBorder="1" applyAlignment="1" applyProtection="1">
      <alignment horizontal="left" vertical="center"/>
      <protection locked="0"/>
    </xf>
    <xf numFmtId="0" fontId="127" fillId="40" borderId="0" xfId="0" applyFont="1" applyFill="1" applyAlignment="1">
      <alignment horizontal="left" vertical="center" wrapText="1"/>
    </xf>
    <xf numFmtId="0" fontId="140" fillId="40" borderId="188" xfId="0" applyFont="1" applyFill="1" applyBorder="1" applyAlignment="1">
      <alignment horizontal="center" vertical="top"/>
    </xf>
    <xf numFmtId="0" fontId="140" fillId="40" borderId="0" xfId="0" applyFont="1" applyFill="1" applyAlignment="1">
      <alignment horizontal="center" vertical="top"/>
    </xf>
    <xf numFmtId="0" fontId="114" fillId="38" borderId="106" xfId="0" applyFont="1" applyFill="1" applyBorder="1" applyAlignment="1" applyProtection="1">
      <alignment horizontal="left" vertical="center"/>
      <protection locked="0"/>
    </xf>
    <xf numFmtId="0" fontId="114" fillId="38" borderId="182" xfId="0" applyFont="1" applyFill="1" applyBorder="1" applyAlignment="1" applyProtection="1">
      <alignment horizontal="left" vertical="center"/>
      <protection locked="0"/>
    </xf>
    <xf numFmtId="0" fontId="127" fillId="38" borderId="0" xfId="0" applyFont="1" applyFill="1" applyAlignment="1">
      <alignment horizontal="left" vertical="center" wrapText="1"/>
    </xf>
    <xf numFmtId="0" fontId="139" fillId="42" borderId="177" xfId="0" applyFont="1" applyFill="1" applyBorder="1" applyAlignment="1">
      <alignment horizontal="center" vertical="center" wrapText="1"/>
    </xf>
    <xf numFmtId="0" fontId="139" fillId="42" borderId="178" xfId="0" applyFont="1" applyFill="1" applyBorder="1" applyAlignment="1">
      <alignment horizontal="center" vertical="center" wrapText="1"/>
    </xf>
    <xf numFmtId="0" fontId="139" fillId="42" borderId="123" xfId="0" applyFont="1" applyFill="1" applyBorder="1" applyAlignment="1">
      <alignment horizontal="center" vertical="center" wrapText="1"/>
    </xf>
    <xf numFmtId="0" fontId="139" fillId="42" borderId="125" xfId="0" applyFont="1" applyFill="1" applyBorder="1" applyAlignment="1">
      <alignment horizontal="center" vertical="center" wrapText="1"/>
    </xf>
    <xf numFmtId="0" fontId="139" fillId="42" borderId="179" xfId="0" applyFont="1" applyFill="1" applyBorder="1" applyAlignment="1">
      <alignment horizontal="center" vertical="center" wrapText="1"/>
    </xf>
    <xf numFmtId="0" fontId="139" fillId="42" borderId="180" xfId="0" applyFont="1" applyFill="1" applyBorder="1" applyAlignment="1">
      <alignment horizontal="center" vertical="center" wrapText="1"/>
    </xf>
    <xf numFmtId="0" fontId="139" fillId="42" borderId="181" xfId="0" applyFont="1" applyFill="1" applyBorder="1" applyAlignment="1">
      <alignment horizontal="center" vertical="center" wrapText="1"/>
    </xf>
    <xf numFmtId="0" fontId="105" fillId="38" borderId="11" xfId="69" applyFont="1" applyFill="1" applyBorder="1" applyAlignment="1" applyProtection="1">
      <alignment horizontal="left"/>
      <protection hidden="1"/>
    </xf>
    <xf numFmtId="0" fontId="152" fillId="55" borderId="11" xfId="69" applyFont="1" applyFill="1" applyBorder="1" applyAlignment="1" applyProtection="1">
      <alignment horizontal="center"/>
      <protection hidden="1"/>
    </xf>
    <xf numFmtId="0" fontId="106" fillId="0" borderId="0" xfId="34" applyFont="1" applyFill="1" applyBorder="1" applyAlignment="1" applyProtection="1">
      <alignment horizontal="left"/>
      <protection hidden="1"/>
    </xf>
    <xf numFmtId="0" fontId="106" fillId="0" borderId="17" xfId="34" applyFont="1" applyFill="1" applyBorder="1" applyAlignment="1" applyProtection="1">
      <alignment horizontal="left"/>
      <protection hidden="1"/>
    </xf>
    <xf numFmtId="0" fontId="152" fillId="55" borderId="11" xfId="69" applyFont="1" applyFill="1" applyBorder="1" applyAlignment="1" applyProtection="1">
      <alignment horizontal="center" vertical="center"/>
      <protection hidden="1"/>
    </xf>
    <xf numFmtId="0" fontId="105" fillId="38" borderId="11" xfId="69" applyFont="1" applyFill="1" applyBorder="1" applyAlignment="1" applyProtection="1">
      <alignment horizontal="left" vertical="center" wrapText="1"/>
      <protection hidden="1"/>
    </xf>
    <xf numFmtId="0" fontId="105" fillId="55" borderId="79" xfId="69" applyFont="1" applyFill="1" applyBorder="1" applyAlignment="1" applyProtection="1">
      <alignment horizontal="center"/>
      <protection hidden="1"/>
    </xf>
    <xf numFmtId="0" fontId="105" fillId="55" borderId="80" xfId="69" applyFont="1" applyFill="1" applyBorder="1" applyAlignment="1" applyProtection="1">
      <alignment horizontal="center"/>
      <protection hidden="1"/>
    </xf>
    <xf numFmtId="0" fontId="105" fillId="55" borderId="81" xfId="69" applyFont="1" applyFill="1" applyBorder="1" applyAlignment="1" applyProtection="1">
      <alignment horizontal="center"/>
      <protection hidden="1"/>
    </xf>
    <xf numFmtId="0" fontId="105" fillId="0" borderId="12" xfId="69" applyFont="1" applyBorder="1" applyAlignment="1" applyProtection="1">
      <alignment horizontal="left"/>
      <protection hidden="1"/>
    </xf>
    <xf numFmtId="0" fontId="105" fillId="0" borderId="13" xfId="69" applyFont="1" applyBorder="1" applyAlignment="1" applyProtection="1">
      <alignment horizontal="left"/>
      <protection hidden="1"/>
    </xf>
    <xf numFmtId="0" fontId="105" fillId="0" borderId="14" xfId="69" applyFont="1" applyBorder="1" applyAlignment="1" applyProtection="1">
      <alignment horizontal="left"/>
      <protection hidden="1"/>
    </xf>
    <xf numFmtId="0" fontId="105" fillId="0" borderId="10" xfId="69" applyFont="1" applyBorder="1" applyAlignment="1" applyProtection="1">
      <alignment horizontal="left" vertical="center" wrapText="1"/>
      <protection hidden="1"/>
    </xf>
    <xf numFmtId="0" fontId="105" fillId="0" borderId="0" xfId="69" applyFont="1" applyAlignment="1" applyProtection="1">
      <alignment horizontal="left" vertical="center" wrapText="1"/>
      <protection hidden="1"/>
    </xf>
    <xf numFmtId="0" fontId="105" fillId="0" borderId="17" xfId="69" applyFont="1" applyBorder="1" applyAlignment="1" applyProtection="1">
      <alignment horizontal="left" vertical="center" wrapText="1"/>
      <protection hidden="1"/>
    </xf>
    <xf numFmtId="0" fontId="105" fillId="0" borderId="79" xfId="69" applyFont="1" applyBorder="1" applyAlignment="1" applyProtection="1">
      <alignment horizontal="left"/>
      <protection hidden="1"/>
    </xf>
    <xf numFmtId="0" fontId="105" fillId="0" borderId="80" xfId="69" applyFont="1" applyBorder="1" applyAlignment="1" applyProtection="1">
      <alignment horizontal="left"/>
      <protection hidden="1"/>
    </xf>
    <xf numFmtId="0" fontId="105" fillId="0" borderId="81" xfId="69" applyFont="1" applyBorder="1" applyAlignment="1" applyProtection="1">
      <alignment horizontal="left"/>
      <protection hidden="1"/>
    </xf>
    <xf numFmtId="0" fontId="151" fillId="56" borderId="0" xfId="69" applyFont="1" applyFill="1" applyAlignment="1" applyProtection="1">
      <alignment horizontal="center" vertical="top" wrapText="1"/>
      <protection hidden="1"/>
    </xf>
    <xf numFmtId="0" fontId="151" fillId="56" borderId="0" xfId="69" applyFont="1" applyFill="1" applyAlignment="1" applyProtection="1">
      <alignment horizontal="center" vertical="top"/>
      <protection hidden="1"/>
    </xf>
    <xf numFmtId="0" fontId="19" fillId="36" borderId="72" xfId="69" applyFont="1" applyFill="1" applyBorder="1" applyAlignment="1" applyProtection="1">
      <alignment horizontal="center" vertical="center" textRotation="90"/>
      <protection hidden="1"/>
    </xf>
    <xf numFmtId="0" fontId="19" fillId="36" borderId="10" xfId="69" applyFont="1" applyFill="1" applyBorder="1" applyAlignment="1" applyProtection="1">
      <alignment horizontal="center" vertical="center" textRotation="90"/>
      <protection hidden="1"/>
    </xf>
    <xf numFmtId="0" fontId="19" fillId="36" borderId="12" xfId="69" applyFont="1" applyFill="1" applyBorder="1" applyAlignment="1" applyProtection="1">
      <alignment horizontal="center" vertical="center" textRotation="90"/>
      <protection hidden="1"/>
    </xf>
    <xf numFmtId="0" fontId="19" fillId="36" borderId="86" xfId="69" applyFont="1" applyFill="1" applyBorder="1" applyAlignment="1" applyProtection="1">
      <alignment horizontal="center" vertical="center" textRotation="90"/>
      <protection hidden="1"/>
    </xf>
    <xf numFmtId="0" fontId="19" fillId="36" borderId="78" xfId="69" applyFont="1" applyFill="1" applyBorder="1" applyAlignment="1" applyProtection="1">
      <alignment horizontal="center" vertical="center" textRotation="90"/>
      <protection hidden="1"/>
    </xf>
    <xf numFmtId="0" fontId="19" fillId="36" borderId="71" xfId="69" applyFont="1" applyFill="1" applyBorder="1" applyAlignment="1" applyProtection="1">
      <alignment horizontal="center" vertical="center" textRotation="90"/>
      <protection hidden="1"/>
    </xf>
    <xf numFmtId="0" fontId="152" fillId="57" borderId="79" xfId="69" applyFont="1" applyFill="1" applyBorder="1" applyAlignment="1" applyProtection="1">
      <alignment horizontal="center"/>
      <protection hidden="1"/>
    </xf>
    <xf numFmtId="0" fontId="152" fillId="57" borderId="80" xfId="69" applyFont="1" applyFill="1" applyBorder="1" applyAlignment="1" applyProtection="1">
      <alignment horizontal="center"/>
      <protection hidden="1"/>
    </xf>
    <xf numFmtId="0" fontId="152" fillId="57" borderId="81" xfId="69" applyFont="1" applyFill="1" applyBorder="1" applyAlignment="1" applyProtection="1">
      <alignment horizontal="center"/>
      <protection hidden="1"/>
    </xf>
    <xf numFmtId="0" fontId="105" fillId="0" borderId="10" xfId="69" applyFont="1" applyBorder="1" applyAlignment="1" applyProtection="1">
      <alignment horizontal="left"/>
      <protection hidden="1"/>
    </xf>
    <xf numFmtId="0" fontId="105" fillId="0" borderId="0" xfId="69" applyFont="1" applyAlignment="1" applyProtection="1">
      <alignment horizontal="left"/>
      <protection hidden="1"/>
    </xf>
    <xf numFmtId="0" fontId="105" fillId="0" borderId="17" xfId="69" applyFont="1" applyBorder="1" applyAlignment="1" applyProtection="1">
      <alignment horizontal="left"/>
      <protection hidden="1"/>
    </xf>
    <xf numFmtId="0" fontId="117" fillId="45" borderId="0" xfId="75" applyFont="1" applyFill="1" applyAlignment="1">
      <alignment horizontal="left"/>
    </xf>
    <xf numFmtId="0" fontId="116" fillId="45" borderId="0" xfId="75" applyFont="1" applyFill="1" applyAlignment="1">
      <alignment horizontal="left"/>
    </xf>
    <xf numFmtId="0" fontId="121" fillId="47" borderId="189" xfId="0" applyFont="1" applyFill="1" applyBorder="1" applyAlignment="1" applyProtection="1">
      <alignment horizontal="left" vertical="center"/>
      <protection locked="0"/>
    </xf>
    <xf numFmtId="0" fontId="116" fillId="45" borderId="0" xfId="75" applyFont="1" applyFill="1"/>
    <xf numFmtId="0" fontId="118" fillId="46" borderId="0" xfId="75" quotePrefix="1" applyFont="1" applyFill="1" applyAlignment="1">
      <alignment horizontal="center"/>
    </xf>
    <xf numFmtId="0" fontId="121" fillId="47" borderId="190" xfId="0" applyFont="1" applyFill="1" applyBorder="1" applyAlignment="1" applyProtection="1">
      <alignment horizontal="left" vertical="center"/>
      <protection locked="0"/>
    </xf>
    <xf numFmtId="0" fontId="121" fillId="47" borderId="0" xfId="0" applyFont="1" applyFill="1" applyAlignment="1" applyProtection="1">
      <alignment horizontal="left"/>
      <protection locked="0"/>
    </xf>
    <xf numFmtId="0" fontId="8" fillId="45" borderId="0" xfId="75" applyFill="1" applyAlignment="1">
      <alignment horizontal="left"/>
    </xf>
    <xf numFmtId="0" fontId="8" fillId="45" borderId="0" xfId="75" quotePrefix="1" applyFill="1" applyAlignment="1">
      <alignment horizontal="left"/>
    </xf>
    <xf numFmtId="0" fontId="8" fillId="0" borderId="0" xfId="0" applyFont="1" applyAlignment="1">
      <alignment horizontal="left" vertical="top" wrapText="1"/>
    </xf>
    <xf numFmtId="0" fontId="99" fillId="42" borderId="191" xfId="0" applyFont="1" applyFill="1" applyBorder="1" applyAlignment="1">
      <alignment horizontal="center" vertical="center"/>
    </xf>
    <xf numFmtId="0" fontId="99" fillId="42" borderId="103" xfId="0" applyFont="1" applyFill="1" applyBorder="1" applyAlignment="1">
      <alignment horizontal="center" vertical="center"/>
    </xf>
    <xf numFmtId="0" fontId="8" fillId="0" borderId="11" xfId="0" applyFont="1" applyBorder="1" applyAlignment="1" applyProtection="1">
      <alignment horizontal="left" vertical="center" wrapText="1"/>
      <protection locked="0"/>
    </xf>
    <xf numFmtId="0" fontId="99" fillId="42" borderId="191" xfId="0" applyFont="1" applyFill="1" applyBorder="1" applyAlignment="1">
      <alignment horizontal="center"/>
    </xf>
  </cellXfs>
  <cellStyles count="133">
    <cellStyle name="20 % - Accent1 2" xfId="1" xr:uid="{9F539088-75DD-4D24-9673-AB890F1B7DE6}"/>
    <cellStyle name="20 % - Accent2 2" xfId="2" xr:uid="{EC982D9F-3E2B-4460-A646-FA04417CA203}"/>
    <cellStyle name="20 % - Accent3 2" xfId="3" xr:uid="{C08B8908-819D-4AB7-B255-D6B5B3CB527D}"/>
    <cellStyle name="20 % - Accent4 2" xfId="4" xr:uid="{EBE01B69-8F29-4EDC-8188-9277D1E1F32A}"/>
    <cellStyle name="20 % - Accent5 2" xfId="5" xr:uid="{F01E2637-738C-435F-AF10-C18E3FB89860}"/>
    <cellStyle name="20 % - Accent6 2" xfId="6" xr:uid="{52DB5F26-7685-4B11-987C-488DA21A531A}"/>
    <cellStyle name="40 % - Accent1 2" xfId="7" xr:uid="{B9E4994B-D6EC-4C18-B7D6-F773A952FED5}"/>
    <cellStyle name="40 % - Accent2 2" xfId="8" xr:uid="{E1296A40-5DB2-450E-AAD6-395CC28E9BE6}"/>
    <cellStyle name="40 % - Accent3 2" xfId="9" xr:uid="{A7C68C4F-8980-4954-A405-0BC16006E1A1}"/>
    <cellStyle name="40 % - Accent4 2" xfId="10" xr:uid="{AAAC3C31-E252-45E6-A70B-82FA6D88BE7D}"/>
    <cellStyle name="40 % - Accent5 2" xfId="11" xr:uid="{5C7E0C72-2598-4392-90F8-4F22099253D7}"/>
    <cellStyle name="40 % - Accent6 2" xfId="12" xr:uid="{9D1CF643-5C0B-485E-9E47-073C5DA6A16A}"/>
    <cellStyle name="60 % - Accent1 2" xfId="13" xr:uid="{2AD21B51-5CA0-4253-A07A-960A910B3126}"/>
    <cellStyle name="60 % - Accent2 2" xfId="14" xr:uid="{58A587E3-1A46-4138-BD71-5A19FE7B8502}"/>
    <cellStyle name="60 % - Accent3 2" xfId="15" xr:uid="{26B89826-3A5E-45C5-8293-795DACDA0E3C}"/>
    <cellStyle name="60 % - Accent4 2" xfId="16" xr:uid="{46CF463C-A5A2-4982-82B5-0E318B744E43}"/>
    <cellStyle name="60 % - Accent5 2" xfId="17" xr:uid="{15EB3015-D7C4-495C-BCEC-B4E9B72E61DE}"/>
    <cellStyle name="60 % - Accent6 2" xfId="18" xr:uid="{A6995635-4209-432D-8838-1D743D3DFD98}"/>
    <cellStyle name="Accent1 2" xfId="19" xr:uid="{BF144D7B-731E-46BB-82A5-98D28E9C3F2E}"/>
    <cellStyle name="Accent2 2" xfId="20" xr:uid="{EDA9FF82-47DA-4E17-B8D8-B54E9DBBABE4}"/>
    <cellStyle name="Accent3 2" xfId="21" xr:uid="{609D8073-7BDF-46C3-8CE1-470E716CEE44}"/>
    <cellStyle name="Accent4 2" xfId="22" xr:uid="{287BA7A8-5AB6-4C9F-84C5-5CEDEFC0E4D8}"/>
    <cellStyle name="Accent5 2" xfId="23" xr:uid="{33BA1278-CCE5-4A1E-A691-61C74663D16B}"/>
    <cellStyle name="Accent6 2" xfId="24" xr:uid="{2B582588-1FF6-4317-A24C-00B56890F5DD}"/>
    <cellStyle name="Avertissement 2" xfId="25" xr:uid="{9D7404D7-1D96-42D6-9EF1-9332B7DAF8B1}"/>
    <cellStyle name="Calcul 2" xfId="26" xr:uid="{BF36B779-70DD-4370-A9A2-28583CA559AB}"/>
    <cellStyle name="Cellule liée 2" xfId="27" xr:uid="{8837F46A-7FB7-4E04-BADD-FDC749346516}"/>
    <cellStyle name="Commentaire 2" xfId="28" xr:uid="{8540733F-FA45-4EE5-8043-79ECD3DD19A2}"/>
    <cellStyle name="Currency" xfId="29" xr:uid="{99C4D765-EFFD-4BEE-BAD2-B44FFDD0AA67}"/>
    <cellStyle name="Entrée 2" xfId="30" xr:uid="{F8032353-314F-410F-9980-9A90CB3AA0F0}"/>
    <cellStyle name="Euro" xfId="31" xr:uid="{3EC05D33-683D-47C6-BE61-551721879177}"/>
    <cellStyle name="Insatisfaisant 2" xfId="32" xr:uid="{8CED7C16-D631-4C59-A71F-1A1848035557}"/>
    <cellStyle name="Lien hypertexte" xfId="33" builtinId="8"/>
    <cellStyle name="Lien hypertexte 2" xfId="34" xr:uid="{438840B3-2DC2-443D-8969-5C4FC552AB91}"/>
    <cellStyle name="Milliers 2" xfId="35" xr:uid="{41530620-4098-467A-839A-E1C01968F9EF}"/>
    <cellStyle name="Milliers 2 2" xfId="36" xr:uid="{CC71009E-0D52-454A-BDC8-EC1649D43424}"/>
    <cellStyle name="Milliers 2 3" xfId="37" xr:uid="{72203BD2-B571-497A-B419-87F54F746C75}"/>
    <cellStyle name="Milliers 3" xfId="38" xr:uid="{D24AF93D-84DC-44D8-A386-2B367CB825C9}"/>
    <cellStyle name="Milliers 3 2" xfId="39" xr:uid="{0A8A6B34-CCA7-4B59-8190-E5B97F12154C}"/>
    <cellStyle name="Milliers 3 3" xfId="40" xr:uid="{2C241927-AF9D-4E67-8655-E8D9377B5FA8}"/>
    <cellStyle name="Milliers 3 4" xfId="41" xr:uid="{40409E4D-1602-4F2D-A1E7-8A152127CBDB}"/>
    <cellStyle name="Milliers 4" xfId="42" xr:uid="{E17043FF-E1F1-4C8D-9615-356F7E2FC829}"/>
    <cellStyle name="Milliers 4 2" xfId="43" xr:uid="{F9115BBD-CFF2-4656-A261-2D72EF7535DE}"/>
    <cellStyle name="Milliers 5" xfId="44" xr:uid="{2E89AEC6-10DF-43F9-AB7E-B3E35C8B1E0B}"/>
    <cellStyle name="Milliers 6" xfId="45" xr:uid="{C8DED9F1-6624-4CEF-A141-A04DBA42A873}"/>
    <cellStyle name="Milliers 7" xfId="46" xr:uid="{AEA4F471-A9EF-4351-9563-65B987BA654D}"/>
    <cellStyle name="Monétaire" xfId="47" builtinId="4"/>
    <cellStyle name="Monétaire 2" xfId="48" xr:uid="{73D430ED-65DA-40A0-ACE8-7E4F6EAF7DF1}"/>
    <cellStyle name="Monétaire 2 2" xfId="49" xr:uid="{475151CD-CCE7-440F-973B-4818CD3CE105}"/>
    <cellStyle name="Monétaire 2 2 2" xfId="50" xr:uid="{D5744F51-84D5-4E5A-8000-93F291AA9E52}"/>
    <cellStyle name="Monétaire 2 2 3" xfId="51" xr:uid="{46FBCF8B-2D86-4104-866C-9311FDEDAC80}"/>
    <cellStyle name="Monétaire 2 2 4" xfId="52" xr:uid="{5175E47B-A5A0-4396-A0C2-AA3958FD6E59}"/>
    <cellStyle name="Monétaire 2 3" xfId="53" xr:uid="{86EF1D9E-4C84-4A4F-B7A0-22BA373EE4EA}"/>
    <cellStyle name="Monétaire 2 4" xfId="54" xr:uid="{65000C98-1219-4637-8062-91198E2ACD41}"/>
    <cellStyle name="Monétaire 2 5" xfId="55" xr:uid="{FA8FACB7-4FB7-46A0-9853-74A23293BE8E}"/>
    <cellStyle name="Monétaire 2 6" xfId="56" xr:uid="{A8B87B1F-6CEF-4AC6-9F19-03DB19F07079}"/>
    <cellStyle name="Monétaire 3" xfId="57" xr:uid="{D7B53016-BB86-46A6-8AF5-BA6793A1C8A2}"/>
    <cellStyle name="Monétaire 3 2" xfId="58" xr:uid="{8E701577-2E54-4009-8E27-A609A833E47B}"/>
    <cellStyle name="Monétaire 3 3" xfId="59" xr:uid="{7BFBB3E6-DFAE-4E42-AFC2-6DB3151F6935}"/>
    <cellStyle name="Monétaire 3 4" xfId="60" xr:uid="{126B1640-8397-4353-92B1-445AB5B23526}"/>
    <cellStyle name="Monétaire 3 5" xfId="61" xr:uid="{CF5BB15B-C629-409D-A1F4-AFE410DAD397}"/>
    <cellStyle name="Monétaire 4" xfId="62" xr:uid="{563DE5EC-001A-4F94-9DDA-31C53C763095}"/>
    <cellStyle name="Monétaire 5" xfId="63" xr:uid="{46DEF409-DB8C-4369-A8FC-6A2EA5C6A758}"/>
    <cellStyle name="Monétaire 6" xfId="64" xr:uid="{B9ECF6F0-1598-47E4-BFF4-69E14CF914D8}"/>
    <cellStyle name="Monétaire 7" xfId="65" xr:uid="{29AA2AE7-D5F1-4E84-ABE9-31A9096D46F1}"/>
    <cellStyle name="Monétaire 8" xfId="66" xr:uid="{BA6E6689-CC0F-4C02-8173-8B813193D159}"/>
    <cellStyle name="Monétaire 9" xfId="67" xr:uid="{5D3D0566-DB23-478C-B2C2-006126AECB5D}"/>
    <cellStyle name="Neutre 2" xfId="68" xr:uid="{4492BF0B-AAB4-45A1-92AB-A6C9FBE5CF64}"/>
    <cellStyle name="Normal" xfId="0" builtinId="0"/>
    <cellStyle name="Normal 2" xfId="69" xr:uid="{81822823-3A8F-42B1-931E-7E4B0FFA24EB}"/>
    <cellStyle name="Normal 2 2" xfId="70" xr:uid="{7F83E861-7876-4780-A8CF-6AF2FD7566D2}"/>
    <cellStyle name="Normal 2 3" xfId="71" xr:uid="{081B1F39-FA41-4B7F-AC87-8A4B9C584CFB}"/>
    <cellStyle name="Normal 2 4" xfId="72" xr:uid="{34EB2641-E687-437B-A8C5-1B00391DFDBD}"/>
    <cellStyle name="Normal 2 4 2" xfId="73" xr:uid="{86976C80-159A-4AD7-A546-0ED72FF38683}"/>
    <cellStyle name="Normal 2 5" xfId="74" xr:uid="{C3E7B634-1DFC-4108-9846-976BC3634C21}"/>
    <cellStyle name="Normal 3" xfId="75" xr:uid="{7C9898A7-6DC6-45E5-8E35-1FBC04E2492A}"/>
    <cellStyle name="Normal 3 2" xfId="76" xr:uid="{AC5DA3DF-4C59-47F4-8DB9-41643F932506}"/>
    <cellStyle name="Normal 3 2 2" xfId="77" xr:uid="{3888954C-EA61-4AA0-ACFD-C8A9535FEE26}"/>
    <cellStyle name="Normal 3 2 2 2" xfId="78" xr:uid="{26C7585A-F966-423C-B32F-558AE36F325F}"/>
    <cellStyle name="Normal 3 2 2 3" xfId="79" xr:uid="{3F10C232-4FE5-410D-B3D5-E987AAFBED1C}"/>
    <cellStyle name="Normal 3 2 2 4" xfId="80" xr:uid="{0E970239-5D58-4813-A4E0-DE5F26C3754F}"/>
    <cellStyle name="Normal 3 2 3" xfId="81" xr:uid="{B20C69AC-770F-418D-AD55-8EC403F43B93}"/>
    <cellStyle name="Normal 3 2 4" xfId="82" xr:uid="{BA5D4714-53A6-4130-968A-71CBD2977A31}"/>
    <cellStyle name="Normal 3 2 5" xfId="83" xr:uid="{D2D515CB-DDEE-43BF-8685-F368E6103D14}"/>
    <cellStyle name="Normal 3 3" xfId="84" xr:uid="{FBB6F7D4-2731-4693-8D73-C5FF2DC607ED}"/>
    <cellStyle name="Normal 3 3 2" xfId="85" xr:uid="{5C68212A-6507-467E-9E76-40A4521BBD24}"/>
    <cellStyle name="Normal 3 3 3" xfId="86" xr:uid="{DE7DA876-9E3D-4348-BA89-E4A167C32945}"/>
    <cellStyle name="Normal 3 3 4" xfId="87" xr:uid="{FB6CAF2F-CC4B-49DA-B025-A3C2C3BB5044}"/>
    <cellStyle name="Normal 3 4" xfId="88" xr:uid="{3A00CA83-E8AE-4E1E-91C1-5ACBAC1C6865}"/>
    <cellStyle name="Normal 3 5" xfId="89" xr:uid="{8431C328-70F7-42AF-98D2-1A210B31D8F2}"/>
    <cellStyle name="Normal 3 6" xfId="90" xr:uid="{7E0FE3F6-B255-4C68-8BF5-F27E957350E7}"/>
    <cellStyle name="Normal 3 7" xfId="91" xr:uid="{F279252F-E7E2-481D-BB77-53E0D9E6BF84}"/>
    <cellStyle name="Normal 4" xfId="92" xr:uid="{B628B63C-675C-40BA-9FBA-F39E152D0E76}"/>
    <cellStyle name="Normal 5" xfId="93" xr:uid="{E91DDE48-213C-495C-9683-4AFABED27ECE}"/>
    <cellStyle name="Normal 5 2" xfId="94" xr:uid="{996586BA-F548-47DB-A0FF-6360E1118DE8}"/>
    <cellStyle name="Normal 5 3" xfId="95" xr:uid="{2BDAB3D5-ECD0-4049-A98E-49A9DB753ECF}"/>
    <cellStyle name="Normal 5 4" xfId="96" xr:uid="{B861E6FB-FDE2-4805-81E4-507793C38855}"/>
    <cellStyle name="Normal 6" xfId="97" xr:uid="{237B4F5E-9063-462C-9576-761496AE3119}"/>
    <cellStyle name="Normal 6 2" xfId="98" xr:uid="{578547DA-711C-4887-845C-99A28AF9FC32}"/>
    <cellStyle name="Normal 7" xfId="99" xr:uid="{2DD53351-539D-465E-895D-426C0A8C6E0B}"/>
    <cellStyle name="Normal 8" xfId="100" xr:uid="{2ED91671-2E74-43D9-BD9B-6BC3EA4BD85E}"/>
    <cellStyle name="Normal_Data" xfId="101" xr:uid="{890B4E32-C888-40F8-9192-02A8F503DD51}"/>
    <cellStyle name="Normal_Feuil1" xfId="102" xr:uid="{FA97845A-7AEF-46F9-8095-927044389933}"/>
    <cellStyle name="Pourcentage" xfId="103" builtinId="5"/>
    <cellStyle name="Pourcentage 2" xfId="104" xr:uid="{F4F08883-ABAF-4724-ADE8-91AA7B2E4B58}"/>
    <cellStyle name="Pourcentage 2 2" xfId="105" xr:uid="{F469D58F-26AA-4697-95FB-C855B50DACF0}"/>
    <cellStyle name="Pourcentage 2 3" xfId="106" xr:uid="{8C63F7DA-170A-4563-9124-845BBCFBD068}"/>
    <cellStyle name="Pourcentage 2 4" xfId="107" xr:uid="{393F44B7-8804-432A-AED9-D0CB2F581D43}"/>
    <cellStyle name="Pourcentage 2 5" xfId="108" xr:uid="{4FF72EF2-54E8-49D6-9643-F1F456E517BB}"/>
    <cellStyle name="Pourcentage 2 6" xfId="109" xr:uid="{E77EFBB3-52F1-4144-A681-0927D184EFF8}"/>
    <cellStyle name="Pourcentage 3" xfId="110" xr:uid="{E081342F-6B68-475C-B869-900FDE166451}"/>
    <cellStyle name="Pourcentage 3 2" xfId="111" xr:uid="{CFD71FBF-1561-4AAB-99C9-8C3366A21120}"/>
    <cellStyle name="Pourcentage 3 2 2" xfId="112" xr:uid="{6535B813-A867-4D36-B847-0CBF0AEF53CA}"/>
    <cellStyle name="Pourcentage 3 3" xfId="113" xr:uid="{AD61C4B6-4264-461D-8972-BF9819D9A7A8}"/>
    <cellStyle name="Pourcentage 3 4" xfId="114" xr:uid="{FF3318D2-D50B-429E-8838-8C88B2F951C7}"/>
    <cellStyle name="Pourcentage 3 5" xfId="115" xr:uid="{8B6C23AC-EDB2-465E-ACA5-86D57705719E}"/>
    <cellStyle name="Pourcentage 4" xfId="116" xr:uid="{36E40608-E1C8-43B9-A5BE-4D7EA26D1809}"/>
    <cellStyle name="Pourcentage 4 2" xfId="117" xr:uid="{685A6E4F-5E96-4FCE-8009-B48E430AE978}"/>
    <cellStyle name="Pourcentage 5" xfId="118" xr:uid="{A78FED57-3F43-489B-9374-DE78C8A3B79C}"/>
    <cellStyle name="Pourcentage 5 2" xfId="119" xr:uid="{CEFC6975-244B-4FC0-B519-F56CBDC57D1E}"/>
    <cellStyle name="Pourcentage 5 3" xfId="120" xr:uid="{4220D8C6-A52A-49BA-92AC-461CC4C26D20}"/>
    <cellStyle name="Pourcentage 6" xfId="121" xr:uid="{8FDE48B9-893D-4BF0-A1D7-BBA2E3C58DEB}"/>
    <cellStyle name="Pourcentage 7" xfId="122" xr:uid="{64ADA9A6-0070-4EF3-8861-3C0D37FBF588}"/>
    <cellStyle name="Satisfaisant 2" xfId="123" xr:uid="{55A85536-CB73-4B70-9B37-79A31D97E36E}"/>
    <cellStyle name="Sortie 2" xfId="124" xr:uid="{F644E83A-3D32-413C-83B1-D62C40A01BE9}"/>
    <cellStyle name="Texte explicatif 2" xfId="125" xr:uid="{78FCA710-0587-4BD3-9450-FE456B668DC6}"/>
    <cellStyle name="Titre 2" xfId="126" xr:uid="{09E6A1B3-A0B3-4AB9-9968-A273798BF9EA}"/>
    <cellStyle name="Titre 1 2" xfId="127" xr:uid="{77CEB4BF-20DE-49DB-BC41-64195593CB23}"/>
    <cellStyle name="Titre 2 2" xfId="128" xr:uid="{C2F07969-8A34-4062-9172-223309718983}"/>
    <cellStyle name="Titre 3 2" xfId="129" xr:uid="{2A489D26-2A96-4852-810F-F91B4578EB17}"/>
    <cellStyle name="Titre 4 2" xfId="130" xr:uid="{EC1A09EF-02DE-457A-9C5B-8578170B411F}"/>
    <cellStyle name="Total 2" xfId="131" xr:uid="{6435DCB8-9F61-4BD2-908B-7A96FE52BB18}"/>
    <cellStyle name="Vérification 2" xfId="132" xr:uid="{5152C588-EA6F-4B9D-BEB8-3C7E0A7B7E2A}"/>
  </cellStyles>
  <dxfs count="67">
    <dxf>
      <fill>
        <patternFill>
          <bgColor theme="5" tint="0.79998168889431442"/>
        </patternFill>
      </fill>
    </dxf>
    <dxf>
      <fill>
        <patternFill>
          <bgColor rgb="FFEDF0F3"/>
        </patternFill>
      </fill>
    </dxf>
    <dxf>
      <fill>
        <patternFill>
          <bgColor indexed="22"/>
        </patternFill>
      </fill>
    </dxf>
    <dxf>
      <fill>
        <patternFill patternType="none">
          <bgColor indexed="65"/>
        </patternFill>
      </fill>
    </dxf>
    <dxf>
      <fill>
        <patternFill>
          <bgColor indexed="10"/>
        </patternFill>
      </fill>
    </dxf>
    <dxf>
      <fill>
        <patternFill>
          <bgColor indexed="10"/>
        </patternFill>
      </fill>
    </dxf>
    <dxf>
      <fill>
        <patternFill>
          <bgColor rgb="FFEDF0F3"/>
        </patternFill>
      </fill>
    </dxf>
    <dxf>
      <fill>
        <patternFill>
          <bgColor indexed="10"/>
        </patternFill>
      </fill>
    </dxf>
    <dxf>
      <fill>
        <patternFill>
          <bgColor rgb="FFEDF0F3"/>
        </patternFill>
      </fill>
    </dxf>
    <dxf>
      <fill>
        <patternFill>
          <bgColor rgb="FFEDF0F3"/>
        </patternFill>
      </fill>
    </dxf>
    <dxf>
      <fill>
        <patternFill>
          <bgColor rgb="FFEDF0F3"/>
        </patternFill>
      </fill>
    </dxf>
    <dxf>
      <fill>
        <patternFill>
          <bgColor rgb="FFEDF0F3"/>
        </patternFill>
      </fill>
    </dxf>
    <dxf>
      <fill>
        <patternFill>
          <bgColor rgb="FFEDF0F3"/>
        </patternFill>
      </fill>
    </dxf>
    <dxf>
      <fill>
        <patternFill>
          <bgColor indexed="53"/>
        </patternFill>
      </fill>
    </dxf>
    <dxf>
      <fill>
        <patternFill>
          <bgColor indexed="22"/>
        </patternFill>
      </fill>
    </dxf>
    <dxf>
      <fill>
        <patternFill patternType="none">
          <bgColor indexed="65"/>
        </patternFill>
      </fill>
    </dxf>
    <dxf>
      <fill>
        <patternFill>
          <bgColor indexed="10"/>
        </patternFill>
      </fill>
    </dxf>
    <dxf>
      <fill>
        <patternFill>
          <bgColor indexed="10"/>
        </patternFill>
      </fill>
    </dxf>
    <dxf>
      <fill>
        <patternFill>
          <bgColor theme="0"/>
        </patternFill>
      </fill>
    </dxf>
    <dxf>
      <fill>
        <patternFill>
          <bgColor rgb="FF00B050"/>
        </patternFill>
      </fill>
    </dxf>
    <dxf>
      <fill>
        <patternFill>
          <bgColor rgb="FFFF0000"/>
        </patternFill>
      </fill>
    </dxf>
    <dxf>
      <fill>
        <patternFill>
          <bgColor indexed="10"/>
        </patternFill>
      </fill>
    </dxf>
    <dxf>
      <fill>
        <patternFill>
          <bgColor rgb="FFEDF0F3"/>
        </patternFill>
      </fill>
    </dxf>
    <dxf>
      <fill>
        <patternFill>
          <bgColor rgb="FF00B050"/>
        </patternFill>
      </fill>
    </dxf>
    <dxf>
      <fill>
        <patternFill>
          <bgColor rgb="FFFF0000"/>
        </patternFill>
      </fill>
    </dxf>
    <dxf>
      <fill>
        <patternFill>
          <bgColor rgb="FFEDF0F3"/>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indexed="10"/>
        </patternFill>
      </fill>
    </dxf>
    <dxf>
      <fill>
        <patternFill>
          <bgColor indexed="10"/>
        </patternFill>
      </fill>
    </dxf>
    <dxf>
      <fill>
        <patternFill>
          <bgColor indexed="53"/>
        </patternFill>
      </fill>
    </dxf>
    <dxf>
      <fill>
        <patternFill>
          <bgColor indexed="10"/>
        </patternFill>
      </fill>
    </dxf>
    <dxf>
      <font>
        <condense val="0"/>
        <extend val="0"/>
        <color auto="1"/>
      </font>
      <fill>
        <patternFill>
          <bgColor indexed="10"/>
        </patternFill>
      </fill>
    </dxf>
    <dxf>
      <fill>
        <patternFill>
          <bgColor indexed="10"/>
        </patternFill>
      </fill>
    </dxf>
    <dxf>
      <fill>
        <patternFill>
          <bgColor indexed="10"/>
        </patternFill>
      </fill>
    </dxf>
    <dxf>
      <font>
        <color rgb="FFFF0000"/>
      </font>
      <fill>
        <patternFill patternType="none">
          <bgColor indexed="65"/>
        </patternFill>
      </fill>
    </dxf>
    <dxf>
      <font>
        <color rgb="FF00B050"/>
      </font>
      <fill>
        <patternFill patternType="none">
          <bgColor indexed="65"/>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EDF0F3"/>
        </patternFill>
      </fill>
    </dxf>
    <dxf>
      <fill>
        <patternFill>
          <bgColor indexed="9"/>
        </patternFill>
      </fill>
    </dxf>
    <dxf>
      <fill>
        <patternFill>
          <bgColor indexed="22"/>
        </patternFill>
      </fill>
    </dxf>
    <dxf>
      <fill>
        <patternFill>
          <bgColor rgb="FFEDF0F3"/>
        </patternFill>
      </fill>
    </dxf>
    <dxf>
      <border outline="0">
        <top style="medium">
          <color indexed="64"/>
        </top>
      </border>
    </dxf>
    <dxf>
      <border outline="0">
        <bottom style="medium">
          <color indexed="64"/>
        </bottom>
      </border>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rgb="FF7FB7CB"/>
        </patternFill>
      </fill>
      <alignment horizontal="center" vertical="bottom" textRotation="0" wrapText="0" indent="0" justifyLastLine="0" shrinkToFit="0" readingOrder="0"/>
      <border diagonalUp="0" diagonalDown="0">
        <left style="medium">
          <color indexed="64"/>
        </left>
        <right style="medium">
          <color indexed="64"/>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Data!$B$58" lockText="1" noThreeD="1"/>
</file>

<file path=xl/ctrlProps/ctrlProp10.xml><?xml version="1.0" encoding="utf-8"?>
<formControlPr xmlns="http://schemas.microsoft.com/office/spreadsheetml/2009/9/main" objectType="CheckBox" fmlaLink="Data!$B$61" lockText="1" noThreeD="1"/>
</file>

<file path=xl/ctrlProps/ctrlProp100.xml><?xml version="1.0" encoding="utf-8"?>
<formControlPr xmlns="http://schemas.microsoft.com/office/spreadsheetml/2009/9/main" objectType="CheckBox" fmlaLink="Data!$B$61" lockText="1" noThreeD="1"/>
</file>

<file path=xl/ctrlProps/ctrlProp101.xml><?xml version="1.0" encoding="utf-8"?>
<formControlPr xmlns="http://schemas.microsoft.com/office/spreadsheetml/2009/9/main" objectType="CheckBox" fmlaLink="Data!$B$61" lockText="1" noThreeD="1"/>
</file>

<file path=xl/ctrlProps/ctrlProp102.xml><?xml version="1.0" encoding="utf-8"?>
<formControlPr xmlns="http://schemas.microsoft.com/office/spreadsheetml/2009/9/main" objectType="CheckBox" fmlaLink="Data!$B$61" lockText="1" noThreeD="1"/>
</file>

<file path=xl/ctrlProps/ctrlProp103.xml><?xml version="1.0" encoding="utf-8"?>
<formControlPr xmlns="http://schemas.microsoft.com/office/spreadsheetml/2009/9/main" objectType="CheckBox" fmlaLink="Data!$B$61" lockText="1" noThreeD="1"/>
</file>

<file path=xl/ctrlProps/ctrlProp104.xml><?xml version="1.0" encoding="utf-8"?>
<formControlPr xmlns="http://schemas.microsoft.com/office/spreadsheetml/2009/9/main" objectType="CheckBox" fmlaLink="Data!$B$61" lockText="1" noThreeD="1"/>
</file>

<file path=xl/ctrlProps/ctrlProp105.xml><?xml version="1.0" encoding="utf-8"?>
<formControlPr xmlns="http://schemas.microsoft.com/office/spreadsheetml/2009/9/main" objectType="CheckBox" fmlaLink="Data!$B$61" lockText="1" noThreeD="1"/>
</file>

<file path=xl/ctrlProps/ctrlProp106.xml><?xml version="1.0" encoding="utf-8"?>
<formControlPr xmlns="http://schemas.microsoft.com/office/spreadsheetml/2009/9/main" objectType="CheckBox" fmlaLink="Data!$B$61" lockText="1" noThreeD="1"/>
</file>

<file path=xl/ctrlProps/ctrlProp107.xml><?xml version="1.0" encoding="utf-8"?>
<formControlPr xmlns="http://schemas.microsoft.com/office/spreadsheetml/2009/9/main" objectType="CheckBox" fmlaLink="Data!$B$61" lockText="1" noThreeD="1"/>
</file>

<file path=xl/ctrlProps/ctrlProp108.xml><?xml version="1.0" encoding="utf-8"?>
<formControlPr xmlns="http://schemas.microsoft.com/office/spreadsheetml/2009/9/main" objectType="CheckBox" fmlaLink="Data!$B$61" lockText="1" noThreeD="1"/>
</file>

<file path=xl/ctrlProps/ctrlProp109.xml><?xml version="1.0" encoding="utf-8"?>
<formControlPr xmlns="http://schemas.microsoft.com/office/spreadsheetml/2009/9/main" objectType="CheckBox" fmlaLink="Data!$B$61" lockText="1" noThreeD="1"/>
</file>

<file path=xl/ctrlProps/ctrlProp11.xml><?xml version="1.0" encoding="utf-8"?>
<formControlPr xmlns="http://schemas.microsoft.com/office/spreadsheetml/2009/9/main" objectType="CheckBox" fmlaLink="Data!$E$58" lockText="1" noThreeD="1"/>
</file>

<file path=xl/ctrlProps/ctrlProp110.xml><?xml version="1.0" encoding="utf-8"?>
<formControlPr xmlns="http://schemas.microsoft.com/office/spreadsheetml/2009/9/main" objectType="CheckBox" fmlaLink="Data!$B$61" lockText="1" noThreeD="1"/>
</file>

<file path=xl/ctrlProps/ctrlProp111.xml><?xml version="1.0" encoding="utf-8"?>
<formControlPr xmlns="http://schemas.microsoft.com/office/spreadsheetml/2009/9/main" objectType="CheckBox" fmlaLink="Data!$B$61" lockText="1" noThreeD="1"/>
</file>

<file path=xl/ctrlProps/ctrlProp112.xml><?xml version="1.0" encoding="utf-8"?>
<formControlPr xmlns="http://schemas.microsoft.com/office/spreadsheetml/2009/9/main" objectType="GBox" noThreeD="1"/>
</file>

<file path=xl/ctrlProps/ctrlProp12.xml><?xml version="1.0" encoding="utf-8"?>
<formControlPr xmlns="http://schemas.microsoft.com/office/spreadsheetml/2009/9/main" objectType="CheckBox" fmlaLink="Data!$G$58" lockText="1" noThreeD="1"/>
</file>

<file path=xl/ctrlProps/ctrlProp13.xml><?xml version="1.0" encoding="utf-8"?>
<formControlPr xmlns="http://schemas.microsoft.com/office/spreadsheetml/2009/9/main" objectType="CheckBox" fmlaLink="Data!$G$59" lockText="1" noThreeD="1"/>
</file>

<file path=xl/ctrlProps/ctrlProp14.xml><?xml version="1.0" encoding="utf-8"?>
<formControlPr xmlns="http://schemas.microsoft.com/office/spreadsheetml/2009/9/main" objectType="CheckBox" fmlaLink="Data!$G$61" lockText="1" noThreeD="1"/>
</file>

<file path=xl/ctrlProps/ctrlProp15.xml><?xml version="1.0" encoding="utf-8"?>
<formControlPr xmlns="http://schemas.microsoft.com/office/spreadsheetml/2009/9/main" objectType="CheckBox" fmlaLink="Data!$BD$2" lockText="1" noThreeD="1"/>
</file>

<file path=xl/ctrlProps/ctrlProp16.xml><?xml version="1.0" encoding="utf-8"?>
<formControlPr xmlns="http://schemas.microsoft.com/office/spreadsheetml/2009/9/main" objectType="CheckBox" fmlaLink="Data!$CN$2" lockText="1" noThreeD="1"/>
</file>

<file path=xl/ctrlProps/ctrlProp17.xml><?xml version="1.0" encoding="utf-8"?>
<formControlPr xmlns="http://schemas.microsoft.com/office/spreadsheetml/2009/9/main" objectType="CheckBox" fmlaLink="Data!$DV$2" lockText="1" noThreeD="1"/>
</file>

<file path=xl/ctrlProps/ctrlProp18.xml><?xml version="1.0" encoding="utf-8"?>
<formControlPr xmlns="http://schemas.microsoft.com/office/spreadsheetml/2009/9/main" objectType="CheckBox" fmlaLink="Data!$AN$2" noThreeD="1"/>
</file>

<file path=xl/ctrlProps/ctrlProp19.xml><?xml version="1.0" encoding="utf-8"?>
<formControlPr xmlns="http://schemas.microsoft.com/office/spreadsheetml/2009/9/main" objectType="CheckBox" fmlaLink="Data!$EL$3" lockText="1" noThreeD="1"/>
</file>

<file path=xl/ctrlProps/ctrlProp2.xml><?xml version="1.0" encoding="utf-8"?>
<formControlPr xmlns="http://schemas.microsoft.com/office/spreadsheetml/2009/9/main" objectType="CheckBox" fmlaLink="Data!$C$58" lockText="1" noThreeD="1"/>
</file>

<file path=xl/ctrlProps/ctrlProp20.xml><?xml version="1.0" encoding="utf-8"?>
<formControlPr xmlns="http://schemas.microsoft.com/office/spreadsheetml/2009/9/main" objectType="CheckBox" fmlaLink="Data!$EM$3" lockText="1" noThreeD="1"/>
</file>

<file path=xl/ctrlProps/ctrlProp21.xml><?xml version="1.0" encoding="utf-8"?>
<formControlPr xmlns="http://schemas.microsoft.com/office/spreadsheetml/2009/9/main" objectType="CheckBox" fmlaLink="Data!$EN$3" lockText="1" noThreeD="1"/>
</file>

<file path=xl/ctrlProps/ctrlProp22.xml><?xml version="1.0" encoding="utf-8"?>
<formControlPr xmlns="http://schemas.microsoft.com/office/spreadsheetml/2009/9/main" objectType="CheckBox" fmlaLink="Data!$EO$3" lockText="1" noThreeD="1"/>
</file>

<file path=xl/ctrlProps/ctrlProp23.xml><?xml version="1.0" encoding="utf-8"?>
<formControlPr xmlns="http://schemas.microsoft.com/office/spreadsheetml/2009/9/main" objectType="CheckBox" fmlaLink="Data!$EP$3" lockText="1" noThreeD="1"/>
</file>

<file path=xl/ctrlProps/ctrlProp24.xml><?xml version="1.0" encoding="utf-8"?>
<formControlPr xmlns="http://schemas.microsoft.com/office/spreadsheetml/2009/9/main" objectType="CheckBox" fmlaLink="Data!$EQ$3" lockText="1" noThreeD="1"/>
</file>

<file path=xl/ctrlProps/ctrlProp25.xml><?xml version="1.0" encoding="utf-8"?>
<formControlPr xmlns="http://schemas.microsoft.com/office/spreadsheetml/2009/9/main" objectType="CheckBox" fmlaLink="Data!$ER$3" lockText="1" noThreeD="1"/>
</file>

<file path=xl/ctrlProps/ctrlProp26.xml><?xml version="1.0" encoding="utf-8"?>
<formControlPr xmlns="http://schemas.microsoft.com/office/spreadsheetml/2009/9/main" objectType="CheckBox" fmlaLink="Data!$ES$3" lockText="1" noThreeD="1"/>
</file>

<file path=xl/ctrlProps/ctrlProp27.xml><?xml version="1.0" encoding="utf-8"?>
<formControlPr xmlns="http://schemas.microsoft.com/office/spreadsheetml/2009/9/main" objectType="CheckBox" fmlaLink="Data!$EU$2" lockText="1" noThreeD="1"/>
</file>

<file path=xl/ctrlProps/ctrlProp28.xml><?xml version="1.0" encoding="utf-8"?>
<formControlPr xmlns="http://schemas.microsoft.com/office/spreadsheetml/2009/9/main" objectType="CheckBox" fmlaLink="Data!$EV$3" lockText="1" noThreeD="1"/>
</file>

<file path=xl/ctrlProps/ctrlProp29.xml><?xml version="1.0" encoding="utf-8"?>
<formControlPr xmlns="http://schemas.microsoft.com/office/spreadsheetml/2009/9/main" objectType="CheckBox" fmlaLink="Data!$EW$3" lockText="1" noThreeD="1"/>
</file>

<file path=xl/ctrlProps/ctrlProp3.xml><?xml version="1.0" encoding="utf-8"?>
<formControlPr xmlns="http://schemas.microsoft.com/office/spreadsheetml/2009/9/main" objectType="CheckBox" fmlaLink="Data!$D$59" lockText="1" noThreeD="1"/>
</file>

<file path=xl/ctrlProps/ctrlProp30.xml><?xml version="1.0" encoding="utf-8"?>
<formControlPr xmlns="http://schemas.microsoft.com/office/spreadsheetml/2009/9/main" objectType="CheckBox" fmlaLink="Data!$EX$3" lockText="1" noThreeD="1"/>
</file>

<file path=xl/ctrlProps/ctrlProp31.xml><?xml version="1.0" encoding="utf-8"?>
<formControlPr xmlns="http://schemas.microsoft.com/office/spreadsheetml/2009/9/main" objectType="CheckBox" fmlaLink="Data!$EY$3" lockText="1" noThreeD="1"/>
</file>

<file path=xl/ctrlProps/ctrlProp32.xml><?xml version="1.0" encoding="utf-8"?>
<formControlPr xmlns="http://schemas.microsoft.com/office/spreadsheetml/2009/9/main" objectType="CheckBox" fmlaLink="Data!$EZ$3" lockText="1" noThreeD="1"/>
</file>

<file path=xl/ctrlProps/ctrlProp33.xml><?xml version="1.0" encoding="utf-8"?>
<formControlPr xmlns="http://schemas.microsoft.com/office/spreadsheetml/2009/9/main" objectType="CheckBox" fmlaLink="Data!$FA$3" lockText="1" noThreeD="1"/>
</file>

<file path=xl/ctrlProps/ctrlProp34.xml><?xml version="1.0" encoding="utf-8"?>
<formControlPr xmlns="http://schemas.microsoft.com/office/spreadsheetml/2009/9/main" objectType="CheckBox" fmlaLink="Data!$FB$3" lockText="1" noThreeD="1"/>
</file>

<file path=xl/ctrlProps/ctrlProp35.xml><?xml version="1.0" encoding="utf-8"?>
<formControlPr xmlns="http://schemas.microsoft.com/office/spreadsheetml/2009/9/main" objectType="CheckBox" fmlaLink="Data!$FC$3" lockText="1" noThreeD="1"/>
</file>

<file path=xl/ctrlProps/ctrlProp36.xml><?xml version="1.0" encoding="utf-8"?>
<formControlPr xmlns="http://schemas.microsoft.com/office/spreadsheetml/2009/9/main" objectType="CheckBox" fmlaLink="Data!$FE$2" lockText="1" noThreeD="1"/>
</file>

<file path=xl/ctrlProps/ctrlProp37.xml><?xml version="1.0" encoding="utf-8"?>
<formControlPr xmlns="http://schemas.microsoft.com/office/spreadsheetml/2009/9/main" objectType="CheckBox" fmlaLink="Data!$FE$3" lockText="1" noThreeD="1"/>
</file>

<file path=xl/ctrlProps/ctrlProp38.xml><?xml version="1.0" encoding="utf-8"?>
<formControlPr xmlns="http://schemas.microsoft.com/office/spreadsheetml/2009/9/main" objectType="CheckBox" fmlaLink="Data!$FF$3" lockText="1" noThreeD="1"/>
</file>

<file path=xl/ctrlProps/ctrlProp39.xml><?xml version="1.0" encoding="utf-8"?>
<formControlPr xmlns="http://schemas.microsoft.com/office/spreadsheetml/2009/9/main" objectType="CheckBox" fmlaLink="Data!$FG$3" lockText="1" noThreeD="1"/>
</file>

<file path=xl/ctrlProps/ctrlProp4.xml><?xml version="1.0" encoding="utf-8"?>
<formControlPr xmlns="http://schemas.microsoft.com/office/spreadsheetml/2009/9/main" objectType="CheckBox" fmlaLink="Data!$D$60" lockText="1" noThreeD="1"/>
</file>

<file path=xl/ctrlProps/ctrlProp40.xml><?xml version="1.0" encoding="utf-8"?>
<formControlPr xmlns="http://schemas.microsoft.com/office/spreadsheetml/2009/9/main" objectType="CheckBox" fmlaLink="Data!$FH$3" lockText="1" noThreeD="1"/>
</file>

<file path=xl/ctrlProps/ctrlProp41.xml><?xml version="1.0" encoding="utf-8"?>
<formControlPr xmlns="http://schemas.microsoft.com/office/spreadsheetml/2009/9/main" objectType="CheckBox" fmlaLink="Data!$FI$3" lockText="1" noThreeD="1"/>
</file>

<file path=xl/ctrlProps/ctrlProp42.xml><?xml version="1.0" encoding="utf-8"?>
<formControlPr xmlns="http://schemas.microsoft.com/office/spreadsheetml/2009/9/main" objectType="CheckBox" fmlaLink="Data!$FJ$3" lockText="1" noThreeD="1"/>
</file>

<file path=xl/ctrlProps/ctrlProp43.xml><?xml version="1.0" encoding="utf-8"?>
<formControlPr xmlns="http://schemas.microsoft.com/office/spreadsheetml/2009/9/main" objectType="CheckBox" fmlaLink="Data!$FM$3" lockText="1" noThreeD="1"/>
</file>

<file path=xl/ctrlProps/ctrlProp44.xml><?xml version="1.0" encoding="utf-8"?>
<formControlPr xmlns="http://schemas.microsoft.com/office/spreadsheetml/2009/9/main" objectType="CheckBox" fmlaLink="Data!$FK$3" lockText="1" noThreeD="1"/>
</file>

<file path=xl/ctrlProps/ctrlProp45.xml><?xml version="1.0" encoding="utf-8"?>
<formControlPr xmlns="http://schemas.microsoft.com/office/spreadsheetml/2009/9/main" objectType="Radio" checked="Checked" firstButton="1" fmlaLink="Data!$DX$2"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CheckBox" fmlaLink="Data!$D$62" lockText="1" noThreeD="1"/>
</file>

<file path=xl/ctrlProps/ctrlProp48.xml><?xml version="1.0" encoding="utf-8"?>
<formControlPr xmlns="http://schemas.microsoft.com/office/spreadsheetml/2009/9/main" objectType="CheckBox" fmlaLink="Data!$B$62" lockText="1" noThreeD="1"/>
</file>

<file path=xl/ctrlProps/ctrlProp49.xml><?xml version="1.0" encoding="utf-8"?>
<formControlPr xmlns="http://schemas.microsoft.com/office/spreadsheetml/2009/9/main" objectType="CheckBox" fmlaLink="Data!$EJ$3" lockText="1" noThreeD="1"/>
</file>

<file path=xl/ctrlProps/ctrlProp5.xml><?xml version="1.0" encoding="utf-8"?>
<formControlPr xmlns="http://schemas.microsoft.com/office/spreadsheetml/2009/9/main" objectType="CheckBox" checked="Checked" fmlaLink="Data!$D$61" lockText="1" noThreeD="1"/>
</file>

<file path=xl/ctrlProps/ctrlProp50.xml><?xml version="1.0" encoding="utf-8"?>
<formControlPr xmlns="http://schemas.microsoft.com/office/spreadsheetml/2009/9/main" objectType="CheckBox" fmlaLink="Data!$B$63"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CheckBox" fmlaLink="Data!$B$58" lockText="1" noThreeD="1"/>
</file>

<file path=xl/ctrlProps/ctrlProp59.xml><?xml version="1.0" encoding="utf-8"?>
<formControlPr xmlns="http://schemas.microsoft.com/office/spreadsheetml/2009/9/main" objectType="CheckBox" fmlaLink="Data!$C$58" lockText="1" noThreeD="1"/>
</file>

<file path=xl/ctrlProps/ctrlProp6.xml><?xml version="1.0" encoding="utf-8"?>
<formControlPr xmlns="http://schemas.microsoft.com/office/spreadsheetml/2009/9/main" objectType="CheckBox" fmlaLink="Data!$D$58" lockText="1" noThreeD="1"/>
</file>

<file path=xl/ctrlProps/ctrlProp60.xml><?xml version="1.0" encoding="utf-8"?>
<formControlPr xmlns="http://schemas.microsoft.com/office/spreadsheetml/2009/9/main" objectType="CheckBox" fmlaLink="Data!$D$59" lockText="1" noThreeD="1"/>
</file>

<file path=xl/ctrlProps/ctrlProp61.xml><?xml version="1.0" encoding="utf-8"?>
<formControlPr xmlns="http://schemas.microsoft.com/office/spreadsheetml/2009/9/main" objectType="CheckBox" fmlaLink="Data!$D$60" lockText="1" noThreeD="1"/>
</file>

<file path=xl/ctrlProps/ctrlProp62.xml><?xml version="1.0" encoding="utf-8"?>
<formControlPr xmlns="http://schemas.microsoft.com/office/spreadsheetml/2009/9/main" objectType="CheckBox" checked="Checked" fmlaLink="Data!$D$61" lockText="1" noThreeD="1"/>
</file>

<file path=xl/ctrlProps/ctrlProp63.xml><?xml version="1.0" encoding="utf-8"?>
<formControlPr xmlns="http://schemas.microsoft.com/office/spreadsheetml/2009/9/main" objectType="CheckBox" fmlaLink="Data!$D$58" lockText="1" noThreeD="1"/>
</file>

<file path=xl/ctrlProps/ctrlProp64.xml><?xml version="1.0" encoding="utf-8"?>
<formControlPr xmlns="http://schemas.microsoft.com/office/spreadsheetml/2009/9/main" objectType="CheckBox" fmlaLink="Data!$B$59" lockText="1" noThreeD="1"/>
</file>

<file path=xl/ctrlProps/ctrlProp65.xml><?xml version="1.0" encoding="utf-8"?>
<formControlPr xmlns="http://schemas.microsoft.com/office/spreadsheetml/2009/9/main" objectType="CheckBox" fmlaLink="Data!$B$60" lockText="1" noThreeD="1"/>
</file>

<file path=xl/ctrlProps/ctrlProp66.xml><?xml version="1.0" encoding="utf-8"?>
<formControlPr xmlns="http://schemas.microsoft.com/office/spreadsheetml/2009/9/main" objectType="CheckBox" fmlaLink="Data!$B$61" lockText="1" noThreeD="1"/>
</file>

<file path=xl/ctrlProps/ctrlProp67.xml><?xml version="1.0" encoding="utf-8"?>
<formControlPr xmlns="http://schemas.microsoft.com/office/spreadsheetml/2009/9/main" objectType="CheckBox" fmlaLink="Data!$E$58" lockText="1" noThreeD="1"/>
</file>

<file path=xl/ctrlProps/ctrlProp68.xml><?xml version="1.0" encoding="utf-8"?>
<formControlPr xmlns="http://schemas.microsoft.com/office/spreadsheetml/2009/9/main" objectType="CheckBox" fmlaLink="Data!$G$58" lockText="1" noThreeD="1"/>
</file>

<file path=xl/ctrlProps/ctrlProp69.xml><?xml version="1.0" encoding="utf-8"?>
<formControlPr xmlns="http://schemas.microsoft.com/office/spreadsheetml/2009/9/main" objectType="CheckBox" fmlaLink="Data!$G$59"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Data!$G$61" lockText="1" noThreeD="1"/>
</file>

<file path=xl/ctrlProps/ctrlProp71.xml><?xml version="1.0" encoding="utf-8"?>
<formControlPr xmlns="http://schemas.microsoft.com/office/spreadsheetml/2009/9/main" objectType="CheckBox" fmlaLink="Data!$AN$2" noThreeD="1"/>
</file>

<file path=xl/ctrlProps/ctrlProp72.xml><?xml version="1.0" encoding="utf-8"?>
<formControlPr xmlns="http://schemas.microsoft.com/office/spreadsheetml/2009/9/main" objectType="CheckBox" fmlaLink="Data!$D$62" lockText="1" noThreeD="1"/>
</file>

<file path=xl/ctrlProps/ctrlProp73.xml><?xml version="1.0" encoding="utf-8"?>
<formControlPr xmlns="http://schemas.microsoft.com/office/spreadsheetml/2009/9/main" objectType="CheckBox" fmlaLink="Data!$B$62" lockText="1" noThreeD="1"/>
</file>

<file path=xl/ctrlProps/ctrlProp74.xml><?xml version="1.0" encoding="utf-8"?>
<formControlPr xmlns="http://schemas.microsoft.com/office/spreadsheetml/2009/9/main" objectType="CheckBox" fmlaLink="Data!$B$63" lockText="1" noThreeD="1"/>
</file>

<file path=xl/ctrlProps/ctrlProp75.xml><?xml version="1.0" encoding="utf-8"?>
<formControlPr xmlns="http://schemas.microsoft.com/office/spreadsheetml/2009/9/main" objectType="CheckBox" fmlaLink="Data!$B$61" lockText="1" noThreeD="1"/>
</file>

<file path=xl/ctrlProps/ctrlProp76.xml><?xml version="1.0" encoding="utf-8"?>
<formControlPr xmlns="http://schemas.microsoft.com/office/spreadsheetml/2009/9/main" objectType="CheckBox" fmlaLink="Data!$B$61" lockText="1" noThreeD="1"/>
</file>

<file path=xl/ctrlProps/ctrlProp77.xml><?xml version="1.0" encoding="utf-8"?>
<formControlPr xmlns="http://schemas.microsoft.com/office/spreadsheetml/2009/9/main" objectType="CheckBox" fmlaLink="Data!$B$61" lockText="1" noThreeD="1"/>
</file>

<file path=xl/ctrlProps/ctrlProp78.xml><?xml version="1.0" encoding="utf-8"?>
<formControlPr xmlns="http://schemas.microsoft.com/office/spreadsheetml/2009/9/main" objectType="CheckBox" fmlaLink="Data!$B$61" lockText="1" noThreeD="1"/>
</file>

<file path=xl/ctrlProps/ctrlProp79.xml><?xml version="1.0" encoding="utf-8"?>
<formControlPr xmlns="http://schemas.microsoft.com/office/spreadsheetml/2009/9/main" objectType="CheckBox" fmlaLink="Data!$B$61" lockText="1" noThreeD="1"/>
</file>

<file path=xl/ctrlProps/ctrlProp8.xml><?xml version="1.0" encoding="utf-8"?>
<formControlPr xmlns="http://schemas.microsoft.com/office/spreadsheetml/2009/9/main" objectType="CheckBox" fmlaLink="Data!$B$59" lockText="1" noThreeD="1"/>
</file>

<file path=xl/ctrlProps/ctrlProp80.xml><?xml version="1.0" encoding="utf-8"?>
<formControlPr xmlns="http://schemas.microsoft.com/office/spreadsheetml/2009/9/main" objectType="CheckBox" fmlaLink="Data!$B$61" lockText="1" noThreeD="1"/>
</file>

<file path=xl/ctrlProps/ctrlProp81.xml><?xml version="1.0" encoding="utf-8"?>
<formControlPr xmlns="http://schemas.microsoft.com/office/spreadsheetml/2009/9/main" objectType="CheckBox" fmlaLink="Data!$B$61" lockText="1" noThreeD="1"/>
</file>

<file path=xl/ctrlProps/ctrlProp82.xml><?xml version="1.0" encoding="utf-8"?>
<formControlPr xmlns="http://schemas.microsoft.com/office/spreadsheetml/2009/9/main" objectType="CheckBox" fmlaLink="Data!$B$61" lockText="1" noThreeD="1"/>
</file>

<file path=xl/ctrlProps/ctrlProp83.xml><?xml version="1.0" encoding="utf-8"?>
<formControlPr xmlns="http://schemas.microsoft.com/office/spreadsheetml/2009/9/main" objectType="CheckBox" fmlaLink="Data!$B$61" lockText="1" noThreeD="1"/>
</file>

<file path=xl/ctrlProps/ctrlProp84.xml><?xml version="1.0" encoding="utf-8"?>
<formControlPr xmlns="http://schemas.microsoft.com/office/spreadsheetml/2009/9/main" objectType="CheckBox" fmlaLink="Data!$B$61" lockText="1" noThreeD="1"/>
</file>

<file path=xl/ctrlProps/ctrlProp85.xml><?xml version="1.0" encoding="utf-8"?>
<formControlPr xmlns="http://schemas.microsoft.com/office/spreadsheetml/2009/9/main" objectType="CheckBox" fmlaLink="Data!$B$61" lockText="1" noThreeD="1"/>
</file>

<file path=xl/ctrlProps/ctrlProp86.xml><?xml version="1.0" encoding="utf-8"?>
<formControlPr xmlns="http://schemas.microsoft.com/office/spreadsheetml/2009/9/main" objectType="CheckBox" fmlaLink="Data!$B$61" lockText="1" noThreeD="1"/>
</file>

<file path=xl/ctrlProps/ctrlProp87.xml><?xml version="1.0" encoding="utf-8"?>
<formControlPr xmlns="http://schemas.microsoft.com/office/spreadsheetml/2009/9/main" objectType="CheckBox" fmlaLink="Data!$B$61" lockText="1" noThreeD="1"/>
</file>

<file path=xl/ctrlProps/ctrlProp88.xml><?xml version="1.0" encoding="utf-8"?>
<formControlPr xmlns="http://schemas.microsoft.com/office/spreadsheetml/2009/9/main" objectType="CheckBox" fmlaLink="Data!$B$61" lockText="1" noThreeD="1"/>
</file>

<file path=xl/ctrlProps/ctrlProp89.xml><?xml version="1.0" encoding="utf-8"?>
<formControlPr xmlns="http://schemas.microsoft.com/office/spreadsheetml/2009/9/main" objectType="CheckBox" fmlaLink="Data!$B$61" lockText="1" noThreeD="1"/>
</file>

<file path=xl/ctrlProps/ctrlProp9.xml><?xml version="1.0" encoding="utf-8"?>
<formControlPr xmlns="http://schemas.microsoft.com/office/spreadsheetml/2009/9/main" objectType="CheckBox" fmlaLink="Data!$B$60" lockText="1" noThreeD="1"/>
</file>

<file path=xl/ctrlProps/ctrlProp90.xml><?xml version="1.0" encoding="utf-8"?>
<formControlPr xmlns="http://schemas.microsoft.com/office/spreadsheetml/2009/9/main" objectType="CheckBox" fmlaLink="Data!$B$61" lockText="1" noThreeD="1"/>
</file>

<file path=xl/ctrlProps/ctrlProp91.xml><?xml version="1.0" encoding="utf-8"?>
<formControlPr xmlns="http://schemas.microsoft.com/office/spreadsheetml/2009/9/main" objectType="CheckBox" fmlaLink="Data!$B$61" lockText="1" noThreeD="1"/>
</file>

<file path=xl/ctrlProps/ctrlProp92.xml><?xml version="1.0" encoding="utf-8"?>
<formControlPr xmlns="http://schemas.microsoft.com/office/spreadsheetml/2009/9/main" objectType="CheckBox" fmlaLink="Data!$B$61" lockText="1" noThreeD="1"/>
</file>

<file path=xl/ctrlProps/ctrlProp93.xml><?xml version="1.0" encoding="utf-8"?>
<formControlPr xmlns="http://schemas.microsoft.com/office/spreadsheetml/2009/9/main" objectType="CheckBox" fmlaLink="Data!$B$61" lockText="1" noThreeD="1"/>
</file>

<file path=xl/ctrlProps/ctrlProp94.xml><?xml version="1.0" encoding="utf-8"?>
<formControlPr xmlns="http://schemas.microsoft.com/office/spreadsheetml/2009/9/main" objectType="CheckBox" fmlaLink="Data!$B$61" lockText="1" noThreeD="1"/>
</file>

<file path=xl/ctrlProps/ctrlProp95.xml><?xml version="1.0" encoding="utf-8"?>
<formControlPr xmlns="http://schemas.microsoft.com/office/spreadsheetml/2009/9/main" objectType="CheckBox" fmlaLink="Data!$B$61" lockText="1" noThreeD="1"/>
</file>

<file path=xl/ctrlProps/ctrlProp96.xml><?xml version="1.0" encoding="utf-8"?>
<formControlPr xmlns="http://schemas.microsoft.com/office/spreadsheetml/2009/9/main" objectType="CheckBox" fmlaLink="Data!$B$61" lockText="1" noThreeD="1"/>
</file>

<file path=xl/ctrlProps/ctrlProp97.xml><?xml version="1.0" encoding="utf-8"?>
<formControlPr xmlns="http://schemas.microsoft.com/office/spreadsheetml/2009/9/main" objectType="CheckBox" fmlaLink="Data!$B$61" lockText="1" noThreeD="1"/>
</file>

<file path=xl/ctrlProps/ctrlProp98.xml><?xml version="1.0" encoding="utf-8"?>
<formControlPr xmlns="http://schemas.microsoft.com/office/spreadsheetml/2009/9/main" objectType="CheckBox" fmlaLink="Data!$B$61" lockText="1" noThreeD="1"/>
</file>

<file path=xl/ctrlProps/ctrlProp99.xml><?xml version="1.0" encoding="utf-8"?>
<formControlPr xmlns="http://schemas.microsoft.com/office/spreadsheetml/2009/9/main" objectType="CheckBox" fmlaLink="Data!$B$6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structions!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transitionenergetique.gouv.qc.ca/fileadmin/medias/pdf/ecoperformance/Guide-Ecoperformance-Bionergies.pdf"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structions!A1"/><Relationship Id="rId1" Type="http://schemas.openxmlformats.org/officeDocument/2006/relationships/hyperlink" Target="https://transitionenergetique.gouv.qc.ca/fileadmin/medias/pdf/ecoperformance/Guide-Ecoperformance-Bionergies.pdf"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1.png"/><Relationship Id="rId5" Type="http://schemas.openxmlformats.org/officeDocument/2006/relationships/image" Target="../media/image7.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29</xdr:col>
      <xdr:colOff>2019300</xdr:colOff>
      <xdr:row>35</xdr:row>
      <xdr:rowOff>0</xdr:rowOff>
    </xdr:from>
    <xdr:to>
      <xdr:col>37</xdr:col>
      <xdr:colOff>1371600</xdr:colOff>
      <xdr:row>35</xdr:row>
      <xdr:rowOff>0</xdr:rowOff>
    </xdr:to>
    <xdr:sp macro="" textlink="">
      <xdr:nvSpPr>
        <xdr:cNvPr id="162849" name="Rectangle 1" hidden="1">
          <a:extLst>
            <a:ext uri="{FF2B5EF4-FFF2-40B4-BE49-F238E27FC236}">
              <a16:creationId xmlns:a16="http://schemas.microsoft.com/office/drawing/2014/main" id="{1AEBFD9A-EDBB-2540-E6CF-ACF6C84574A0}"/>
            </a:ext>
          </a:extLst>
        </xdr:cNvPr>
        <xdr:cNvSpPr>
          <a:spLocks noChangeArrowheads="1"/>
        </xdr:cNvSpPr>
      </xdr:nvSpPr>
      <xdr:spPr bwMode="auto">
        <a:xfrm>
          <a:off x="6416040" y="4183380"/>
          <a:ext cx="1638300" cy="0"/>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510540</xdr:colOff>
      <xdr:row>72</xdr:row>
      <xdr:rowOff>0</xdr:rowOff>
    </xdr:from>
    <xdr:to>
      <xdr:col>22</xdr:col>
      <xdr:colOff>861060</xdr:colOff>
      <xdr:row>72</xdr:row>
      <xdr:rowOff>0</xdr:rowOff>
    </xdr:to>
    <xdr:sp macro="" textlink="">
      <xdr:nvSpPr>
        <xdr:cNvPr id="162850" name="Line 2">
          <a:extLst>
            <a:ext uri="{FF2B5EF4-FFF2-40B4-BE49-F238E27FC236}">
              <a16:creationId xmlns:a16="http://schemas.microsoft.com/office/drawing/2014/main" id="{CBE24FB2-3FA4-AD07-0856-3899FFFDD0ED}"/>
            </a:ext>
          </a:extLst>
        </xdr:cNvPr>
        <xdr:cNvSpPr>
          <a:spLocks noChangeShapeType="1"/>
        </xdr:cNvSpPr>
      </xdr:nvSpPr>
      <xdr:spPr bwMode="auto">
        <a:xfrm>
          <a:off x="601980" y="8343900"/>
          <a:ext cx="445008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4937760</xdr:colOff>
      <xdr:row>72</xdr:row>
      <xdr:rowOff>0</xdr:rowOff>
    </xdr:from>
    <xdr:to>
      <xdr:col>44</xdr:col>
      <xdr:colOff>784860</xdr:colOff>
      <xdr:row>72</xdr:row>
      <xdr:rowOff>0</xdr:rowOff>
    </xdr:to>
    <xdr:sp macro="" textlink="">
      <xdr:nvSpPr>
        <xdr:cNvPr id="162851" name="Line 3">
          <a:extLst>
            <a:ext uri="{FF2B5EF4-FFF2-40B4-BE49-F238E27FC236}">
              <a16:creationId xmlns:a16="http://schemas.microsoft.com/office/drawing/2014/main" id="{F7343CC1-0D21-13C2-9B73-524A371E9BBB}"/>
            </a:ext>
          </a:extLst>
        </xdr:cNvPr>
        <xdr:cNvSpPr>
          <a:spLocks noChangeShapeType="1"/>
        </xdr:cNvSpPr>
      </xdr:nvSpPr>
      <xdr:spPr bwMode="auto">
        <a:xfrm>
          <a:off x="5501640" y="8343900"/>
          <a:ext cx="42062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1851660</xdr:colOff>
      <xdr:row>72</xdr:row>
      <xdr:rowOff>0</xdr:rowOff>
    </xdr:from>
    <xdr:to>
      <xdr:col>8</xdr:col>
      <xdr:colOff>190500</xdr:colOff>
      <xdr:row>72</xdr:row>
      <xdr:rowOff>0</xdr:rowOff>
    </xdr:to>
    <xdr:sp macro="" textlink="">
      <xdr:nvSpPr>
        <xdr:cNvPr id="162852" name="Line 4">
          <a:extLst>
            <a:ext uri="{FF2B5EF4-FFF2-40B4-BE49-F238E27FC236}">
              <a16:creationId xmlns:a16="http://schemas.microsoft.com/office/drawing/2014/main" id="{70353AB3-CE55-D5B3-F33F-B60DFF8EB22A}"/>
            </a:ext>
          </a:extLst>
        </xdr:cNvPr>
        <xdr:cNvSpPr>
          <a:spLocks noChangeShapeType="1"/>
        </xdr:cNvSpPr>
      </xdr:nvSpPr>
      <xdr:spPr bwMode="auto">
        <a:xfrm>
          <a:off x="1798320" y="834390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79</xdr:colOff>
      <xdr:row>13</xdr:row>
      <xdr:rowOff>2577</xdr:rowOff>
    </xdr:from>
    <xdr:to>
      <xdr:col>9</xdr:col>
      <xdr:colOff>92031</xdr:colOff>
      <xdr:row>13</xdr:row>
      <xdr:rowOff>2577</xdr:rowOff>
    </xdr:to>
    <xdr:sp macro="" textlink="">
      <xdr:nvSpPr>
        <xdr:cNvPr id="6421" name="Text Box 33">
          <a:extLst>
            <a:ext uri="{FF2B5EF4-FFF2-40B4-BE49-F238E27FC236}">
              <a16:creationId xmlns:a16="http://schemas.microsoft.com/office/drawing/2014/main" id="{CDF2C019-E5DB-7ABD-CFC2-5538D289707A}"/>
            </a:ext>
          </a:extLst>
        </xdr:cNvPr>
        <xdr:cNvSpPr txBox="1">
          <a:spLocks noChangeArrowheads="1"/>
        </xdr:cNvSpPr>
      </xdr:nvSpPr>
      <xdr:spPr bwMode="auto">
        <a:xfrm>
          <a:off x="571500" y="752475"/>
          <a:ext cx="685800" cy="0"/>
        </a:xfrm>
        <a:prstGeom prst="rect">
          <a:avLst/>
        </a:prstGeom>
        <a:solidFill>
          <a:srgbClr val="FFFFFF">
            <a:alpha val="0"/>
          </a:srgbClr>
        </a:solidFill>
        <a:ln>
          <a:noFill/>
        </a:ln>
      </xdr:spPr>
      <xdr:txBody>
        <a:bodyPr vertOverflow="clip" wrap="square" lIns="27432" tIns="18288" rIns="0" bIns="0" anchor="t"/>
        <a:lstStyle/>
        <a:p>
          <a:pPr algn="l" rtl="0">
            <a:defRPr sz="1000"/>
          </a:pPr>
          <a:r>
            <a:rPr lang="fr-CA" sz="800" b="0" i="1" u="none" strike="noStrike" baseline="0">
              <a:solidFill>
                <a:srgbClr val="000000"/>
              </a:solidFill>
              <a:latin typeface="Arial"/>
              <a:cs typeface="Arial"/>
            </a:rPr>
            <a:t>(Voir note 3)</a:t>
          </a:r>
        </a:p>
      </xdr:txBody>
    </xdr:sp>
    <xdr:clientData/>
  </xdr:twoCellAnchor>
  <mc:AlternateContent xmlns:mc="http://schemas.openxmlformats.org/markup-compatibility/2006">
    <mc:Choice xmlns:a14="http://schemas.microsoft.com/office/drawing/2010/main" Requires="a14">
      <xdr:twoCellAnchor editAs="oneCell">
        <xdr:from>
          <xdr:col>4</xdr:col>
          <xdr:colOff>247650</xdr:colOff>
          <xdr:row>8</xdr:row>
          <xdr:rowOff>260350</xdr:rowOff>
        </xdr:from>
        <xdr:to>
          <xdr:col>8</xdr:col>
          <xdr:colOff>184150</xdr:colOff>
          <xdr:row>16</xdr:row>
          <xdr:rowOff>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Analyse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1822450</xdr:colOff>
          <xdr:row>8</xdr:row>
          <xdr:rowOff>260350</xdr:rowOff>
        </xdr:from>
        <xdr:to>
          <xdr:col>30</xdr:col>
          <xdr:colOff>31750</xdr:colOff>
          <xdr:row>16</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Efficacité énergétique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1314450</xdr:colOff>
          <xdr:row>8</xdr:row>
          <xdr:rowOff>2171700</xdr:rowOff>
        </xdr:from>
        <xdr:to>
          <xdr:col>35</xdr:col>
          <xdr:colOff>0</xdr:colOff>
          <xdr:row>16</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Bioénergies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9</xdr:row>
          <xdr:rowOff>469900</xdr:rowOff>
        </xdr:from>
        <xdr:to>
          <xdr:col>37</xdr:col>
          <xdr:colOff>0</xdr:colOff>
          <xdr:row>15</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Énergies émergentes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10</xdr:row>
          <xdr:rowOff>1028700</xdr:rowOff>
        </xdr:from>
        <xdr:to>
          <xdr:col>36</xdr:col>
          <xdr:colOff>0</xdr:colOff>
          <xdr:row>16</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Traditionnelles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260350</xdr:colOff>
          <xdr:row>8</xdr:row>
          <xdr:rowOff>260350</xdr:rowOff>
        </xdr:from>
        <xdr:to>
          <xdr:col>35</xdr:col>
          <xdr:colOff>0</xdr:colOff>
          <xdr:row>16</xdr:row>
          <xdr:rowOff>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1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Conversion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4667250</xdr:colOff>
          <xdr:row>213</xdr:row>
          <xdr:rowOff>2952750</xdr:rowOff>
        </xdr:from>
        <xdr:to>
          <xdr:col>21</xdr:col>
          <xdr:colOff>127000</xdr:colOff>
          <xdr:row>216</xdr:row>
          <xdr:rowOff>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1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46</xdr:col>
      <xdr:colOff>121205</xdr:colOff>
      <xdr:row>21</xdr:row>
      <xdr:rowOff>22323</xdr:rowOff>
    </xdr:from>
    <xdr:to>
      <xdr:col>63</xdr:col>
      <xdr:colOff>1418</xdr:colOff>
      <xdr:row>22</xdr:row>
      <xdr:rowOff>1509</xdr:rowOff>
    </xdr:to>
    <xdr:sp macro="" textlink="$E$22" fLocksText="0">
      <xdr:nvSpPr>
        <xdr:cNvPr id="6478" name="Descriptif_Organisme" hidden="1">
          <a:extLst>
            <a:ext uri="{FF2B5EF4-FFF2-40B4-BE49-F238E27FC236}">
              <a16:creationId xmlns:a16="http://schemas.microsoft.com/office/drawing/2014/main" id="{7478D72B-6EB9-BD0C-65A7-7F01D58AD9A1}"/>
            </a:ext>
          </a:extLst>
        </xdr:cNvPr>
        <xdr:cNvSpPr txBox="1">
          <a:spLocks noChangeArrowheads="1"/>
        </xdr:cNvSpPr>
      </xdr:nvSpPr>
      <xdr:spPr bwMode="auto">
        <a:xfrm>
          <a:off x="9707880" y="3070860"/>
          <a:ext cx="8999220" cy="419571"/>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fld id="{38DA1F52-4078-471A-8654-9E018332657B}" type="TxLink">
            <a:rPr lang="en-US" sz="1000" b="0" i="0" u="none" strike="noStrike" baseline="0">
              <a:solidFill>
                <a:srgbClr val="000000"/>
              </a:solidFill>
              <a:latin typeface="Arial"/>
              <a:cs typeface="Arial"/>
            </a:rPr>
            <a:pPr algn="l" rtl="0">
              <a:defRPr sz="1000"/>
            </a:pPr>
            <a:t> </a:t>
          </a:fld>
          <a:endParaRPr lang="fr-CA" sz="1000" b="0" i="0" u="none" strike="noStrike" baseline="0">
            <a:solidFill>
              <a:srgbClr val="000000"/>
            </a:solidFill>
            <a:latin typeface="Arial"/>
            <a:cs typeface="Arial"/>
          </a:endParaRPr>
        </a:p>
      </xdr:txBody>
    </xdr:sp>
    <xdr:clientData fLocksWithSheet="0"/>
  </xdr:twoCellAnchor>
  <mc:AlternateContent xmlns:mc="http://schemas.openxmlformats.org/markup-compatibility/2006">
    <mc:Choice xmlns:a14="http://schemas.microsoft.com/office/drawing/2010/main" Requires="a14">
      <xdr:twoCellAnchor editAs="oneCell">
        <xdr:from>
          <xdr:col>4</xdr:col>
          <xdr:colOff>1885950</xdr:colOff>
          <xdr:row>9</xdr:row>
          <xdr:rowOff>412750</xdr:rowOff>
        </xdr:from>
        <xdr:to>
          <xdr:col>9</xdr:col>
          <xdr:colOff>184150</xdr:colOff>
          <xdr:row>15</xdr:row>
          <xdr:rowOff>12700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1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Standard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1885950</xdr:colOff>
          <xdr:row>10</xdr:row>
          <xdr:rowOff>1098550</xdr:rowOff>
        </xdr:from>
        <xdr:to>
          <xdr:col>9</xdr:col>
          <xdr:colOff>184150</xdr:colOff>
          <xdr:row>15</xdr:row>
          <xdr:rowOff>12700</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1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Complexe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11</xdr:row>
          <xdr:rowOff>1631950</xdr:rowOff>
        </xdr:from>
        <xdr:to>
          <xdr:col>15</xdr:col>
          <xdr:colOff>184150</xdr:colOff>
          <xdr:row>16</xdr:row>
          <xdr:rowOff>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1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2800350</xdr:colOff>
          <xdr:row>8</xdr:row>
          <xdr:rowOff>260350</xdr:rowOff>
        </xdr:from>
        <xdr:to>
          <xdr:col>16</xdr:col>
          <xdr:colOff>0</xdr:colOff>
          <xdr:row>16</xdr:row>
          <xdr:rowOff>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1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Management de l'énergie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1847850</xdr:colOff>
          <xdr:row>8</xdr:row>
          <xdr:rowOff>260350</xdr:rowOff>
        </xdr:from>
        <xdr:to>
          <xdr:col>44</xdr:col>
          <xdr:colOff>0</xdr:colOff>
          <xdr:row>16</xdr:row>
          <xdr:rowOff>0</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1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Émissions fugitives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857250</xdr:colOff>
          <xdr:row>9</xdr:row>
          <xdr:rowOff>412750</xdr:rowOff>
        </xdr:from>
        <xdr:to>
          <xdr:col>45</xdr:col>
          <xdr:colOff>0</xdr:colOff>
          <xdr:row>16</xdr:row>
          <xdr:rowOff>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1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Système de réfrigération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857250</xdr:colOff>
          <xdr:row>10</xdr:row>
          <xdr:rowOff>1098550</xdr:rowOff>
        </xdr:from>
        <xdr:to>
          <xdr:col>44</xdr:col>
          <xdr:colOff>0</xdr:colOff>
          <xdr:row>15</xdr:row>
          <xdr:rowOff>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1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Autres procédés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4933950</xdr:colOff>
          <xdr:row>31</xdr:row>
          <xdr:rowOff>3727450</xdr:rowOff>
        </xdr:from>
        <xdr:to>
          <xdr:col>20</xdr:col>
          <xdr:colOff>0</xdr:colOff>
          <xdr:row>35</xdr:row>
          <xdr:rowOff>0</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1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Mettre en copie conforme lors des communications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2228850</xdr:colOff>
          <xdr:row>58</xdr:row>
          <xdr:rowOff>400050</xdr:rowOff>
        </xdr:from>
        <xdr:to>
          <xdr:col>20</xdr:col>
          <xdr:colOff>0</xdr:colOff>
          <xdr:row>61</xdr:row>
          <xdr:rowOff>12700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1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Mettre en copie conforme lors des communications</a:t>
              </a:r>
            </a:p>
          </xdr:txBody>
        </xdr:sp>
        <xdr:clientData/>
      </xdr:twoCellAnchor>
    </mc:Choice>
    <mc:Fallback/>
  </mc:AlternateContent>
  <xdr:twoCellAnchor>
    <xdr:from>
      <xdr:col>47</xdr:col>
      <xdr:colOff>0</xdr:colOff>
      <xdr:row>107</xdr:row>
      <xdr:rowOff>195</xdr:rowOff>
    </xdr:from>
    <xdr:to>
      <xdr:col>64</xdr:col>
      <xdr:colOff>4</xdr:colOff>
      <xdr:row>112</xdr:row>
      <xdr:rowOff>1963</xdr:rowOff>
    </xdr:to>
    <xdr:sp macro="" textlink="$E$108" fLocksText="0">
      <xdr:nvSpPr>
        <xdr:cNvPr id="6503" name="Descriptif_Projet" hidden="1">
          <a:extLst>
            <a:ext uri="{FF2B5EF4-FFF2-40B4-BE49-F238E27FC236}">
              <a16:creationId xmlns:a16="http://schemas.microsoft.com/office/drawing/2014/main" id="{57E67F4C-1E38-F0F6-2758-AD5438C175B3}"/>
            </a:ext>
          </a:extLst>
        </xdr:cNvPr>
        <xdr:cNvSpPr txBox="1">
          <a:spLocks noChangeArrowheads="1"/>
        </xdr:cNvSpPr>
      </xdr:nvSpPr>
      <xdr:spPr bwMode="auto">
        <a:xfrm>
          <a:off x="9944100" y="12854940"/>
          <a:ext cx="8999220" cy="787873"/>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fld id="{53AF438F-5520-430A-8D58-6946575AE01C}" type="TxLink">
            <a:rPr lang="en-US" sz="1000" b="0" i="0" u="none" strike="noStrike">
              <a:solidFill>
                <a:srgbClr val="000000"/>
              </a:solidFill>
              <a:latin typeface="Arial"/>
              <a:cs typeface="Arial"/>
            </a:rPr>
            <a:pPr/>
            <a:t> </a:t>
          </a:fld>
          <a:endParaRPr lang="fr-CA" sz="1000">
            <a:latin typeface="Arial" panose="020B0604020202020204" pitchFamily="34" charset="0"/>
            <a:cs typeface="Arial" panose="020B0604020202020204" pitchFamily="34" charset="0"/>
          </a:endParaRPr>
        </a:p>
      </xdr:txBody>
    </xdr:sp>
    <xdr:clientData fLocksWithSheet="0"/>
  </xdr:twoCellAnchor>
  <mc:AlternateContent xmlns:mc="http://schemas.openxmlformats.org/markup-compatibility/2006">
    <mc:Choice xmlns:a14="http://schemas.microsoft.com/office/drawing/2010/main" Requires="a14">
      <xdr:twoCellAnchor editAs="oneCell">
        <xdr:from>
          <xdr:col>7</xdr:col>
          <xdr:colOff>165100</xdr:colOff>
          <xdr:row>68</xdr:row>
          <xdr:rowOff>0</xdr:rowOff>
        </xdr:from>
        <xdr:to>
          <xdr:col>28</xdr:col>
          <xdr:colOff>133350</xdr:colOff>
          <xdr:row>69</xdr:row>
          <xdr:rowOff>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1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Consommation d'énergie thermique non électrique de plus de 36 TJ (36 000 GJ)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1765300</xdr:colOff>
          <xdr:row>17</xdr:row>
          <xdr:rowOff>3600450</xdr:rowOff>
        </xdr:from>
        <xdr:to>
          <xdr:col>40</xdr:col>
          <xdr:colOff>0</xdr:colOff>
          <xdr:row>20</xdr:row>
          <xdr:rowOff>171450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1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Centre de recherche reconnu</a:t>
              </a:r>
            </a:p>
          </xdr:txBody>
        </xdr:sp>
        <xdr:clientData fLocksWithSheet="0"/>
      </xdr:twoCellAnchor>
    </mc:Choice>
    <mc:Fallback/>
  </mc:AlternateContent>
  <xdr:twoCellAnchor>
    <xdr:from>
      <xdr:col>4</xdr:col>
      <xdr:colOff>2100</xdr:colOff>
      <xdr:row>113</xdr:row>
      <xdr:rowOff>0</xdr:rowOff>
    </xdr:from>
    <xdr:to>
      <xdr:col>45</xdr:col>
      <xdr:colOff>1734</xdr:colOff>
      <xdr:row>113</xdr:row>
      <xdr:rowOff>0</xdr:rowOff>
    </xdr:to>
    <xdr:sp macro="" textlink="" fLocksText="0">
      <xdr:nvSpPr>
        <xdr:cNvPr id="6539" name="Text Box 395">
          <a:extLst>
            <a:ext uri="{FF2B5EF4-FFF2-40B4-BE49-F238E27FC236}">
              <a16:creationId xmlns:a16="http://schemas.microsoft.com/office/drawing/2014/main" id="{AE150B85-C98E-3DE0-5BFF-9433C02C440F}"/>
            </a:ext>
          </a:extLst>
        </xdr:cNvPr>
        <xdr:cNvSpPr txBox="1">
          <a:spLocks noChangeArrowheads="1"/>
        </xdr:cNvSpPr>
      </xdr:nvSpPr>
      <xdr:spPr bwMode="auto">
        <a:xfrm>
          <a:off x="361950" y="13211175"/>
          <a:ext cx="8458200" cy="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9</xdr:col>
          <xdr:colOff>2876550</xdr:colOff>
          <xdr:row>120</xdr:row>
          <xdr:rowOff>3600450</xdr:rowOff>
        </xdr:from>
        <xdr:to>
          <xdr:col>11</xdr:col>
          <xdr:colOff>0</xdr:colOff>
          <xdr:row>156</xdr:row>
          <xdr:rowOff>0</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1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3714750</xdr:colOff>
          <xdr:row>120</xdr:row>
          <xdr:rowOff>3600450</xdr:rowOff>
        </xdr:from>
        <xdr:to>
          <xdr:col>15</xdr:col>
          <xdr:colOff>0</xdr:colOff>
          <xdr:row>156</xdr:row>
          <xdr:rowOff>0</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1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3714750</xdr:colOff>
          <xdr:row>120</xdr:row>
          <xdr:rowOff>3600450</xdr:rowOff>
        </xdr:from>
        <xdr:to>
          <xdr:col>20</xdr:col>
          <xdr:colOff>0</xdr:colOff>
          <xdr:row>156</xdr:row>
          <xdr:rowOff>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1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2584450</xdr:colOff>
          <xdr:row>120</xdr:row>
          <xdr:rowOff>3600450</xdr:rowOff>
        </xdr:from>
        <xdr:to>
          <xdr:col>23</xdr:col>
          <xdr:colOff>0</xdr:colOff>
          <xdr:row>156</xdr:row>
          <xdr:rowOff>0</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1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3714750</xdr:colOff>
          <xdr:row>120</xdr:row>
          <xdr:rowOff>3600450</xdr:rowOff>
        </xdr:from>
        <xdr:to>
          <xdr:col>28</xdr:col>
          <xdr:colOff>31750</xdr:colOff>
          <xdr:row>156</xdr:row>
          <xdr:rowOff>0</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1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3536950</xdr:colOff>
          <xdr:row>120</xdr:row>
          <xdr:rowOff>3600450</xdr:rowOff>
        </xdr:from>
        <xdr:to>
          <xdr:col>32</xdr:col>
          <xdr:colOff>0</xdr:colOff>
          <xdr:row>156</xdr:row>
          <xdr:rowOff>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1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2800350</xdr:colOff>
          <xdr:row>120</xdr:row>
          <xdr:rowOff>3600450</xdr:rowOff>
        </xdr:from>
        <xdr:to>
          <xdr:col>37</xdr:col>
          <xdr:colOff>0</xdr:colOff>
          <xdr:row>156</xdr:row>
          <xdr:rowOff>0</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1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704850</xdr:colOff>
          <xdr:row>120</xdr:row>
          <xdr:rowOff>3600450</xdr:rowOff>
        </xdr:from>
        <xdr:to>
          <xdr:col>40</xdr:col>
          <xdr:colOff>0</xdr:colOff>
          <xdr:row>156</xdr:row>
          <xdr:rowOff>0</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1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3829050</xdr:colOff>
          <xdr:row>122</xdr:row>
          <xdr:rowOff>755650</xdr:rowOff>
        </xdr:from>
        <xdr:to>
          <xdr:col>10</xdr:col>
          <xdr:colOff>0</xdr:colOff>
          <xdr:row>156</xdr:row>
          <xdr:rowOff>12700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1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2800350</xdr:colOff>
          <xdr:row>124</xdr:row>
          <xdr:rowOff>3879850</xdr:rowOff>
        </xdr:from>
        <xdr:to>
          <xdr:col>11</xdr:col>
          <xdr:colOff>0</xdr:colOff>
          <xdr:row>156</xdr:row>
          <xdr:rowOff>0</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1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2800350</xdr:colOff>
          <xdr:row>124</xdr:row>
          <xdr:rowOff>3879850</xdr:rowOff>
        </xdr:from>
        <xdr:to>
          <xdr:col>15</xdr:col>
          <xdr:colOff>0</xdr:colOff>
          <xdr:row>156</xdr:row>
          <xdr:rowOff>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1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2800350</xdr:colOff>
          <xdr:row>124</xdr:row>
          <xdr:rowOff>3879850</xdr:rowOff>
        </xdr:from>
        <xdr:to>
          <xdr:col>19</xdr:col>
          <xdr:colOff>0</xdr:colOff>
          <xdr:row>156</xdr:row>
          <xdr:rowOff>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1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2228850</xdr:colOff>
          <xdr:row>124</xdr:row>
          <xdr:rowOff>3879850</xdr:rowOff>
        </xdr:from>
        <xdr:to>
          <xdr:col>23</xdr:col>
          <xdr:colOff>0</xdr:colOff>
          <xdr:row>156</xdr:row>
          <xdr:rowOff>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1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3524250</xdr:colOff>
          <xdr:row>124</xdr:row>
          <xdr:rowOff>3879850</xdr:rowOff>
        </xdr:from>
        <xdr:to>
          <xdr:col>28</xdr:col>
          <xdr:colOff>31750</xdr:colOff>
          <xdr:row>156</xdr:row>
          <xdr:rowOff>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1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3536950</xdr:colOff>
          <xdr:row>124</xdr:row>
          <xdr:rowOff>3879850</xdr:rowOff>
        </xdr:from>
        <xdr:to>
          <xdr:col>32</xdr:col>
          <xdr:colOff>0</xdr:colOff>
          <xdr:row>156</xdr:row>
          <xdr:rowOff>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1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2876550</xdr:colOff>
          <xdr:row>124</xdr:row>
          <xdr:rowOff>3879850</xdr:rowOff>
        </xdr:from>
        <xdr:to>
          <xdr:col>37</xdr:col>
          <xdr:colOff>0</xdr:colOff>
          <xdr:row>156</xdr:row>
          <xdr:rowOff>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1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279400</xdr:colOff>
          <xdr:row>124</xdr:row>
          <xdr:rowOff>3879850</xdr:rowOff>
        </xdr:from>
        <xdr:to>
          <xdr:col>40</xdr:col>
          <xdr:colOff>0</xdr:colOff>
          <xdr:row>156</xdr:row>
          <xdr:rowOff>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1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708660</xdr:colOff>
      <xdr:row>123</xdr:row>
      <xdr:rowOff>617220</xdr:rowOff>
    </xdr:from>
    <xdr:to>
      <xdr:col>7</xdr:col>
      <xdr:colOff>4937760</xdr:colOff>
      <xdr:row>130</xdr:row>
      <xdr:rowOff>876300</xdr:rowOff>
    </xdr:to>
    <xdr:sp macro="" textlink="">
      <xdr:nvSpPr>
        <xdr:cNvPr id="162857" name="AutoShape 434" hidden="1">
          <a:extLst>
            <a:ext uri="{FF2B5EF4-FFF2-40B4-BE49-F238E27FC236}">
              <a16:creationId xmlns:a16="http://schemas.microsoft.com/office/drawing/2014/main" id="{23521320-E71F-A866-5F68-86A0E4492401}"/>
            </a:ext>
          </a:extLst>
        </xdr:cNvPr>
        <xdr:cNvSpPr>
          <a:spLocks/>
        </xdr:cNvSpPr>
      </xdr:nvSpPr>
      <xdr:spPr bwMode="auto">
        <a:xfrm>
          <a:off x="1562100" y="11833860"/>
          <a:ext cx="0" cy="0"/>
        </a:xfrm>
        <a:prstGeom prst="leftBrace">
          <a:avLst>
            <a:gd name="adj1" fmla="val -2147483648"/>
            <a:gd name="adj2" fmla="val 50000"/>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3829050</xdr:colOff>
          <xdr:row>126</xdr:row>
          <xdr:rowOff>400050</xdr:rowOff>
        </xdr:from>
        <xdr:to>
          <xdr:col>10</xdr:col>
          <xdr:colOff>0</xdr:colOff>
          <xdr:row>156</xdr:row>
          <xdr:rowOff>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1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2876550</xdr:colOff>
          <xdr:row>128</xdr:row>
          <xdr:rowOff>4051300</xdr:rowOff>
        </xdr:from>
        <xdr:to>
          <xdr:col>11</xdr:col>
          <xdr:colOff>0</xdr:colOff>
          <xdr:row>156</xdr:row>
          <xdr:rowOff>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1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2876550</xdr:colOff>
          <xdr:row>128</xdr:row>
          <xdr:rowOff>4051300</xdr:rowOff>
        </xdr:from>
        <xdr:to>
          <xdr:col>15</xdr:col>
          <xdr:colOff>0</xdr:colOff>
          <xdr:row>156</xdr:row>
          <xdr:rowOff>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1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2876550</xdr:colOff>
          <xdr:row>128</xdr:row>
          <xdr:rowOff>4051300</xdr:rowOff>
        </xdr:from>
        <xdr:to>
          <xdr:col>19</xdr:col>
          <xdr:colOff>0</xdr:colOff>
          <xdr:row>156</xdr:row>
          <xdr:rowOff>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1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2584450</xdr:colOff>
          <xdr:row>128</xdr:row>
          <xdr:rowOff>4051300</xdr:rowOff>
        </xdr:from>
        <xdr:to>
          <xdr:col>23</xdr:col>
          <xdr:colOff>0</xdr:colOff>
          <xdr:row>156</xdr:row>
          <xdr:rowOff>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1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3714750</xdr:colOff>
          <xdr:row>128</xdr:row>
          <xdr:rowOff>4051300</xdr:rowOff>
        </xdr:from>
        <xdr:to>
          <xdr:col>28</xdr:col>
          <xdr:colOff>31750</xdr:colOff>
          <xdr:row>156</xdr:row>
          <xdr:rowOff>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1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3638550</xdr:colOff>
          <xdr:row>128</xdr:row>
          <xdr:rowOff>4051300</xdr:rowOff>
        </xdr:from>
        <xdr:to>
          <xdr:col>32</xdr:col>
          <xdr:colOff>0</xdr:colOff>
          <xdr:row>156</xdr:row>
          <xdr:rowOff>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1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704850</xdr:colOff>
          <xdr:row>128</xdr:row>
          <xdr:rowOff>3879850</xdr:rowOff>
        </xdr:from>
        <xdr:to>
          <xdr:col>40</xdr:col>
          <xdr:colOff>0</xdr:colOff>
          <xdr:row>156</xdr:row>
          <xdr:rowOff>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1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2876550</xdr:colOff>
          <xdr:row>128</xdr:row>
          <xdr:rowOff>3879850</xdr:rowOff>
        </xdr:from>
        <xdr:to>
          <xdr:col>37</xdr:col>
          <xdr:colOff>0</xdr:colOff>
          <xdr:row>156</xdr:row>
          <xdr:rowOff>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1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510540</xdr:colOff>
      <xdr:row>239</xdr:row>
      <xdr:rowOff>0</xdr:rowOff>
    </xdr:from>
    <xdr:to>
      <xdr:col>22</xdr:col>
      <xdr:colOff>861060</xdr:colOff>
      <xdr:row>239</xdr:row>
      <xdr:rowOff>0</xdr:rowOff>
    </xdr:to>
    <xdr:sp macro="" textlink="">
      <xdr:nvSpPr>
        <xdr:cNvPr id="162858" name="Line 2">
          <a:extLst>
            <a:ext uri="{FF2B5EF4-FFF2-40B4-BE49-F238E27FC236}">
              <a16:creationId xmlns:a16="http://schemas.microsoft.com/office/drawing/2014/main" id="{7BB56CF3-A387-43B1-6D38-AA2E8BFEC8C1}"/>
            </a:ext>
          </a:extLst>
        </xdr:cNvPr>
        <xdr:cNvSpPr>
          <a:spLocks noChangeShapeType="1"/>
        </xdr:cNvSpPr>
      </xdr:nvSpPr>
      <xdr:spPr bwMode="auto">
        <a:xfrm>
          <a:off x="601980" y="23088600"/>
          <a:ext cx="445008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4937760</xdr:colOff>
      <xdr:row>239</xdr:row>
      <xdr:rowOff>0</xdr:rowOff>
    </xdr:from>
    <xdr:to>
      <xdr:col>44</xdr:col>
      <xdr:colOff>784860</xdr:colOff>
      <xdr:row>239</xdr:row>
      <xdr:rowOff>0</xdr:rowOff>
    </xdr:to>
    <xdr:sp macro="" textlink="">
      <xdr:nvSpPr>
        <xdr:cNvPr id="162859" name="Line 3">
          <a:extLst>
            <a:ext uri="{FF2B5EF4-FFF2-40B4-BE49-F238E27FC236}">
              <a16:creationId xmlns:a16="http://schemas.microsoft.com/office/drawing/2014/main" id="{8DB550AB-FFDD-47C4-AE01-A09E31284DD9}"/>
            </a:ext>
          </a:extLst>
        </xdr:cNvPr>
        <xdr:cNvSpPr>
          <a:spLocks noChangeShapeType="1"/>
        </xdr:cNvSpPr>
      </xdr:nvSpPr>
      <xdr:spPr bwMode="auto">
        <a:xfrm>
          <a:off x="5501640" y="23088600"/>
          <a:ext cx="420624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1851660</xdr:colOff>
      <xdr:row>239</xdr:row>
      <xdr:rowOff>0</xdr:rowOff>
    </xdr:from>
    <xdr:to>
      <xdr:col>8</xdr:col>
      <xdr:colOff>190500</xdr:colOff>
      <xdr:row>239</xdr:row>
      <xdr:rowOff>0</xdr:rowOff>
    </xdr:to>
    <xdr:sp macro="" textlink="">
      <xdr:nvSpPr>
        <xdr:cNvPr id="162860" name="Line 4">
          <a:extLst>
            <a:ext uri="{FF2B5EF4-FFF2-40B4-BE49-F238E27FC236}">
              <a16:creationId xmlns:a16="http://schemas.microsoft.com/office/drawing/2014/main" id="{1C38A45E-DA38-C040-B485-1861633E53C2}"/>
            </a:ext>
          </a:extLst>
        </xdr:cNvPr>
        <xdr:cNvSpPr>
          <a:spLocks noChangeShapeType="1"/>
        </xdr:cNvSpPr>
      </xdr:nvSpPr>
      <xdr:spPr bwMode="auto">
        <a:xfrm>
          <a:off x="1798320" y="2308860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31</xdr:col>
          <xdr:colOff>50800</xdr:colOff>
          <xdr:row>68</xdr:row>
          <xdr:rowOff>95250</xdr:rowOff>
        </xdr:from>
        <xdr:to>
          <xdr:col>44</xdr:col>
          <xdr:colOff>57150</xdr:colOff>
          <xdr:row>69</xdr:row>
          <xdr:rowOff>57150</xdr:rowOff>
        </xdr:to>
        <xdr:sp macro="" textlink="">
          <xdr:nvSpPr>
            <xdr:cNvPr id="6630" name="Option Button 486" hidden="1">
              <a:extLst>
                <a:ext uri="{63B3BB69-23CF-44E3-9099-C40C66FF867C}">
                  <a14:compatExt spid="_x0000_s6630"/>
                </a:ext>
                <a:ext uri="{FF2B5EF4-FFF2-40B4-BE49-F238E27FC236}">
                  <a16:creationId xmlns:a16="http://schemas.microsoft.com/office/drawing/2014/main" id="{00000000-0008-0000-01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Nouveau bâtiment, nouveau procédé, agrandissement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68</xdr:row>
          <xdr:rowOff>95250</xdr:rowOff>
        </xdr:from>
        <xdr:to>
          <xdr:col>30</xdr:col>
          <xdr:colOff>0</xdr:colOff>
          <xdr:row>69</xdr:row>
          <xdr:rowOff>57150</xdr:rowOff>
        </xdr:to>
        <xdr:sp macro="" textlink="">
          <xdr:nvSpPr>
            <xdr:cNvPr id="6631" name="Option Button 487" hidden="1">
              <a:extLst>
                <a:ext uri="{63B3BB69-23CF-44E3-9099-C40C66FF867C}">
                  <a14:compatExt spid="_x0000_s6631"/>
                </a:ext>
                <a:ext uri="{FF2B5EF4-FFF2-40B4-BE49-F238E27FC236}">
                  <a16:creationId xmlns:a16="http://schemas.microsoft.com/office/drawing/2014/main" id="{00000000-0008-0000-01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Existant</a:t>
              </a:r>
            </a:p>
          </xdr:txBody>
        </xdr:sp>
        <xdr:clientData/>
      </xdr:twoCellAnchor>
    </mc:Choice>
    <mc:Fallback/>
  </mc:AlternateContent>
  <xdr:twoCellAnchor>
    <xdr:from>
      <xdr:col>9</xdr:col>
      <xdr:colOff>1851660</xdr:colOff>
      <xdr:row>239</xdr:row>
      <xdr:rowOff>0</xdr:rowOff>
    </xdr:from>
    <xdr:to>
      <xdr:col>9</xdr:col>
      <xdr:colOff>190500</xdr:colOff>
      <xdr:row>239</xdr:row>
      <xdr:rowOff>0</xdr:rowOff>
    </xdr:to>
    <xdr:sp macro="" textlink="">
      <xdr:nvSpPr>
        <xdr:cNvPr id="162861" name="Line 4">
          <a:extLst>
            <a:ext uri="{FF2B5EF4-FFF2-40B4-BE49-F238E27FC236}">
              <a16:creationId xmlns:a16="http://schemas.microsoft.com/office/drawing/2014/main" id="{E9563C53-8ECE-200C-520B-8E49820ABA7A}"/>
            </a:ext>
          </a:extLst>
        </xdr:cNvPr>
        <xdr:cNvSpPr>
          <a:spLocks noChangeShapeType="1"/>
        </xdr:cNvSpPr>
      </xdr:nvSpPr>
      <xdr:spPr bwMode="auto">
        <a:xfrm>
          <a:off x="2034540" y="2308860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41</xdr:col>
      <xdr:colOff>71804</xdr:colOff>
      <xdr:row>239</xdr:row>
      <xdr:rowOff>0</xdr:rowOff>
    </xdr:from>
    <xdr:to>
      <xdr:col>46</xdr:col>
      <xdr:colOff>1922</xdr:colOff>
      <xdr:row>239</xdr:row>
      <xdr:rowOff>0</xdr:rowOff>
    </xdr:to>
    <xdr:sp macro="" textlink="">
      <xdr:nvSpPr>
        <xdr:cNvPr id="6190" name="Text Box 46">
          <a:extLst>
            <a:ext uri="{FF2B5EF4-FFF2-40B4-BE49-F238E27FC236}">
              <a16:creationId xmlns:a16="http://schemas.microsoft.com/office/drawing/2014/main" id="{83E1D7D1-D5AA-2066-21C4-DF0DB4DD9EF0}"/>
            </a:ext>
          </a:extLst>
        </xdr:cNvPr>
        <xdr:cNvSpPr txBox="1">
          <a:spLocks noChangeArrowheads="1"/>
        </xdr:cNvSpPr>
      </xdr:nvSpPr>
      <xdr:spPr bwMode="auto">
        <a:xfrm>
          <a:off x="8343900" y="6946900"/>
          <a:ext cx="1206500" cy="165100"/>
        </a:xfrm>
        <a:prstGeom prst="rect">
          <a:avLst/>
        </a:prstGeom>
        <a:solidFill>
          <a:srgbClr val="FFFFFF">
            <a:alpha val="0"/>
          </a:srgbClr>
        </a:solidFill>
        <a:ln w="9525">
          <a:noFill/>
          <a:miter lim="800000"/>
          <a:headEnd/>
          <a:tailEnd/>
        </a:ln>
      </xdr:spPr>
      <xdr:txBody>
        <a:bodyPr vertOverflow="clip" wrap="square" lIns="27432" tIns="18288" rIns="0" bIns="0" anchor="t" upright="1"/>
        <a:lstStyle/>
        <a:p>
          <a:pPr algn="l" rtl="0">
            <a:defRPr sz="1000"/>
          </a:pPr>
          <a:r>
            <a:rPr lang="fr-FR" sz="800" b="0" i="1" strike="noStrike">
              <a:solidFill>
                <a:srgbClr val="000000"/>
              </a:solidFill>
              <a:latin typeface="Arial"/>
              <a:ea typeface="Arial"/>
              <a:cs typeface="Arial"/>
            </a:rPr>
            <a:t>(PRCML seulement)</a:t>
          </a:r>
        </a:p>
      </xdr:txBody>
    </xdr:sp>
    <xdr:clientData/>
  </xdr:twoCellAnchor>
  <mc:AlternateContent xmlns:mc="http://schemas.openxmlformats.org/markup-compatibility/2006">
    <mc:Choice xmlns:a14="http://schemas.microsoft.com/office/drawing/2010/main" Requires="a14">
      <xdr:twoCellAnchor editAs="oneCell">
        <xdr:from>
          <xdr:col>30</xdr:col>
          <xdr:colOff>1314450</xdr:colOff>
          <xdr:row>10</xdr:row>
          <xdr:rowOff>1924050</xdr:rowOff>
        </xdr:from>
        <xdr:to>
          <xdr:col>45</xdr:col>
          <xdr:colOff>0</xdr:colOff>
          <xdr:row>16</xdr:row>
          <xdr:rowOff>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1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Solaires (excluant les murs solaires [eff. énergétique])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xdr:row>
          <xdr:rowOff>1962150</xdr:rowOff>
        </xdr:from>
        <xdr:to>
          <xdr:col>12</xdr:col>
          <xdr:colOff>184150</xdr:colOff>
          <xdr:row>16</xdr:row>
          <xdr:rowOff>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1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Intégration de procédés (préliminaire)</a:t>
              </a:r>
            </a:p>
          </xdr:txBody>
        </xdr:sp>
        <xdr:clientData/>
      </xdr:twoCellAnchor>
    </mc:Choice>
    <mc:Fallback/>
  </mc:AlternateContent>
  <xdr:twoCellAnchor>
    <xdr:from>
      <xdr:col>47</xdr:col>
      <xdr:colOff>1319</xdr:colOff>
      <xdr:row>71</xdr:row>
      <xdr:rowOff>293</xdr:rowOff>
    </xdr:from>
    <xdr:to>
      <xdr:col>64</xdr:col>
      <xdr:colOff>1136</xdr:colOff>
      <xdr:row>72</xdr:row>
      <xdr:rowOff>2030</xdr:rowOff>
    </xdr:to>
    <xdr:sp macro="" textlink="$E$72" fLocksText="0">
      <xdr:nvSpPr>
        <xdr:cNvPr id="6691" name="Descriptif_Site" hidden="1">
          <a:extLst>
            <a:ext uri="{FF2B5EF4-FFF2-40B4-BE49-F238E27FC236}">
              <a16:creationId xmlns:a16="http://schemas.microsoft.com/office/drawing/2014/main" id="{E96F00FF-0999-F446-F58E-2EF65A6CFFBA}"/>
            </a:ext>
          </a:extLst>
        </xdr:cNvPr>
        <xdr:cNvSpPr txBox="1">
          <a:spLocks noChangeArrowheads="1"/>
        </xdr:cNvSpPr>
      </xdr:nvSpPr>
      <xdr:spPr bwMode="auto">
        <a:xfrm>
          <a:off x="9799320" y="9585960"/>
          <a:ext cx="8999220" cy="571500"/>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fld id="{170C97C1-A83F-4D85-AB3A-F3B7F1DADC5C}" type="TxLink">
            <a:rPr lang="en-US" sz="1000" b="0" i="0" u="none" strike="noStrike">
              <a:solidFill>
                <a:srgbClr val="000000"/>
              </a:solidFill>
              <a:latin typeface="Arial"/>
              <a:cs typeface="Arial"/>
            </a:rPr>
            <a:pPr/>
            <a:t> </a:t>
          </a:fld>
          <a:endParaRPr lang="fr-CA" sz="1000">
            <a:latin typeface="Arial" panose="020B0604020202020204" pitchFamily="34" charset="0"/>
            <a:cs typeface="Arial" panose="020B0604020202020204" pitchFamily="34" charset="0"/>
          </a:endParaRPr>
        </a:p>
      </xdr:txBody>
    </xdr:sp>
    <xdr:clientData fLocksWithSheet="0"/>
  </xdr:twoCellAnchor>
  <mc:AlternateContent xmlns:mc="http://schemas.openxmlformats.org/markup-compatibility/2006">
    <mc:Choice xmlns:a14="http://schemas.microsoft.com/office/drawing/2010/main" Requires="a14">
      <xdr:twoCellAnchor editAs="oneCell">
        <xdr:from>
          <xdr:col>31</xdr:col>
          <xdr:colOff>5848350</xdr:colOff>
          <xdr:row>99</xdr:row>
          <xdr:rowOff>3727450</xdr:rowOff>
        </xdr:from>
        <xdr:to>
          <xdr:col>44</xdr:col>
          <xdr:colOff>0</xdr:colOff>
          <xdr:row>107</xdr:row>
          <xdr:rowOff>12700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1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Projet stratégique en électrification des transports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2228850</xdr:colOff>
          <xdr:row>8</xdr:row>
          <xdr:rowOff>260350</xdr:rowOff>
        </xdr:from>
        <xdr:to>
          <xdr:col>22</xdr:col>
          <xdr:colOff>0</xdr:colOff>
          <xdr:row>16</xdr:row>
          <xdr:rowOff>0</xdr:rowOff>
        </xdr:to>
        <xdr:sp macro="" textlink="">
          <xdr:nvSpPr>
            <xdr:cNvPr id="6750" name="Check Box 606" hidden="1">
              <a:extLst>
                <a:ext uri="{63B3BB69-23CF-44E3-9099-C40C66FF867C}">
                  <a14:compatExt spid="_x0000_s6750"/>
                </a:ext>
                <a:ext uri="{FF2B5EF4-FFF2-40B4-BE49-F238E27FC236}">
                  <a16:creationId xmlns:a16="http://schemas.microsoft.com/office/drawing/2014/main" id="{00000000-0008-0000-01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Remise au point (RCx)</a:t>
              </a:r>
            </a:p>
          </xdr:txBody>
        </xdr:sp>
        <xdr:clientData/>
      </xdr:twoCellAnchor>
    </mc:Choice>
    <mc:Fallback/>
  </mc:AlternateContent>
  <xdr:twoCellAnchor editAs="oneCell">
    <xdr:from>
      <xdr:col>5</xdr:col>
      <xdr:colOff>2704</xdr:colOff>
      <xdr:row>193</xdr:row>
      <xdr:rowOff>576</xdr:rowOff>
    </xdr:from>
    <xdr:to>
      <xdr:col>43</xdr:col>
      <xdr:colOff>111671</xdr:colOff>
      <xdr:row>197</xdr:row>
      <xdr:rowOff>1499</xdr:rowOff>
    </xdr:to>
    <xdr:sp macro="" textlink="">
      <xdr:nvSpPr>
        <xdr:cNvPr id="102" name="AutoriseTRDons" hidden="1">
          <a:extLst>
            <a:ext uri="{FF2B5EF4-FFF2-40B4-BE49-F238E27FC236}">
              <a16:creationId xmlns:a16="http://schemas.microsoft.com/office/drawing/2014/main" id="{AC5F1B24-49BB-BD76-F437-C14ED4AA0A45}"/>
            </a:ext>
          </a:extLst>
        </xdr:cNvPr>
        <xdr:cNvSpPr txBox="1">
          <a:spLocks noChangeArrowheads="1"/>
        </xdr:cNvSpPr>
      </xdr:nvSpPr>
      <xdr:spPr bwMode="auto">
        <a:xfrm>
          <a:off x="450273" y="17759795"/>
          <a:ext cx="9128107" cy="332839"/>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ts val="700"/>
            </a:lnSpc>
            <a:spcBef>
              <a:spcPts val="0"/>
            </a:spcBef>
            <a:spcAft>
              <a:spcPts val="0"/>
            </a:spcAft>
            <a:buClrTx/>
            <a:buSzTx/>
            <a:buFontTx/>
            <a:buNone/>
            <a:tabLst/>
            <a:defRPr sz="1000"/>
          </a:pPr>
          <a:r>
            <a:rPr kumimoji="0" lang="fr-CA" sz="700" b="0" i="0" u="none" strike="noStrike" kern="0" cap="none" spc="0" normalizeH="0" baseline="0" noProof="0">
              <a:ln>
                <a:noFill/>
              </a:ln>
              <a:solidFill>
                <a:srgbClr val="000000"/>
              </a:solidFill>
              <a:effectLst/>
              <a:uLnTx/>
              <a:uFillTx/>
              <a:latin typeface="Arial"/>
              <a:cs typeface="Arial"/>
            </a:rPr>
            <a:t> </a:t>
          </a:r>
        </a:p>
        <a:p>
          <a:pPr marL="0" marR="0" lvl="0" indent="0" algn="l" defTabSz="914400" rtl="0" eaLnBrk="1" fontAlgn="auto" latinLnBrk="0" hangingPunct="1">
            <a:lnSpc>
              <a:spcPts val="700"/>
            </a:lnSpc>
            <a:spcBef>
              <a:spcPts val="0"/>
            </a:spcBef>
            <a:spcAft>
              <a:spcPts val="0"/>
            </a:spcAft>
            <a:buClrTx/>
            <a:buSzTx/>
            <a:buFontTx/>
            <a:buNone/>
            <a:tabLst/>
            <a:defRPr sz="1000"/>
          </a:pPr>
          <a:endParaRPr kumimoji="0" lang="fr-CA" sz="700" b="0" i="0" u="none" strike="noStrike" kern="0" cap="none" spc="0" normalizeH="0" baseline="0" noProof="0">
            <a:ln>
              <a:noFill/>
            </a:ln>
            <a:solidFill>
              <a:srgbClr val="000000"/>
            </a:solidFill>
            <a:effectLst/>
            <a:uLnTx/>
            <a:uFillTx/>
            <a:latin typeface="Arial"/>
            <a:cs typeface="Arial"/>
          </a:endParaRPr>
        </a:p>
      </xdr:txBody>
    </xdr:sp>
    <xdr:clientData/>
  </xdr:twoCellAnchor>
  <xdr:twoCellAnchor>
    <xdr:from>
      <xdr:col>2</xdr:col>
      <xdr:colOff>116204</xdr:colOff>
      <xdr:row>213</xdr:row>
      <xdr:rowOff>99325</xdr:rowOff>
    </xdr:from>
    <xdr:to>
      <xdr:col>21</xdr:col>
      <xdr:colOff>89590</xdr:colOff>
      <xdr:row>217</xdr:row>
      <xdr:rowOff>52081</xdr:rowOff>
    </xdr:to>
    <xdr:sp macro="" textlink="">
      <xdr:nvSpPr>
        <xdr:cNvPr id="6" name="ZoneTexte 5">
          <a:extLst>
            <a:ext uri="{FF2B5EF4-FFF2-40B4-BE49-F238E27FC236}">
              <a16:creationId xmlns:a16="http://schemas.microsoft.com/office/drawing/2014/main" id="{FD4FD26A-B6CF-A243-58BA-FD5A9321F8E5}"/>
            </a:ext>
          </a:extLst>
        </xdr:cNvPr>
        <xdr:cNvSpPr txBox="1"/>
      </xdr:nvSpPr>
      <xdr:spPr>
        <a:xfrm>
          <a:off x="432434" y="19882750"/>
          <a:ext cx="4173901" cy="472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CA" sz="1000" b="1">
              <a:solidFill>
                <a:schemeClr val="dk1"/>
              </a:solidFill>
              <a:latin typeface="Arial" panose="020B0604020202020204" pitchFamily="34" charset="0"/>
              <a:ea typeface="+mn-ea"/>
              <a:cs typeface="Arial" panose="020B0604020202020204" pitchFamily="34" charset="0"/>
            </a:rPr>
            <a:t>Note : </a:t>
          </a:r>
          <a:r>
            <a:rPr lang="fr-CA" sz="1000">
              <a:solidFill>
                <a:schemeClr val="dk1"/>
              </a:solidFill>
              <a:latin typeface="Arial" panose="020B0604020202020204" pitchFamily="34" charset="0"/>
              <a:ea typeface="+mn-ea"/>
              <a:cs typeface="Arial" panose="020B0604020202020204" pitchFamily="34" charset="0"/>
            </a:rPr>
            <a:t>Ces documents sont obligatoires à l'ouverture du dossier.</a:t>
          </a:r>
          <a:br>
            <a:rPr lang="fr-CA" sz="1000">
              <a:solidFill>
                <a:schemeClr val="dk1"/>
              </a:solidFill>
              <a:latin typeface="Arial" panose="020B0604020202020204" pitchFamily="34" charset="0"/>
              <a:ea typeface="+mn-ea"/>
              <a:cs typeface="Arial" panose="020B0604020202020204" pitchFamily="34" charset="0"/>
            </a:rPr>
          </a:br>
          <a:r>
            <a:rPr lang="fr-CA" sz="1000">
              <a:solidFill>
                <a:schemeClr val="dk1"/>
              </a:solidFill>
              <a:latin typeface="Arial" panose="020B0604020202020204" pitchFamily="34" charset="0"/>
              <a:ea typeface="+mn-ea"/>
              <a:cs typeface="Arial" panose="020B0604020202020204" pitchFamily="34" charset="0"/>
            </a:rPr>
            <a:t>           À défaut de les fournir, des délais seront occasionnés.</a:t>
          </a:r>
          <a:br>
            <a:rPr lang="fr-CA" sz="1000">
              <a:solidFill>
                <a:schemeClr val="dk1"/>
              </a:solidFill>
              <a:latin typeface="Arial" panose="020B0604020202020204" pitchFamily="34" charset="0"/>
              <a:ea typeface="+mn-ea"/>
              <a:cs typeface="Arial" panose="020B0604020202020204" pitchFamily="34" charset="0"/>
            </a:rPr>
          </a:br>
          <a:r>
            <a:rPr lang="fr-CA" sz="1000">
              <a:solidFill>
                <a:schemeClr val="dk1"/>
              </a:solidFill>
              <a:latin typeface="Arial" panose="020B0604020202020204" pitchFamily="34" charset="0"/>
              <a:ea typeface="+mn-ea"/>
              <a:cs typeface="Arial" panose="020B0604020202020204" pitchFamily="34" charset="0"/>
            </a:rPr>
            <a:t>           D'autres</a:t>
          </a:r>
          <a:r>
            <a:rPr lang="fr-CA" sz="1000" baseline="0">
              <a:solidFill>
                <a:schemeClr val="dk1"/>
              </a:solidFill>
              <a:latin typeface="Arial" panose="020B0604020202020204" pitchFamily="34" charset="0"/>
              <a:ea typeface="+mn-ea"/>
              <a:cs typeface="Arial" panose="020B0604020202020204" pitchFamily="34" charset="0"/>
            </a:rPr>
            <a:t> documents pourront être exigés lors de l'analyse.</a:t>
          </a:r>
          <a:endParaRPr lang="fr-CA" sz="1000">
            <a:latin typeface="Arial" panose="020B0604020202020204" pitchFamily="34" charset="0"/>
            <a:cs typeface="Arial" panose="020B0604020202020204" pitchFamily="34" charset="0"/>
          </a:endParaRPr>
        </a:p>
      </xdr:txBody>
    </xdr:sp>
    <xdr:clientData/>
  </xdr:twoCellAnchor>
  <xdr:twoCellAnchor>
    <xdr:from>
      <xdr:col>32</xdr:col>
      <xdr:colOff>20369</xdr:colOff>
      <xdr:row>155</xdr:row>
      <xdr:rowOff>48210</xdr:rowOff>
    </xdr:from>
    <xdr:to>
      <xdr:col>45</xdr:col>
      <xdr:colOff>2263</xdr:colOff>
      <xdr:row>164</xdr:row>
      <xdr:rowOff>136761</xdr:rowOff>
    </xdr:to>
    <xdr:sp macro="" textlink="">
      <xdr:nvSpPr>
        <xdr:cNvPr id="3" name="Rectangle 2" hidden="1">
          <a:extLst>
            <a:ext uri="{FF2B5EF4-FFF2-40B4-BE49-F238E27FC236}">
              <a16:creationId xmlns:a16="http://schemas.microsoft.com/office/drawing/2014/main" id="{7A877ED4-7A6D-A32B-F3A8-AA083D3BD618}"/>
            </a:ext>
          </a:extLst>
        </xdr:cNvPr>
        <xdr:cNvSpPr/>
      </xdr:nvSpPr>
      <xdr:spPr>
        <a:xfrm>
          <a:off x="6267450" y="13925549"/>
          <a:ext cx="2880000" cy="1476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xdr:from>
      <xdr:col>20</xdr:col>
      <xdr:colOff>0</xdr:colOff>
      <xdr:row>98</xdr:row>
      <xdr:rowOff>2540</xdr:rowOff>
    </xdr:from>
    <xdr:to>
      <xdr:col>33</xdr:col>
      <xdr:colOff>2725</xdr:colOff>
      <xdr:row>101</xdr:row>
      <xdr:rowOff>0</xdr:rowOff>
    </xdr:to>
    <xdr:sp macro="" textlink="">
      <xdr:nvSpPr>
        <xdr:cNvPr id="4" name="Rectangle 3" hidden="1">
          <a:extLst>
            <a:ext uri="{FF2B5EF4-FFF2-40B4-BE49-F238E27FC236}">
              <a16:creationId xmlns:a16="http://schemas.microsoft.com/office/drawing/2014/main" id="{4C159887-DEEA-DE57-1274-C80DD72D74BD}"/>
            </a:ext>
          </a:extLst>
        </xdr:cNvPr>
        <xdr:cNvSpPr/>
      </xdr:nvSpPr>
      <xdr:spPr>
        <a:xfrm>
          <a:off x="4029075" y="12468225"/>
          <a:ext cx="2495550" cy="3524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xdr:from>
      <xdr:col>5</xdr:col>
      <xdr:colOff>2624</xdr:colOff>
      <xdr:row>200</xdr:row>
      <xdr:rowOff>1774</xdr:rowOff>
    </xdr:from>
    <xdr:to>
      <xdr:col>5</xdr:col>
      <xdr:colOff>2624</xdr:colOff>
      <xdr:row>200</xdr:row>
      <xdr:rowOff>1774</xdr:rowOff>
    </xdr:to>
    <xdr:sp macro="" textlink="">
      <xdr:nvSpPr>
        <xdr:cNvPr id="2" name="Ellipse 1" hidden="1">
          <a:extLst>
            <a:ext uri="{FF2B5EF4-FFF2-40B4-BE49-F238E27FC236}">
              <a16:creationId xmlns:a16="http://schemas.microsoft.com/office/drawing/2014/main" id="{2D1C1215-23B5-4D54-5F04-56885F980C55}"/>
            </a:ext>
          </a:extLst>
        </xdr:cNvPr>
        <xdr:cNvSpPr/>
      </xdr:nvSpPr>
      <xdr:spPr>
        <a:xfrm>
          <a:off x="500827" y="19187755"/>
          <a:ext cx="36000" cy="36000"/>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fr-CA"/>
        </a:p>
      </xdr:txBody>
    </xdr:sp>
    <xdr:clientData/>
  </xdr:twoCellAnchor>
  <xdr:twoCellAnchor>
    <xdr:from>
      <xdr:col>5</xdr:col>
      <xdr:colOff>84</xdr:colOff>
      <xdr:row>201</xdr:row>
      <xdr:rowOff>56</xdr:rowOff>
    </xdr:from>
    <xdr:to>
      <xdr:col>5</xdr:col>
      <xdr:colOff>84</xdr:colOff>
      <xdr:row>201</xdr:row>
      <xdr:rowOff>56</xdr:rowOff>
    </xdr:to>
    <xdr:sp macro="" textlink="">
      <xdr:nvSpPr>
        <xdr:cNvPr id="5" name="Ellipse 4" hidden="1">
          <a:extLst>
            <a:ext uri="{FF2B5EF4-FFF2-40B4-BE49-F238E27FC236}">
              <a16:creationId xmlns:a16="http://schemas.microsoft.com/office/drawing/2014/main" id="{ABB1AC97-3E42-B21B-4141-37AD169CEC30}"/>
            </a:ext>
          </a:extLst>
        </xdr:cNvPr>
        <xdr:cNvSpPr/>
      </xdr:nvSpPr>
      <xdr:spPr>
        <a:xfrm>
          <a:off x="500827" y="19371994"/>
          <a:ext cx="36000" cy="36000"/>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fr-CA"/>
        </a:p>
      </xdr:txBody>
    </xdr:sp>
    <xdr:clientData/>
  </xdr:twoCellAnchor>
  <xdr:twoCellAnchor>
    <xdr:from>
      <xdr:col>5</xdr:col>
      <xdr:colOff>84</xdr:colOff>
      <xdr:row>203</xdr:row>
      <xdr:rowOff>102</xdr:rowOff>
    </xdr:from>
    <xdr:to>
      <xdr:col>5</xdr:col>
      <xdr:colOff>84</xdr:colOff>
      <xdr:row>203</xdr:row>
      <xdr:rowOff>102</xdr:rowOff>
    </xdr:to>
    <xdr:sp macro="" textlink="">
      <xdr:nvSpPr>
        <xdr:cNvPr id="7" name="Ellipse 6" hidden="1">
          <a:extLst>
            <a:ext uri="{FF2B5EF4-FFF2-40B4-BE49-F238E27FC236}">
              <a16:creationId xmlns:a16="http://schemas.microsoft.com/office/drawing/2014/main" id="{E47C63E3-02D4-ED1A-0893-56C1E2817337}"/>
            </a:ext>
          </a:extLst>
        </xdr:cNvPr>
        <xdr:cNvSpPr/>
      </xdr:nvSpPr>
      <xdr:spPr>
        <a:xfrm>
          <a:off x="500827" y="19547935"/>
          <a:ext cx="36000" cy="36000"/>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fr-CA"/>
        </a:p>
      </xdr:txBody>
    </xdr:sp>
    <xdr:clientData/>
  </xdr:twoCellAnchor>
  <xdr:twoCellAnchor>
    <xdr:from>
      <xdr:col>5</xdr:col>
      <xdr:colOff>2896</xdr:colOff>
      <xdr:row>206</xdr:row>
      <xdr:rowOff>382</xdr:rowOff>
    </xdr:from>
    <xdr:to>
      <xdr:col>5</xdr:col>
      <xdr:colOff>2896</xdr:colOff>
      <xdr:row>206</xdr:row>
      <xdr:rowOff>382</xdr:rowOff>
    </xdr:to>
    <xdr:sp macro="" textlink="">
      <xdr:nvSpPr>
        <xdr:cNvPr id="14" name="Ellipse 13" hidden="1">
          <a:extLst>
            <a:ext uri="{FF2B5EF4-FFF2-40B4-BE49-F238E27FC236}">
              <a16:creationId xmlns:a16="http://schemas.microsoft.com/office/drawing/2014/main" id="{FCF1CBDC-489E-6B59-9BBA-BAEE63A3BB1F}"/>
            </a:ext>
          </a:extLst>
        </xdr:cNvPr>
        <xdr:cNvSpPr/>
      </xdr:nvSpPr>
      <xdr:spPr>
        <a:xfrm>
          <a:off x="500464" y="19744088"/>
          <a:ext cx="36000" cy="36000"/>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fr-CA"/>
        </a:p>
      </xdr:txBody>
    </xdr:sp>
    <xdr:clientData/>
  </xdr:twoCellAnchor>
  <xdr:twoCellAnchor>
    <xdr:from>
      <xdr:col>11</xdr:col>
      <xdr:colOff>45184</xdr:colOff>
      <xdr:row>5</xdr:row>
      <xdr:rowOff>38712</xdr:rowOff>
    </xdr:from>
    <xdr:to>
      <xdr:col>14</xdr:col>
      <xdr:colOff>2698</xdr:colOff>
      <xdr:row>6</xdr:row>
      <xdr:rowOff>1647</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F2CAF193-5FCA-0462-BDBA-C72811D9AE38}"/>
            </a:ext>
          </a:extLst>
        </xdr:cNvPr>
        <xdr:cNvSpPr/>
      </xdr:nvSpPr>
      <xdr:spPr>
        <a:xfrm>
          <a:off x="1883460" y="978058"/>
          <a:ext cx="745440" cy="1697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xdr:from>
      <xdr:col>4</xdr:col>
      <xdr:colOff>10372</xdr:colOff>
      <xdr:row>188</xdr:row>
      <xdr:rowOff>92923</xdr:rowOff>
    </xdr:from>
    <xdr:to>
      <xdr:col>42</xdr:col>
      <xdr:colOff>232834</xdr:colOff>
      <xdr:row>188</xdr:row>
      <xdr:rowOff>2518833</xdr:rowOff>
    </xdr:to>
    <xdr:grpSp>
      <xdr:nvGrpSpPr>
        <xdr:cNvPr id="162873" name="Groupe 41">
          <a:extLst>
            <a:ext uri="{FF2B5EF4-FFF2-40B4-BE49-F238E27FC236}">
              <a16:creationId xmlns:a16="http://schemas.microsoft.com/office/drawing/2014/main" id="{AB8B7E42-B0A6-DBD0-C5EA-73A1906CEE5E}"/>
            </a:ext>
          </a:extLst>
        </xdr:cNvPr>
        <xdr:cNvGrpSpPr>
          <a:grpSpLocks/>
        </xdr:cNvGrpSpPr>
      </xdr:nvGrpSpPr>
      <xdr:grpSpPr bwMode="auto">
        <a:xfrm>
          <a:off x="621030" y="15544590"/>
          <a:ext cx="9150562" cy="2429085"/>
          <a:chOff x="432288" y="16086451"/>
          <a:chExt cx="8459335" cy="1747568"/>
        </a:xfrm>
      </xdr:grpSpPr>
      <xdr:grpSp>
        <xdr:nvGrpSpPr>
          <xdr:cNvPr id="162875" name="Groupe 35">
            <a:extLst>
              <a:ext uri="{FF2B5EF4-FFF2-40B4-BE49-F238E27FC236}">
                <a16:creationId xmlns:a16="http://schemas.microsoft.com/office/drawing/2014/main" id="{C295E25F-53AC-D93E-723B-6622848E3A88}"/>
              </a:ext>
            </a:extLst>
          </xdr:cNvPr>
          <xdr:cNvGrpSpPr>
            <a:grpSpLocks/>
          </xdr:cNvGrpSpPr>
        </xdr:nvGrpSpPr>
        <xdr:grpSpPr bwMode="auto">
          <a:xfrm>
            <a:off x="432295" y="16437865"/>
            <a:ext cx="8414631" cy="199451"/>
            <a:chOff x="431139" y="16332010"/>
            <a:chExt cx="8508741" cy="199451"/>
          </a:xfrm>
        </xdr:grpSpPr>
        <xdr:sp macro="" textlink="">
          <xdr:nvSpPr>
            <xdr:cNvPr id="16" name="ZoneTexte 15">
              <a:extLst>
                <a:ext uri="{FF2B5EF4-FFF2-40B4-BE49-F238E27FC236}">
                  <a16:creationId xmlns:a16="http://schemas.microsoft.com/office/drawing/2014/main" id="{6171093B-F50B-0BC5-8EDA-0CE8ACAF0B7A}"/>
                </a:ext>
              </a:extLst>
            </xdr:cNvPr>
            <xdr:cNvSpPr txBox="1"/>
          </xdr:nvSpPr>
          <xdr:spPr bwMode="auto">
            <a:xfrm>
              <a:off x="691908" y="16332010"/>
              <a:ext cx="8247972" cy="199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lstStyle/>
            <a:p>
              <a:r>
                <a:rPr lang="fr-CA" sz="1000">
                  <a:latin typeface="Arial" panose="020B0604020202020204" pitchFamily="34" charset="0"/>
                  <a:cs typeface="Arial" panose="020B0604020202020204" pitchFamily="34" charset="0"/>
                </a:rPr>
                <a:t>Je déclare qu'aucun bon de commande ou aucune facture n'a été émis pour ce projet plus de 30 jours avant la transmission de cette demande.</a:t>
              </a:r>
            </a:p>
          </xdr:txBody>
        </xdr:sp>
        <mc:AlternateContent xmlns:mc="http://schemas.openxmlformats.org/markup-compatibility/2006">
          <mc:Choice xmlns:a14="http://schemas.microsoft.com/office/drawing/2010/main" Requires="a14">
            <xdr:sp macro="" textlink="">
              <xdr:nvSpPr>
                <xdr:cNvPr id="53194" name="Check Box 8138" hidden="1">
                  <a:extLst>
                    <a:ext uri="{63B3BB69-23CF-44E3-9099-C40C66FF867C}">
                      <a14:compatExt spid="_x0000_s53194"/>
                    </a:ext>
                    <a:ext uri="{FF2B5EF4-FFF2-40B4-BE49-F238E27FC236}">
                      <a16:creationId xmlns:a16="http://schemas.microsoft.com/office/drawing/2014/main" id="{00000000-0008-0000-0100-0000CACF0000}"/>
                    </a:ext>
                  </a:extLst>
                </xdr:cNvPr>
                <xdr:cNvSpPr/>
              </xdr:nvSpPr>
              <xdr:spPr bwMode="auto">
                <a:xfrm>
                  <a:off x="431139" y="16334742"/>
                  <a:ext cx="253722" cy="149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grpSp>
        <xdr:nvGrpSpPr>
          <xdr:cNvPr id="162876" name="Groupe 36">
            <a:extLst>
              <a:ext uri="{FF2B5EF4-FFF2-40B4-BE49-F238E27FC236}">
                <a16:creationId xmlns:a16="http://schemas.microsoft.com/office/drawing/2014/main" id="{8EAA8511-7D6E-33EE-B049-AB356C5B76D3}"/>
              </a:ext>
            </a:extLst>
          </xdr:cNvPr>
          <xdr:cNvGrpSpPr>
            <a:grpSpLocks/>
          </xdr:cNvGrpSpPr>
        </xdr:nvGrpSpPr>
        <xdr:grpSpPr bwMode="auto">
          <a:xfrm>
            <a:off x="433869" y="16086451"/>
            <a:ext cx="8457754" cy="303925"/>
            <a:chOff x="432713" y="16123471"/>
            <a:chExt cx="8552165" cy="303925"/>
          </a:xfrm>
        </xdr:grpSpPr>
        <xdr:sp macro="" textlink="">
          <xdr:nvSpPr>
            <xdr:cNvPr id="15" name="ZoneTexte 14">
              <a:extLst>
                <a:ext uri="{FF2B5EF4-FFF2-40B4-BE49-F238E27FC236}">
                  <a16:creationId xmlns:a16="http://schemas.microsoft.com/office/drawing/2014/main" id="{D83FA0E3-841F-E196-D3BC-E78DAB834FDB}"/>
                </a:ext>
              </a:extLst>
            </xdr:cNvPr>
            <xdr:cNvSpPr txBox="1"/>
          </xdr:nvSpPr>
          <xdr:spPr bwMode="auto">
            <a:xfrm>
              <a:off x="669533" y="16123471"/>
              <a:ext cx="8315345" cy="303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CA" sz="1000">
                  <a:latin typeface="Arial" panose="020B0604020202020204" pitchFamily="34" charset="0"/>
                  <a:cs typeface="Arial" panose="020B0604020202020204" pitchFamily="34" charset="0"/>
                </a:rPr>
                <a:t>Je déclare être dûment autorisé à prendre des engagements au nom du requérant, d’avoir pris connaissance des exigences et des conditions</a:t>
              </a:r>
              <a:br>
                <a:rPr lang="fr-CA" sz="1000">
                  <a:latin typeface="Arial" panose="020B0604020202020204" pitchFamily="34" charset="0"/>
                  <a:cs typeface="Arial" panose="020B0604020202020204" pitchFamily="34" charset="0"/>
                </a:rPr>
              </a:br>
              <a:r>
                <a:rPr lang="fr-CA" sz="1000">
                  <a:latin typeface="Arial" panose="020B0604020202020204" pitchFamily="34" charset="0"/>
                  <a:cs typeface="Arial" panose="020B0604020202020204" pitchFamily="34" charset="0"/>
                </a:rPr>
                <a:t>du programme pour lequel je demande une aide financière. Je reconnais que les renseignements contenus dans ce formulaire sont exacts.</a:t>
              </a:r>
            </a:p>
          </xdr:txBody>
        </xdr:sp>
        <mc:AlternateContent xmlns:mc="http://schemas.openxmlformats.org/markup-compatibility/2006">
          <mc:Choice xmlns:a14="http://schemas.microsoft.com/office/drawing/2010/main" Requires="a14">
            <xdr:sp macro="" textlink="">
              <xdr:nvSpPr>
                <xdr:cNvPr id="53195" name="Check Box 8139" hidden="1">
                  <a:extLst>
                    <a:ext uri="{63B3BB69-23CF-44E3-9099-C40C66FF867C}">
                      <a14:compatExt spid="_x0000_s53195"/>
                    </a:ext>
                    <a:ext uri="{FF2B5EF4-FFF2-40B4-BE49-F238E27FC236}">
                      <a16:creationId xmlns:a16="http://schemas.microsoft.com/office/drawing/2014/main" id="{00000000-0008-0000-0100-0000CBCF0000}"/>
                    </a:ext>
                  </a:extLst>
                </xdr:cNvPr>
                <xdr:cNvSpPr/>
              </xdr:nvSpPr>
              <xdr:spPr bwMode="auto">
                <a:xfrm>
                  <a:off x="432713" y="16123471"/>
                  <a:ext cx="276170" cy="149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grpSp>
        <xdr:nvGrpSpPr>
          <xdr:cNvPr id="162877" name="Groupe 37">
            <a:extLst>
              <a:ext uri="{FF2B5EF4-FFF2-40B4-BE49-F238E27FC236}">
                <a16:creationId xmlns:a16="http://schemas.microsoft.com/office/drawing/2014/main" id="{13B2F323-D68B-B86A-D093-383B9C5D6AD7}"/>
              </a:ext>
            </a:extLst>
          </xdr:cNvPr>
          <xdr:cNvGrpSpPr>
            <a:grpSpLocks/>
          </xdr:cNvGrpSpPr>
        </xdr:nvGrpSpPr>
        <xdr:grpSpPr bwMode="auto">
          <a:xfrm>
            <a:off x="432301" y="16684572"/>
            <a:ext cx="8414625" cy="180686"/>
            <a:chOff x="431145" y="16655168"/>
            <a:chExt cx="8508735" cy="180686"/>
          </a:xfrm>
        </xdr:grpSpPr>
        <xdr:sp macro="" textlink="">
          <xdr:nvSpPr>
            <xdr:cNvPr id="18" name="ZoneTexte 17">
              <a:extLst>
                <a:ext uri="{FF2B5EF4-FFF2-40B4-BE49-F238E27FC236}">
                  <a16:creationId xmlns:a16="http://schemas.microsoft.com/office/drawing/2014/main" id="{D7B784FF-0F75-F32A-349B-D6325CBA5DE0}"/>
                </a:ext>
              </a:extLst>
            </xdr:cNvPr>
            <xdr:cNvSpPr txBox="1"/>
          </xdr:nvSpPr>
          <xdr:spPr bwMode="auto">
            <a:xfrm>
              <a:off x="691908" y="16655399"/>
              <a:ext cx="8247972" cy="180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lstStyle/>
            <a:p>
              <a:r>
                <a:rPr lang="fr-CA" sz="1000">
                  <a:latin typeface="Arial" panose="020B0604020202020204" pitchFamily="34" charset="0"/>
                  <a:cs typeface="Arial" panose="020B0604020202020204" pitchFamily="34" charset="0"/>
                </a:rPr>
                <a:t>J'autorise Énergir, Hydro-Québec et le MELCCFP</a:t>
              </a:r>
              <a:r>
                <a:rPr lang="fr-CA" sz="1000" baseline="0">
                  <a:latin typeface="Arial" panose="020B0604020202020204" pitchFamily="34" charset="0"/>
                  <a:cs typeface="Arial" panose="020B0604020202020204" pitchFamily="34" charset="0"/>
                </a:rPr>
                <a:t> à se partager les documents fournis dans le cadre de cette demande d'aide financière.</a:t>
              </a:r>
              <a:endParaRPr lang="fr-CA" sz="1000">
                <a:latin typeface="Arial" panose="020B0604020202020204" pitchFamily="34" charset="0"/>
                <a:cs typeface="Arial" panose="020B0604020202020204" pitchFamily="34" charset="0"/>
              </a:endParaRPr>
            </a:p>
          </xdr:txBody>
        </xdr:sp>
        <mc:AlternateContent xmlns:mc="http://schemas.openxmlformats.org/markup-compatibility/2006">
          <mc:Choice xmlns:a14="http://schemas.microsoft.com/office/drawing/2010/main" Requires="a14">
            <xdr:sp macro="" textlink="">
              <xdr:nvSpPr>
                <xdr:cNvPr id="53197" name="Check Box 8141" hidden="1">
                  <a:extLst>
                    <a:ext uri="{63B3BB69-23CF-44E3-9099-C40C66FF867C}">
                      <a14:compatExt spid="_x0000_s53197"/>
                    </a:ext>
                    <a:ext uri="{FF2B5EF4-FFF2-40B4-BE49-F238E27FC236}">
                      <a16:creationId xmlns:a16="http://schemas.microsoft.com/office/drawing/2014/main" id="{00000000-0008-0000-0100-0000CDCF0000}"/>
                    </a:ext>
                  </a:extLst>
                </xdr:cNvPr>
                <xdr:cNvSpPr/>
              </xdr:nvSpPr>
              <xdr:spPr bwMode="auto">
                <a:xfrm>
                  <a:off x="431145" y="16655168"/>
                  <a:ext cx="257038" cy="1499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grpSp>
        <xdr:nvGrpSpPr>
          <xdr:cNvPr id="162878" name="Groupe 40">
            <a:extLst>
              <a:ext uri="{FF2B5EF4-FFF2-40B4-BE49-F238E27FC236}">
                <a16:creationId xmlns:a16="http://schemas.microsoft.com/office/drawing/2014/main" id="{D830F90F-73A9-6ED4-C388-9486B904791E}"/>
              </a:ext>
            </a:extLst>
          </xdr:cNvPr>
          <xdr:cNvGrpSpPr>
            <a:grpSpLocks/>
          </xdr:cNvGrpSpPr>
        </xdr:nvGrpSpPr>
        <xdr:grpSpPr bwMode="auto">
          <a:xfrm>
            <a:off x="433898" y="16960236"/>
            <a:ext cx="8420395" cy="218446"/>
            <a:chOff x="430235" y="16732186"/>
            <a:chExt cx="8392921" cy="218446"/>
          </a:xfrm>
        </xdr:grpSpPr>
        <xdr:sp macro="" textlink="">
          <xdr:nvSpPr>
            <xdr:cNvPr id="20" name="ZoneTexte 19">
              <a:extLst>
                <a:ext uri="{FF2B5EF4-FFF2-40B4-BE49-F238E27FC236}">
                  <a16:creationId xmlns:a16="http://schemas.microsoft.com/office/drawing/2014/main" id="{8800CD28-33E8-33D9-4157-D2DD4A657B0D}"/>
                </a:ext>
              </a:extLst>
            </xdr:cNvPr>
            <xdr:cNvSpPr txBox="1"/>
          </xdr:nvSpPr>
          <xdr:spPr bwMode="auto">
            <a:xfrm>
              <a:off x="685680" y="16732186"/>
              <a:ext cx="8137476" cy="218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lstStyle/>
            <a:p>
              <a:r>
                <a:rPr lang="fr-CA" sz="1000">
                  <a:latin typeface="Arial" panose="020B0604020202020204" pitchFamily="34" charset="0"/>
                  <a:cs typeface="Arial" panose="020B0604020202020204" pitchFamily="34" charset="0"/>
                </a:rPr>
                <a:t>Je déclare que ce</a:t>
              </a:r>
              <a:r>
                <a:rPr lang="fr-CA" sz="1000" baseline="0">
                  <a:latin typeface="Arial" panose="020B0604020202020204" pitchFamily="34" charset="0"/>
                  <a:cs typeface="Arial" panose="020B0604020202020204" pitchFamily="34" charset="0"/>
                </a:rPr>
                <a:t> projet ne fera l'objet d'aucune aide financière autre que celles indiquées à la section </a:t>
              </a:r>
              <a:r>
                <a:rPr lang="fr-CA" sz="1000" b="1" baseline="0">
                  <a:latin typeface="Arial" panose="020B0604020202020204" pitchFamily="34" charset="0"/>
                  <a:cs typeface="Arial" panose="020B0604020202020204" pitchFamily="34" charset="0"/>
                </a:rPr>
                <a:t>I</a:t>
              </a:r>
              <a:r>
                <a:rPr lang="fr-CA" sz="1000" baseline="0">
                  <a:latin typeface="Arial" panose="020B0604020202020204" pitchFamily="34" charset="0"/>
                  <a:cs typeface="Arial" panose="020B0604020202020204" pitchFamily="34" charset="0"/>
                </a:rPr>
                <a:t> de ce formulaire.</a:t>
              </a:r>
              <a:endParaRPr lang="fr-CA" sz="1000">
                <a:latin typeface="Arial" panose="020B0604020202020204" pitchFamily="34" charset="0"/>
                <a:cs typeface="Arial" panose="020B0604020202020204" pitchFamily="34" charset="0"/>
              </a:endParaRPr>
            </a:p>
          </xdr:txBody>
        </xdr:sp>
        <mc:AlternateContent xmlns:mc="http://schemas.openxmlformats.org/markup-compatibility/2006">
          <mc:Choice xmlns:a14="http://schemas.microsoft.com/office/drawing/2010/main" Requires="a14">
            <xdr:sp macro="" textlink="">
              <xdr:nvSpPr>
                <xdr:cNvPr id="54075" name="Check Box 9019" hidden="1">
                  <a:extLst>
                    <a:ext uri="{63B3BB69-23CF-44E3-9099-C40C66FF867C}">
                      <a14:compatExt spid="_x0000_s54075"/>
                    </a:ext>
                    <a:ext uri="{FF2B5EF4-FFF2-40B4-BE49-F238E27FC236}">
                      <a16:creationId xmlns:a16="http://schemas.microsoft.com/office/drawing/2014/main" id="{00000000-0008-0000-0100-00003BD30000}"/>
                    </a:ext>
                  </a:extLst>
                </xdr:cNvPr>
                <xdr:cNvSpPr/>
              </xdr:nvSpPr>
              <xdr:spPr bwMode="auto">
                <a:xfrm>
                  <a:off x="430235" y="16732910"/>
                  <a:ext cx="261208" cy="1493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grpSp>
        <xdr:nvGrpSpPr>
          <xdr:cNvPr id="162879" name="Groupe 39">
            <a:extLst>
              <a:ext uri="{FF2B5EF4-FFF2-40B4-BE49-F238E27FC236}">
                <a16:creationId xmlns:a16="http://schemas.microsoft.com/office/drawing/2014/main" id="{C89BD592-7C28-8F32-6171-D962C36E1DD4}"/>
              </a:ext>
            </a:extLst>
          </xdr:cNvPr>
          <xdr:cNvGrpSpPr>
            <a:grpSpLocks/>
          </xdr:cNvGrpSpPr>
        </xdr:nvGrpSpPr>
        <xdr:grpSpPr bwMode="auto">
          <a:xfrm>
            <a:off x="432288" y="17492103"/>
            <a:ext cx="8422006" cy="341916"/>
            <a:chOff x="428625" y="16877100"/>
            <a:chExt cx="8394532" cy="341916"/>
          </a:xfrm>
        </xdr:grpSpPr>
        <mc:AlternateContent xmlns:mc="http://schemas.openxmlformats.org/markup-compatibility/2006">
          <mc:Choice xmlns:a14="http://schemas.microsoft.com/office/drawing/2010/main" Requires="a14">
            <xdr:sp macro="" textlink="">
              <xdr:nvSpPr>
                <xdr:cNvPr id="57141" name="Check Box 10037" hidden="1">
                  <a:extLst>
                    <a:ext uri="{63B3BB69-23CF-44E3-9099-C40C66FF867C}">
                      <a14:compatExt spid="_x0000_s57141"/>
                    </a:ext>
                    <a:ext uri="{FF2B5EF4-FFF2-40B4-BE49-F238E27FC236}">
                      <a16:creationId xmlns:a16="http://schemas.microsoft.com/office/drawing/2014/main" id="{00000000-0008-0000-0100-000035DF0000}"/>
                    </a:ext>
                  </a:extLst>
                </xdr:cNvPr>
                <xdr:cNvSpPr/>
              </xdr:nvSpPr>
              <xdr:spPr bwMode="auto">
                <a:xfrm>
                  <a:off x="428625" y="16880155"/>
                  <a:ext cx="258062" cy="148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1" name="ZoneTexte 20">
              <a:extLst>
                <a:ext uri="{FF2B5EF4-FFF2-40B4-BE49-F238E27FC236}">
                  <a16:creationId xmlns:a16="http://schemas.microsoft.com/office/drawing/2014/main" id="{76AFAD85-7BE5-8380-652C-E028583ED6DB}"/>
                </a:ext>
              </a:extLst>
            </xdr:cNvPr>
            <xdr:cNvSpPr txBox="1"/>
          </xdr:nvSpPr>
          <xdr:spPr bwMode="auto">
            <a:xfrm>
              <a:off x="693020" y="16877100"/>
              <a:ext cx="8130137" cy="341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lstStyle/>
            <a:p>
              <a:r>
                <a:rPr lang="fr-CA" sz="1000">
                  <a:latin typeface="Arial" panose="020B0604020202020204" pitchFamily="34" charset="0"/>
                  <a:cs typeface="Arial" panose="020B0604020202020204" pitchFamily="34" charset="0"/>
                </a:rPr>
                <a:t>Je suis conscient qu'une demande de branchement au réseau électrique</a:t>
              </a:r>
              <a:r>
                <a:rPr lang="fr-CA" sz="1000" baseline="0">
                  <a:latin typeface="Arial" panose="020B0604020202020204" pitchFamily="34" charset="0"/>
                  <a:cs typeface="Arial" panose="020B0604020202020204" pitchFamily="34" charset="0"/>
                </a:rPr>
                <a:t> devra être faite</a:t>
              </a:r>
              <a:r>
                <a:rPr lang="fr-CA" sz="1000">
                  <a:latin typeface="Arial" panose="020B0604020202020204" pitchFamily="34" charset="0"/>
                  <a:cs typeface="Arial" panose="020B0604020202020204" pitchFamily="34" charset="0"/>
                </a:rPr>
                <a:t> et par le fait même, recevoir les autorisations</a:t>
              </a:r>
              <a:br>
                <a:rPr lang="fr-CA" sz="1000" baseline="0">
                  <a:latin typeface="Arial" panose="020B0604020202020204" pitchFamily="34" charset="0"/>
                  <a:cs typeface="Arial" panose="020B0604020202020204" pitchFamily="34" charset="0"/>
                </a:rPr>
              </a:br>
              <a:r>
                <a:rPr lang="fr-CA" sz="1000" baseline="0">
                  <a:latin typeface="Arial" panose="020B0604020202020204" pitchFamily="34" charset="0"/>
                  <a:cs typeface="Arial" panose="020B0604020202020204" pitchFamily="34" charset="0"/>
                </a:rPr>
                <a:t>d'Hydro-Québec</a:t>
              </a:r>
              <a:r>
                <a:rPr lang="fr-CA" sz="1000">
                  <a:latin typeface="Arial" panose="020B0604020202020204" pitchFamily="34" charset="0"/>
                  <a:cs typeface="Arial" panose="020B0604020202020204" pitchFamily="34" charset="0"/>
                </a:rPr>
                <a:t> et que cela peut occasionner des délais pour l'implantation de ce projet.</a:t>
              </a:r>
            </a:p>
          </xdr:txBody>
        </xdr:sp>
      </xdr:grpSp>
      <xdr:grpSp>
        <xdr:nvGrpSpPr>
          <xdr:cNvPr id="162880" name="Groupe 38">
            <a:extLst>
              <a:ext uri="{FF2B5EF4-FFF2-40B4-BE49-F238E27FC236}">
                <a16:creationId xmlns:a16="http://schemas.microsoft.com/office/drawing/2014/main" id="{6598C736-E857-8657-38B3-435471D741E3}"/>
              </a:ext>
            </a:extLst>
          </xdr:cNvPr>
          <xdr:cNvGrpSpPr>
            <a:grpSpLocks/>
          </xdr:cNvGrpSpPr>
        </xdr:nvGrpSpPr>
        <xdr:grpSpPr bwMode="auto">
          <a:xfrm>
            <a:off x="432288" y="17244154"/>
            <a:ext cx="8340955" cy="190964"/>
            <a:chOff x="428625" y="17295901"/>
            <a:chExt cx="8313479" cy="190964"/>
          </a:xfrm>
        </xdr:grpSpPr>
        <mc:AlternateContent xmlns:mc="http://schemas.openxmlformats.org/markup-compatibility/2006">
          <mc:Choice xmlns:a14="http://schemas.microsoft.com/office/drawing/2010/main" Requires="a14">
            <xdr:sp macro="" textlink="">
              <xdr:nvSpPr>
                <xdr:cNvPr id="121214" name="Check Box 20862" hidden="1">
                  <a:extLst>
                    <a:ext uri="{63B3BB69-23CF-44E3-9099-C40C66FF867C}">
                      <a14:compatExt spid="_x0000_s121214"/>
                    </a:ext>
                    <a:ext uri="{FF2B5EF4-FFF2-40B4-BE49-F238E27FC236}">
                      <a16:creationId xmlns:a16="http://schemas.microsoft.com/office/drawing/2014/main" id="{00000000-0008-0000-0100-00007ED90100}"/>
                    </a:ext>
                  </a:extLst>
                </xdr:cNvPr>
                <xdr:cNvSpPr/>
              </xdr:nvSpPr>
              <xdr:spPr bwMode="auto">
                <a:xfrm>
                  <a:off x="428625" y="17295901"/>
                  <a:ext cx="250031" cy="1512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3" name="ZoneTexte 22">
              <a:extLst>
                <a:ext uri="{FF2B5EF4-FFF2-40B4-BE49-F238E27FC236}">
                  <a16:creationId xmlns:a16="http://schemas.microsoft.com/office/drawing/2014/main" id="{A411C2F6-2C18-C663-3E50-791AA43D5F21}"/>
                </a:ext>
              </a:extLst>
            </xdr:cNvPr>
            <xdr:cNvSpPr txBox="1"/>
          </xdr:nvSpPr>
          <xdr:spPr bwMode="auto">
            <a:xfrm>
              <a:off x="678323" y="17296912"/>
              <a:ext cx="8063781" cy="189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lstStyle/>
            <a:p>
              <a:r>
                <a:rPr lang="fr-CA" sz="1000">
                  <a:latin typeface="Arial" panose="020B0604020202020204" pitchFamily="34" charset="0"/>
                  <a:cs typeface="Arial" panose="020B0604020202020204" pitchFamily="34" charset="0"/>
                </a:rPr>
                <a:t>J'accepte qu’Énergir me verse directement le montant des subventions indiquées à la section </a:t>
              </a:r>
              <a:r>
                <a:rPr lang="fr-CA" sz="1000" b="1">
                  <a:latin typeface="Arial" panose="020B0604020202020204" pitchFamily="34" charset="0"/>
                  <a:cs typeface="Arial" panose="020B0604020202020204" pitchFamily="34" charset="0"/>
                </a:rPr>
                <a:t>I</a:t>
              </a:r>
              <a:r>
                <a:rPr lang="fr-CA" sz="1000">
                  <a:latin typeface="Arial" panose="020B0604020202020204" pitchFamily="34" charset="0"/>
                  <a:cs typeface="Arial" panose="020B0604020202020204" pitchFamily="34" charset="0"/>
                </a:rPr>
                <a:t> de ce formulaire.</a:t>
              </a:r>
            </a:p>
          </xdr:txBody>
        </xdr:sp>
      </xdr:grpSp>
    </xdr:grpSp>
    <xdr:clientData/>
  </xdr:twoCellAnchor>
  <xdr:twoCellAnchor editAs="oneCell">
    <xdr:from>
      <xdr:col>37</xdr:col>
      <xdr:colOff>45720</xdr:colOff>
      <xdr:row>0</xdr:row>
      <xdr:rowOff>22860</xdr:rowOff>
    </xdr:from>
    <xdr:to>
      <xdr:col>46</xdr:col>
      <xdr:colOff>15241</xdr:colOff>
      <xdr:row>3</xdr:row>
      <xdr:rowOff>68580</xdr:rowOff>
    </xdr:to>
    <xdr:pic>
      <xdr:nvPicPr>
        <xdr:cNvPr id="162874" name="Image 3" descr="https://www.energir.com/~/media/Files/Corporatif/Logos/Energir_2C_PNG.png">
          <a:extLst>
            <a:ext uri="{FF2B5EF4-FFF2-40B4-BE49-F238E27FC236}">
              <a16:creationId xmlns:a16="http://schemas.microsoft.com/office/drawing/2014/main" id="{7426E36F-8F1B-2785-0B42-DA9D347C20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63840" y="22860"/>
          <a:ext cx="20955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613</xdr:colOff>
      <xdr:row>6</xdr:row>
      <xdr:rowOff>2343</xdr:rowOff>
    </xdr:from>
    <xdr:to>
      <xdr:col>4</xdr:col>
      <xdr:colOff>613</xdr:colOff>
      <xdr:row>6</xdr:row>
      <xdr:rowOff>13188</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44269C23-F67B-615C-5FCD-0C1283F5F027}"/>
            </a:ext>
          </a:extLst>
        </xdr:cNvPr>
        <xdr:cNvSpPr/>
      </xdr:nvSpPr>
      <xdr:spPr>
        <a:xfrm>
          <a:off x="1875768" y="1097017"/>
          <a:ext cx="1126249" cy="1626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editAs="oneCell">
    <xdr:from>
      <xdr:col>21</xdr:col>
      <xdr:colOff>502920</xdr:colOff>
      <xdr:row>0</xdr:row>
      <xdr:rowOff>15240</xdr:rowOff>
    </xdr:from>
    <xdr:to>
      <xdr:col>52</xdr:col>
      <xdr:colOff>114300</xdr:colOff>
      <xdr:row>3</xdr:row>
      <xdr:rowOff>60960</xdr:rowOff>
    </xdr:to>
    <xdr:pic>
      <xdr:nvPicPr>
        <xdr:cNvPr id="143927" name="Image 3" descr="https://www.energir.com/~/media/Files/Corporatif/Logos/Energir_2C_PNG.png">
          <a:extLst>
            <a:ext uri="{FF2B5EF4-FFF2-40B4-BE49-F238E27FC236}">
              <a16:creationId xmlns:a16="http://schemas.microsoft.com/office/drawing/2014/main" id="{0B788CF7-BE7B-C81E-A69A-9039CDB3E2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0" y="15240"/>
          <a:ext cx="214884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358140</xdr:colOff>
      <xdr:row>0</xdr:row>
      <xdr:rowOff>106680</xdr:rowOff>
    </xdr:from>
    <xdr:to>
      <xdr:col>20</xdr:col>
      <xdr:colOff>1996440</xdr:colOff>
      <xdr:row>3</xdr:row>
      <xdr:rowOff>152400</xdr:rowOff>
    </xdr:to>
    <xdr:pic>
      <xdr:nvPicPr>
        <xdr:cNvPr id="148708" name="Image 2" descr="https://www.energir.com/~/media/Files/Corporatif/Logos/Energir_2C_PNG.png">
          <a:extLst>
            <a:ext uri="{FF2B5EF4-FFF2-40B4-BE49-F238E27FC236}">
              <a16:creationId xmlns:a16="http://schemas.microsoft.com/office/drawing/2014/main" id="{6951A396-08A6-843A-1D4E-F35D55E57C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76080" y="106680"/>
          <a:ext cx="163830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44</xdr:col>
      <xdr:colOff>3172</xdr:colOff>
      <xdr:row>4</xdr:row>
      <xdr:rowOff>0</xdr:rowOff>
    </xdr:to>
    <xdr:sp macro="" textlink="">
      <xdr:nvSpPr>
        <xdr:cNvPr id="3" name="ZoneTexte 2">
          <a:extLst>
            <a:ext uri="{FF2B5EF4-FFF2-40B4-BE49-F238E27FC236}">
              <a16:creationId xmlns:a16="http://schemas.microsoft.com/office/drawing/2014/main" id="{BB11A253-6A06-8E2B-A22F-D23133D775F1}"/>
            </a:ext>
          </a:extLst>
        </xdr:cNvPr>
        <xdr:cNvSpPr txBox="1"/>
      </xdr:nvSpPr>
      <xdr:spPr bwMode="auto">
        <a:xfrm>
          <a:off x="1885208" y="0"/>
          <a:ext cx="19623974" cy="813955"/>
        </a:xfrm>
        <a:prstGeom prst="rect">
          <a:avLst/>
        </a:prstGeom>
        <a:solidFill>
          <a:srgbClr val="1C829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36800" tIns="0" rIns="0" bIns="32400" rtlCol="0" anchor="b" anchorCtr="0"/>
        <a:lstStyle/>
        <a:p>
          <a:r>
            <a:rPr lang="fr-CA" sz="1700" b="1">
              <a:solidFill>
                <a:schemeClr val="bg1"/>
              </a:solidFill>
              <a:effectLst/>
              <a:latin typeface="Arial" panose="020B0604020202020204" pitchFamily="34" charset="0"/>
              <a:ea typeface="+mn-ea"/>
              <a:cs typeface="Arial" panose="020B0604020202020204" pitchFamily="34" charset="0"/>
            </a:rPr>
            <a:t>Rapport des résultats du plan d'implantation des mesures</a:t>
          </a:r>
        </a:p>
      </xdr:txBody>
    </xdr:sp>
    <xdr:clientData/>
  </xdr:twoCellAnchor>
  <mc:AlternateContent xmlns:mc="http://schemas.openxmlformats.org/markup-compatibility/2006">
    <mc:Choice xmlns:a14="http://schemas.microsoft.com/office/drawing/2010/main" Requires="a14">
      <xdr:twoCellAnchor>
        <xdr:from>
          <xdr:col>0</xdr:col>
          <xdr:colOff>0</xdr:colOff>
          <xdr:row>5</xdr:row>
          <xdr:rowOff>12700</xdr:rowOff>
        </xdr:from>
        <xdr:to>
          <xdr:col>1</xdr:col>
          <xdr:colOff>16211550</xdr:colOff>
          <xdr:row>6</xdr:row>
          <xdr:rowOff>1295400</xdr:rowOff>
        </xdr:to>
        <xdr:sp macro="" textlink="">
          <xdr:nvSpPr>
            <xdr:cNvPr id="7253" name="Button 85" hidden="1">
              <a:extLst>
                <a:ext uri="{63B3BB69-23CF-44E3-9099-C40C66FF867C}">
                  <a14:compatExt spid="_x0000_s7253"/>
                </a:ext>
                <a:ext uri="{FF2B5EF4-FFF2-40B4-BE49-F238E27FC236}">
                  <a16:creationId xmlns:a16="http://schemas.microsoft.com/office/drawing/2014/main" id="{00000000-0008-0000-0400-0000551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CA" sz="1000" b="1" i="0" u="none" strike="noStrike" baseline="0">
                  <a:solidFill>
                    <a:srgbClr val="000000"/>
                  </a:solidFill>
                  <a:latin typeface="Arial"/>
                  <a:cs typeface="Arial"/>
                </a:rPr>
                <a:t>Copier du Plan d'implantation</a:t>
              </a:r>
            </a:p>
          </xdr:txBody>
        </xdr:sp>
        <xdr:clientData fPrintsWithSheet="0"/>
      </xdr:twoCellAnchor>
    </mc:Choice>
    <mc:Fallback/>
  </mc:AlternateContent>
  <xdr:twoCellAnchor editAs="oneCell">
    <xdr:from>
      <xdr:col>0</xdr:col>
      <xdr:colOff>0</xdr:colOff>
      <xdr:row>0</xdr:row>
      <xdr:rowOff>0</xdr:rowOff>
    </xdr:from>
    <xdr:to>
      <xdr:col>1</xdr:col>
      <xdr:colOff>15400020</xdr:colOff>
      <xdr:row>4</xdr:row>
      <xdr:rowOff>1668780</xdr:rowOff>
    </xdr:to>
    <xdr:pic>
      <xdr:nvPicPr>
        <xdr:cNvPr id="129702" name="Image 6">
          <a:extLst>
            <a:ext uri="{FF2B5EF4-FFF2-40B4-BE49-F238E27FC236}">
              <a16:creationId xmlns:a16="http://schemas.microsoft.com/office/drawing/2014/main" id="{E483791E-CDEE-3EDA-6797-DC3913E84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2128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3077</xdr:colOff>
      <xdr:row>7</xdr:row>
      <xdr:rowOff>489</xdr:rowOff>
    </xdr:from>
    <xdr:to>
      <xdr:col>24</xdr:col>
      <xdr:colOff>3560</xdr:colOff>
      <xdr:row>8</xdr:row>
      <xdr:rowOff>30656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C3427FC-320C-1E50-507F-92086D06F94A}"/>
            </a:ext>
          </a:extLst>
        </xdr:cNvPr>
        <xdr:cNvSpPr/>
      </xdr:nvSpPr>
      <xdr:spPr>
        <a:xfrm>
          <a:off x="11587382" y="972039"/>
          <a:ext cx="4517406" cy="2072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xdr:from>
      <xdr:col>12</xdr:col>
      <xdr:colOff>929</xdr:colOff>
      <xdr:row>7</xdr:row>
      <xdr:rowOff>6962</xdr:rowOff>
    </xdr:from>
    <xdr:to>
      <xdr:col>16</xdr:col>
      <xdr:colOff>754</xdr:colOff>
      <xdr:row>8</xdr:row>
      <xdr:rowOff>4279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F4523ABA-D1AB-D404-8132-88CAB4382A9F}"/>
            </a:ext>
          </a:extLst>
        </xdr:cNvPr>
        <xdr:cNvSpPr/>
      </xdr:nvSpPr>
      <xdr:spPr>
        <a:xfrm>
          <a:off x="6898299" y="975337"/>
          <a:ext cx="2407285" cy="202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xdr:from>
      <xdr:col>18</xdr:col>
      <xdr:colOff>3077</xdr:colOff>
      <xdr:row>7</xdr:row>
      <xdr:rowOff>489</xdr:rowOff>
    </xdr:from>
    <xdr:to>
      <xdr:col>24</xdr:col>
      <xdr:colOff>3560</xdr:colOff>
      <xdr:row>8</xdr:row>
      <xdr:rowOff>30656</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630CC415-9779-9229-A377-9A38E7A8667A}"/>
            </a:ext>
          </a:extLst>
        </xdr:cNvPr>
        <xdr:cNvSpPr/>
      </xdr:nvSpPr>
      <xdr:spPr>
        <a:xfrm>
          <a:off x="11587382" y="972039"/>
          <a:ext cx="4517406" cy="2072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xdr:twoCellAnchor>
    <xdr:from>
      <xdr:col>12</xdr:col>
      <xdr:colOff>929</xdr:colOff>
      <xdr:row>7</xdr:row>
      <xdr:rowOff>6962</xdr:rowOff>
    </xdr:from>
    <xdr:to>
      <xdr:col>16</xdr:col>
      <xdr:colOff>754</xdr:colOff>
      <xdr:row>8</xdr:row>
      <xdr:rowOff>4279</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FBE7AB2C-6383-199B-E4F4-4FD626AD3EF5}"/>
            </a:ext>
          </a:extLst>
        </xdr:cNvPr>
        <xdr:cNvSpPr/>
      </xdr:nvSpPr>
      <xdr:spPr>
        <a:xfrm>
          <a:off x="6898299" y="975337"/>
          <a:ext cx="2407285" cy="202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CA"/>
        </a:p>
      </xdr:txBody>
    </xdr:sp>
    <xdr:clientData/>
  </xdr:twoCellAnchor>
  <mc:AlternateContent xmlns:mc="http://schemas.openxmlformats.org/markup-compatibility/2006">
    <mc:Choice xmlns:a14="http://schemas.microsoft.com/office/drawing/2010/main" Requires="a14">
      <xdr:twoCellAnchor editAs="oneCell">
        <xdr:from>
          <xdr:col>5</xdr:col>
          <xdr:colOff>361950</xdr:colOff>
          <xdr:row>8</xdr:row>
          <xdr:rowOff>0</xdr:rowOff>
        </xdr:from>
        <xdr:to>
          <xdr:col>13</xdr:col>
          <xdr:colOff>0</xdr:colOff>
          <xdr:row>10</xdr:row>
          <xdr:rowOff>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Analyse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1822450</xdr:colOff>
          <xdr:row>8</xdr:row>
          <xdr:rowOff>0</xdr:rowOff>
        </xdr:from>
        <xdr:to>
          <xdr:col>32</xdr:col>
          <xdr:colOff>0</xdr:colOff>
          <xdr:row>10</xdr:row>
          <xdr:rowOff>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Efficacité énergétique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1308100</xdr:colOff>
          <xdr:row>8</xdr:row>
          <xdr:rowOff>0</xdr:rowOff>
        </xdr:from>
        <xdr:to>
          <xdr:col>37</xdr:col>
          <xdr:colOff>0</xdr:colOff>
          <xdr:row>10</xdr:row>
          <xdr:rowOff>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5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Bioénergies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xdr:row>
          <xdr:rowOff>0</xdr:rowOff>
        </xdr:from>
        <xdr:to>
          <xdr:col>39</xdr:col>
          <xdr:colOff>0</xdr:colOff>
          <xdr:row>10</xdr:row>
          <xdr:rowOff>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5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Énergies émergentes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xdr:row>
          <xdr:rowOff>0</xdr:rowOff>
        </xdr:from>
        <xdr:to>
          <xdr:col>38</xdr:col>
          <xdr:colOff>0</xdr:colOff>
          <xdr:row>10</xdr:row>
          <xdr:rowOff>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5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Traditionnelles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361950</xdr:colOff>
          <xdr:row>8</xdr:row>
          <xdr:rowOff>0</xdr:rowOff>
        </xdr:from>
        <xdr:to>
          <xdr:col>37</xdr:col>
          <xdr:colOff>0</xdr:colOff>
          <xdr:row>10</xdr:row>
          <xdr:rowOff>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5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Conversion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1917700</xdr:colOff>
          <xdr:row>8</xdr:row>
          <xdr:rowOff>0</xdr:rowOff>
        </xdr:from>
        <xdr:to>
          <xdr:col>14</xdr:col>
          <xdr:colOff>0</xdr:colOff>
          <xdr:row>10</xdr:row>
          <xdr:rowOff>0</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5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Standard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1917700</xdr:colOff>
          <xdr:row>8</xdr:row>
          <xdr:rowOff>0</xdr:rowOff>
        </xdr:from>
        <xdr:to>
          <xdr:col>14</xdr:col>
          <xdr:colOff>0</xdr:colOff>
          <xdr:row>10</xdr:row>
          <xdr:rowOff>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00000000-0008-0000-0500-00000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Complexe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xdr:row>
          <xdr:rowOff>0</xdr:rowOff>
        </xdr:from>
        <xdr:to>
          <xdr:col>22</xdr:col>
          <xdr:colOff>0</xdr:colOff>
          <xdr:row>10</xdr:row>
          <xdr:rowOff>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0500-00000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2184400</xdr:colOff>
          <xdr:row>8</xdr:row>
          <xdr:rowOff>0</xdr:rowOff>
        </xdr:from>
        <xdr:to>
          <xdr:col>19</xdr:col>
          <xdr:colOff>0</xdr:colOff>
          <xdr:row>10</xdr:row>
          <xdr:rowOff>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0500-00000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Management de l'énergie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1466850</xdr:colOff>
          <xdr:row>8</xdr:row>
          <xdr:rowOff>0</xdr:rowOff>
        </xdr:from>
        <xdr:to>
          <xdr:col>48</xdr:col>
          <xdr:colOff>0</xdr:colOff>
          <xdr:row>10</xdr:row>
          <xdr:rowOff>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00000000-0008-0000-0500-00000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Émissions fugitives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742950</xdr:colOff>
          <xdr:row>8</xdr:row>
          <xdr:rowOff>0</xdr:rowOff>
        </xdr:from>
        <xdr:to>
          <xdr:col>49</xdr:col>
          <xdr:colOff>0</xdr:colOff>
          <xdr:row>10</xdr:row>
          <xdr:rowOff>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00000000-0008-0000-0500-00000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Système de réfrigération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742950</xdr:colOff>
          <xdr:row>8</xdr:row>
          <xdr:rowOff>0</xdr:rowOff>
        </xdr:from>
        <xdr:to>
          <xdr:col>47</xdr:col>
          <xdr:colOff>0</xdr:colOff>
          <xdr:row>10</xdr:row>
          <xdr:rowOff>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5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Autres procédés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1466850</xdr:colOff>
          <xdr:row>9</xdr:row>
          <xdr:rowOff>0</xdr:rowOff>
        </xdr:from>
        <xdr:to>
          <xdr:col>43</xdr:col>
          <xdr:colOff>0</xdr:colOff>
          <xdr:row>12</xdr:row>
          <xdr:rowOff>0</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5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Centre de recherche reconnu</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1308100</xdr:colOff>
          <xdr:row>8</xdr:row>
          <xdr:rowOff>0</xdr:rowOff>
        </xdr:from>
        <xdr:to>
          <xdr:col>50</xdr:col>
          <xdr:colOff>0</xdr:colOff>
          <xdr:row>10</xdr:row>
          <xdr:rowOff>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5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Solaires (excluant les murs solaires [eff. énergétique])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xdr:row>
          <xdr:rowOff>0</xdr:rowOff>
        </xdr:from>
        <xdr:to>
          <xdr:col>19</xdr:col>
          <xdr:colOff>0</xdr:colOff>
          <xdr:row>10</xdr:row>
          <xdr:rowOff>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5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Intégration de procédés (préliminaire)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1917700</xdr:colOff>
          <xdr:row>8</xdr:row>
          <xdr:rowOff>0</xdr:rowOff>
        </xdr:from>
        <xdr:to>
          <xdr:col>25</xdr:col>
          <xdr:colOff>0</xdr:colOff>
          <xdr:row>10</xdr:row>
          <xdr:rowOff>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5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Remise au point (RCx)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10</xdr:row>
          <xdr:rowOff>0</xdr:rowOff>
        </xdr:from>
        <xdr:to>
          <xdr:col>22</xdr:col>
          <xdr:colOff>0</xdr:colOff>
          <xdr:row>11</xdr:row>
          <xdr:rowOff>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05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0</xdr:rowOff>
        </xdr:from>
        <xdr:to>
          <xdr:col>22</xdr:col>
          <xdr:colOff>0</xdr:colOff>
          <xdr:row>13</xdr:row>
          <xdr:rowOff>0</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05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0</xdr:rowOff>
        </xdr:from>
        <xdr:to>
          <xdr:col>22</xdr:col>
          <xdr:colOff>0</xdr:colOff>
          <xdr:row>15</xdr:row>
          <xdr:rowOff>0</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05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2146300</xdr:rowOff>
        </xdr:from>
        <xdr:to>
          <xdr:col>22</xdr:col>
          <xdr:colOff>0</xdr:colOff>
          <xdr:row>19</xdr:row>
          <xdr:rowOff>0</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05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0</xdr:rowOff>
        </xdr:from>
        <xdr:to>
          <xdr:col>22</xdr:col>
          <xdr:colOff>0</xdr:colOff>
          <xdr:row>18</xdr:row>
          <xdr:rowOff>0</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05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30</xdr:row>
          <xdr:rowOff>0</xdr:rowOff>
        </xdr:from>
        <xdr:to>
          <xdr:col>22</xdr:col>
          <xdr:colOff>0</xdr:colOff>
          <xdr:row>31</xdr:row>
          <xdr:rowOff>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05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51</xdr:row>
          <xdr:rowOff>0</xdr:rowOff>
        </xdr:from>
        <xdr:to>
          <xdr:col>22</xdr:col>
          <xdr:colOff>0</xdr:colOff>
          <xdr:row>51</xdr:row>
          <xdr:rowOff>38100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05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51</xdr:row>
          <xdr:rowOff>0</xdr:rowOff>
        </xdr:from>
        <xdr:to>
          <xdr:col>22</xdr:col>
          <xdr:colOff>0</xdr:colOff>
          <xdr:row>51</xdr:row>
          <xdr:rowOff>38100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05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51</xdr:row>
          <xdr:rowOff>0</xdr:rowOff>
        </xdr:from>
        <xdr:to>
          <xdr:col>22</xdr:col>
          <xdr:colOff>0</xdr:colOff>
          <xdr:row>51</xdr:row>
          <xdr:rowOff>38100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05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51</xdr:row>
          <xdr:rowOff>0</xdr:rowOff>
        </xdr:from>
        <xdr:to>
          <xdr:col>22</xdr:col>
          <xdr:colOff>0</xdr:colOff>
          <xdr:row>51</xdr:row>
          <xdr:rowOff>38100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05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0</xdr:rowOff>
        </xdr:from>
        <xdr:to>
          <xdr:col>22</xdr:col>
          <xdr:colOff>0</xdr:colOff>
          <xdr:row>18</xdr:row>
          <xdr:rowOff>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05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30</xdr:row>
          <xdr:rowOff>0</xdr:rowOff>
        </xdr:from>
        <xdr:to>
          <xdr:col>22</xdr:col>
          <xdr:colOff>0</xdr:colOff>
          <xdr:row>31</xdr:row>
          <xdr:rowOff>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05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24</xdr:row>
          <xdr:rowOff>0</xdr:rowOff>
        </xdr:from>
        <xdr:to>
          <xdr:col>22</xdr:col>
          <xdr:colOff>0</xdr:colOff>
          <xdr:row>25</xdr:row>
          <xdr:rowOff>0</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05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25</xdr:row>
          <xdr:rowOff>0</xdr:rowOff>
        </xdr:from>
        <xdr:to>
          <xdr:col>22</xdr:col>
          <xdr:colOff>0</xdr:colOff>
          <xdr:row>26</xdr:row>
          <xdr:rowOff>0</xdr:rowOff>
        </xdr:to>
        <xdr:sp macro="" textlink="">
          <xdr:nvSpPr>
            <xdr:cNvPr id="59423" name="Check Box 31" hidden="1">
              <a:extLst>
                <a:ext uri="{63B3BB69-23CF-44E3-9099-C40C66FF867C}">
                  <a14:compatExt spid="_x0000_s59423"/>
                </a:ext>
                <a:ext uri="{FF2B5EF4-FFF2-40B4-BE49-F238E27FC236}">
                  <a16:creationId xmlns:a16="http://schemas.microsoft.com/office/drawing/2014/main" id="{00000000-0008-0000-0500-00001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87</xdr:row>
          <xdr:rowOff>2324100</xdr:rowOff>
        </xdr:from>
        <xdr:to>
          <xdr:col>22</xdr:col>
          <xdr:colOff>0</xdr:colOff>
          <xdr:row>89</xdr:row>
          <xdr:rowOff>0</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05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31</xdr:row>
          <xdr:rowOff>0</xdr:rowOff>
        </xdr:from>
        <xdr:to>
          <xdr:col>22</xdr:col>
          <xdr:colOff>0</xdr:colOff>
          <xdr:row>32</xdr:row>
          <xdr:rowOff>0</xdr:rowOff>
        </xdr:to>
        <xdr:sp macro="" textlink="">
          <xdr:nvSpPr>
            <xdr:cNvPr id="59425" name="Check Box 33" hidden="1">
              <a:extLst>
                <a:ext uri="{63B3BB69-23CF-44E3-9099-C40C66FF867C}">
                  <a14:compatExt spid="_x0000_s59425"/>
                </a:ext>
                <a:ext uri="{FF2B5EF4-FFF2-40B4-BE49-F238E27FC236}">
                  <a16:creationId xmlns:a16="http://schemas.microsoft.com/office/drawing/2014/main" id="{00000000-0008-0000-0500-00002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31</xdr:row>
          <xdr:rowOff>0</xdr:rowOff>
        </xdr:from>
        <xdr:to>
          <xdr:col>22</xdr:col>
          <xdr:colOff>0</xdr:colOff>
          <xdr:row>32</xdr:row>
          <xdr:rowOff>0</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05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80</xdr:row>
          <xdr:rowOff>0</xdr:rowOff>
        </xdr:from>
        <xdr:to>
          <xdr:col>22</xdr:col>
          <xdr:colOff>0</xdr:colOff>
          <xdr:row>81</xdr:row>
          <xdr:rowOff>19050</xdr:rowOff>
        </xdr:to>
        <xdr:sp macro="" textlink="">
          <xdr:nvSpPr>
            <xdr:cNvPr id="59427" name="Check Box 35" hidden="1">
              <a:extLst>
                <a:ext uri="{63B3BB69-23CF-44E3-9099-C40C66FF867C}">
                  <a14:compatExt spid="_x0000_s59427"/>
                </a:ext>
                <a:ext uri="{FF2B5EF4-FFF2-40B4-BE49-F238E27FC236}">
                  <a16:creationId xmlns:a16="http://schemas.microsoft.com/office/drawing/2014/main" id="{00000000-0008-0000-0500-00002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32</xdr:row>
          <xdr:rowOff>0</xdr:rowOff>
        </xdr:from>
        <xdr:to>
          <xdr:col>22</xdr:col>
          <xdr:colOff>0</xdr:colOff>
          <xdr:row>34</xdr:row>
          <xdr:rowOff>19050</xdr:rowOff>
        </xdr:to>
        <xdr:sp macro="" textlink="">
          <xdr:nvSpPr>
            <xdr:cNvPr id="118551" name="Check Box 2839" hidden="1">
              <a:extLst>
                <a:ext uri="{63B3BB69-23CF-44E3-9099-C40C66FF867C}">
                  <a14:compatExt spid="_x0000_s118551"/>
                </a:ext>
                <a:ext uri="{FF2B5EF4-FFF2-40B4-BE49-F238E27FC236}">
                  <a16:creationId xmlns:a16="http://schemas.microsoft.com/office/drawing/2014/main" id="{00000000-0008-0000-0500-000017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32</xdr:row>
          <xdr:rowOff>0</xdr:rowOff>
        </xdr:from>
        <xdr:to>
          <xdr:col>22</xdr:col>
          <xdr:colOff>0</xdr:colOff>
          <xdr:row>33</xdr:row>
          <xdr:rowOff>0</xdr:rowOff>
        </xdr:to>
        <xdr:sp macro="" textlink="">
          <xdr:nvSpPr>
            <xdr:cNvPr id="118552" name="Check Box 2840" hidden="1">
              <a:extLst>
                <a:ext uri="{63B3BB69-23CF-44E3-9099-C40C66FF867C}">
                  <a14:compatExt spid="_x0000_s118552"/>
                </a:ext>
                <a:ext uri="{FF2B5EF4-FFF2-40B4-BE49-F238E27FC236}">
                  <a16:creationId xmlns:a16="http://schemas.microsoft.com/office/drawing/2014/main" id="{00000000-0008-0000-0500-000018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43</xdr:row>
          <xdr:rowOff>0</xdr:rowOff>
        </xdr:from>
        <xdr:to>
          <xdr:col>22</xdr:col>
          <xdr:colOff>0</xdr:colOff>
          <xdr:row>43</xdr:row>
          <xdr:rowOff>57150</xdr:rowOff>
        </xdr:to>
        <xdr:sp macro="" textlink="">
          <xdr:nvSpPr>
            <xdr:cNvPr id="118553" name="Check Box 2841" hidden="1">
              <a:extLst>
                <a:ext uri="{63B3BB69-23CF-44E3-9099-C40C66FF867C}">
                  <a14:compatExt spid="_x0000_s118553"/>
                </a:ext>
                <a:ext uri="{FF2B5EF4-FFF2-40B4-BE49-F238E27FC236}">
                  <a16:creationId xmlns:a16="http://schemas.microsoft.com/office/drawing/2014/main" id="{00000000-0008-0000-0500-000019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32</xdr:row>
          <xdr:rowOff>0</xdr:rowOff>
        </xdr:from>
        <xdr:to>
          <xdr:col>22</xdr:col>
          <xdr:colOff>0</xdr:colOff>
          <xdr:row>33</xdr:row>
          <xdr:rowOff>0</xdr:rowOff>
        </xdr:to>
        <xdr:sp macro="" textlink="">
          <xdr:nvSpPr>
            <xdr:cNvPr id="118554" name="Check Box 2842" hidden="1">
              <a:extLst>
                <a:ext uri="{63B3BB69-23CF-44E3-9099-C40C66FF867C}">
                  <a14:compatExt spid="_x0000_s118554"/>
                </a:ext>
                <a:ext uri="{FF2B5EF4-FFF2-40B4-BE49-F238E27FC236}">
                  <a16:creationId xmlns:a16="http://schemas.microsoft.com/office/drawing/2014/main" id="{00000000-0008-0000-0500-00001A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43</xdr:row>
          <xdr:rowOff>0</xdr:rowOff>
        </xdr:from>
        <xdr:to>
          <xdr:col>22</xdr:col>
          <xdr:colOff>0</xdr:colOff>
          <xdr:row>43</xdr:row>
          <xdr:rowOff>57150</xdr:rowOff>
        </xdr:to>
        <xdr:sp macro="" textlink="">
          <xdr:nvSpPr>
            <xdr:cNvPr id="118555" name="Check Box 2843" hidden="1">
              <a:extLst>
                <a:ext uri="{63B3BB69-23CF-44E3-9099-C40C66FF867C}">
                  <a14:compatExt spid="_x0000_s118555"/>
                </a:ext>
                <a:ext uri="{FF2B5EF4-FFF2-40B4-BE49-F238E27FC236}">
                  <a16:creationId xmlns:a16="http://schemas.microsoft.com/office/drawing/2014/main" id="{00000000-0008-0000-0500-00001B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42</xdr:row>
          <xdr:rowOff>0</xdr:rowOff>
        </xdr:from>
        <xdr:to>
          <xdr:col>22</xdr:col>
          <xdr:colOff>0</xdr:colOff>
          <xdr:row>42</xdr:row>
          <xdr:rowOff>107950</xdr:rowOff>
        </xdr:to>
        <xdr:sp macro="" textlink="">
          <xdr:nvSpPr>
            <xdr:cNvPr id="118556" name="Check Box 2844" hidden="1">
              <a:extLst>
                <a:ext uri="{63B3BB69-23CF-44E3-9099-C40C66FF867C}">
                  <a14:compatExt spid="_x0000_s118556"/>
                </a:ext>
                <a:ext uri="{FF2B5EF4-FFF2-40B4-BE49-F238E27FC236}">
                  <a16:creationId xmlns:a16="http://schemas.microsoft.com/office/drawing/2014/main" id="{00000000-0008-0000-0500-00001C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42</xdr:row>
          <xdr:rowOff>0</xdr:rowOff>
        </xdr:from>
        <xdr:to>
          <xdr:col>22</xdr:col>
          <xdr:colOff>0</xdr:colOff>
          <xdr:row>42</xdr:row>
          <xdr:rowOff>107950</xdr:rowOff>
        </xdr:to>
        <xdr:sp macro="" textlink="">
          <xdr:nvSpPr>
            <xdr:cNvPr id="118557" name="Check Box 2845" hidden="1">
              <a:extLst>
                <a:ext uri="{63B3BB69-23CF-44E3-9099-C40C66FF867C}">
                  <a14:compatExt spid="_x0000_s118557"/>
                </a:ext>
                <a:ext uri="{FF2B5EF4-FFF2-40B4-BE49-F238E27FC236}">
                  <a16:creationId xmlns:a16="http://schemas.microsoft.com/office/drawing/2014/main" id="{00000000-0008-0000-0500-00001DC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xdr:twoCellAnchor editAs="oneCell">
    <xdr:from>
      <xdr:col>65</xdr:col>
      <xdr:colOff>38100</xdr:colOff>
      <xdr:row>0</xdr:row>
      <xdr:rowOff>0</xdr:rowOff>
    </xdr:from>
    <xdr:to>
      <xdr:col>72</xdr:col>
      <xdr:colOff>30480</xdr:colOff>
      <xdr:row>3</xdr:row>
      <xdr:rowOff>60960</xdr:rowOff>
    </xdr:to>
    <xdr:pic>
      <xdr:nvPicPr>
        <xdr:cNvPr id="147200" name="Image 5" descr="https://www.energir.com/~/media/Files/Corporatif/Logos/Energir_2C_PNG.png">
          <a:extLst>
            <a:ext uri="{FF2B5EF4-FFF2-40B4-BE49-F238E27FC236}">
              <a16:creationId xmlns:a16="http://schemas.microsoft.com/office/drawing/2014/main" id="{B8050F2C-7DC9-BF81-3D85-D3636BB10F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361420" y="0"/>
          <a:ext cx="21031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46550" name="Check Box 4214" hidden="1">
              <a:extLst>
                <a:ext uri="{63B3BB69-23CF-44E3-9099-C40C66FF867C}">
                  <a14:compatExt spid="_x0000_s146550"/>
                </a:ext>
                <a:ext uri="{FF2B5EF4-FFF2-40B4-BE49-F238E27FC236}">
                  <a16:creationId xmlns:a16="http://schemas.microsoft.com/office/drawing/2014/main" id="{00000000-0008-0000-0500-00007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46551" name="Check Box 4215" hidden="1">
              <a:extLst>
                <a:ext uri="{63B3BB69-23CF-44E3-9099-C40C66FF867C}">
                  <a14:compatExt spid="_x0000_s146551"/>
                </a:ext>
                <a:ext uri="{FF2B5EF4-FFF2-40B4-BE49-F238E27FC236}">
                  <a16:creationId xmlns:a16="http://schemas.microsoft.com/office/drawing/2014/main" id="{00000000-0008-0000-0500-00007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46552" name="Check Box 4216" hidden="1">
              <a:extLst>
                <a:ext uri="{63B3BB69-23CF-44E3-9099-C40C66FF867C}">
                  <a14:compatExt spid="_x0000_s146552"/>
                </a:ext>
                <a:ext uri="{FF2B5EF4-FFF2-40B4-BE49-F238E27FC236}">
                  <a16:creationId xmlns:a16="http://schemas.microsoft.com/office/drawing/2014/main" id="{00000000-0008-0000-0500-00007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46553" name="Check Box 4217" hidden="1">
              <a:extLst>
                <a:ext uri="{63B3BB69-23CF-44E3-9099-C40C66FF867C}">
                  <a14:compatExt spid="_x0000_s146553"/>
                </a:ext>
                <a:ext uri="{FF2B5EF4-FFF2-40B4-BE49-F238E27FC236}">
                  <a16:creationId xmlns:a16="http://schemas.microsoft.com/office/drawing/2014/main" id="{00000000-0008-0000-0500-00007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0</xdr:rowOff>
        </xdr:from>
        <xdr:to>
          <xdr:col>22</xdr:col>
          <xdr:colOff>0</xdr:colOff>
          <xdr:row>59</xdr:row>
          <xdr:rowOff>38100</xdr:rowOff>
        </xdr:to>
        <xdr:sp macro="" textlink="">
          <xdr:nvSpPr>
            <xdr:cNvPr id="146559" name="Check Box 4223" hidden="1">
              <a:extLst>
                <a:ext uri="{63B3BB69-23CF-44E3-9099-C40C66FF867C}">
                  <a14:compatExt spid="_x0000_s146559"/>
                </a:ext>
                <a:ext uri="{FF2B5EF4-FFF2-40B4-BE49-F238E27FC236}">
                  <a16:creationId xmlns:a16="http://schemas.microsoft.com/office/drawing/2014/main" id="{00000000-0008-0000-0500-00007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0</xdr:rowOff>
        </xdr:from>
        <xdr:to>
          <xdr:col>22</xdr:col>
          <xdr:colOff>0</xdr:colOff>
          <xdr:row>59</xdr:row>
          <xdr:rowOff>38100</xdr:rowOff>
        </xdr:to>
        <xdr:sp macro="" textlink="">
          <xdr:nvSpPr>
            <xdr:cNvPr id="146560" name="Check Box 4224" hidden="1">
              <a:extLst>
                <a:ext uri="{63B3BB69-23CF-44E3-9099-C40C66FF867C}">
                  <a14:compatExt spid="_x0000_s146560"/>
                </a:ext>
                <a:ext uri="{FF2B5EF4-FFF2-40B4-BE49-F238E27FC236}">
                  <a16:creationId xmlns:a16="http://schemas.microsoft.com/office/drawing/2014/main" id="{00000000-0008-0000-0500-00008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0</xdr:rowOff>
        </xdr:from>
        <xdr:to>
          <xdr:col>22</xdr:col>
          <xdr:colOff>0</xdr:colOff>
          <xdr:row>59</xdr:row>
          <xdr:rowOff>38100</xdr:rowOff>
        </xdr:to>
        <xdr:sp macro="" textlink="">
          <xdr:nvSpPr>
            <xdr:cNvPr id="146561" name="Check Box 4225" hidden="1">
              <a:extLst>
                <a:ext uri="{63B3BB69-23CF-44E3-9099-C40C66FF867C}">
                  <a14:compatExt spid="_x0000_s146561"/>
                </a:ext>
                <a:ext uri="{FF2B5EF4-FFF2-40B4-BE49-F238E27FC236}">
                  <a16:creationId xmlns:a16="http://schemas.microsoft.com/office/drawing/2014/main" id="{00000000-0008-0000-0500-00008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0</xdr:rowOff>
        </xdr:from>
        <xdr:to>
          <xdr:col>22</xdr:col>
          <xdr:colOff>0</xdr:colOff>
          <xdr:row>59</xdr:row>
          <xdr:rowOff>38100</xdr:rowOff>
        </xdr:to>
        <xdr:sp macro="" textlink="">
          <xdr:nvSpPr>
            <xdr:cNvPr id="146562" name="Check Box 4226" hidden="1">
              <a:extLst>
                <a:ext uri="{63B3BB69-23CF-44E3-9099-C40C66FF867C}">
                  <a14:compatExt spid="_x0000_s146562"/>
                </a:ext>
                <a:ext uri="{FF2B5EF4-FFF2-40B4-BE49-F238E27FC236}">
                  <a16:creationId xmlns:a16="http://schemas.microsoft.com/office/drawing/2014/main" id="{00000000-0008-0000-0500-00008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22</xdr:col>
          <xdr:colOff>0</xdr:colOff>
          <xdr:row>67</xdr:row>
          <xdr:rowOff>38100</xdr:rowOff>
        </xdr:to>
        <xdr:sp macro="" textlink="">
          <xdr:nvSpPr>
            <xdr:cNvPr id="146563" name="Check Box 4227" hidden="1">
              <a:extLst>
                <a:ext uri="{63B3BB69-23CF-44E3-9099-C40C66FF867C}">
                  <a14:compatExt spid="_x0000_s146563"/>
                </a:ext>
                <a:ext uri="{FF2B5EF4-FFF2-40B4-BE49-F238E27FC236}">
                  <a16:creationId xmlns:a16="http://schemas.microsoft.com/office/drawing/2014/main" id="{00000000-0008-0000-0500-00008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22</xdr:col>
          <xdr:colOff>0</xdr:colOff>
          <xdr:row>67</xdr:row>
          <xdr:rowOff>38100</xdr:rowOff>
        </xdr:to>
        <xdr:sp macro="" textlink="">
          <xdr:nvSpPr>
            <xdr:cNvPr id="146564" name="Check Box 4228" hidden="1">
              <a:extLst>
                <a:ext uri="{63B3BB69-23CF-44E3-9099-C40C66FF867C}">
                  <a14:compatExt spid="_x0000_s146564"/>
                </a:ext>
                <a:ext uri="{FF2B5EF4-FFF2-40B4-BE49-F238E27FC236}">
                  <a16:creationId xmlns:a16="http://schemas.microsoft.com/office/drawing/2014/main" id="{00000000-0008-0000-0500-00008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22</xdr:col>
          <xdr:colOff>0</xdr:colOff>
          <xdr:row>67</xdr:row>
          <xdr:rowOff>38100</xdr:rowOff>
        </xdr:to>
        <xdr:sp macro="" textlink="">
          <xdr:nvSpPr>
            <xdr:cNvPr id="146565" name="Check Box 4229" hidden="1">
              <a:extLst>
                <a:ext uri="{63B3BB69-23CF-44E3-9099-C40C66FF867C}">
                  <a14:compatExt spid="_x0000_s146565"/>
                </a:ext>
                <a:ext uri="{FF2B5EF4-FFF2-40B4-BE49-F238E27FC236}">
                  <a16:creationId xmlns:a16="http://schemas.microsoft.com/office/drawing/2014/main" id="{00000000-0008-0000-0500-00008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22</xdr:col>
          <xdr:colOff>0</xdr:colOff>
          <xdr:row>67</xdr:row>
          <xdr:rowOff>38100</xdr:rowOff>
        </xdr:to>
        <xdr:sp macro="" textlink="">
          <xdr:nvSpPr>
            <xdr:cNvPr id="146566" name="Check Box 4230" hidden="1">
              <a:extLst>
                <a:ext uri="{63B3BB69-23CF-44E3-9099-C40C66FF867C}">
                  <a14:compatExt spid="_x0000_s146566"/>
                </a:ext>
                <a:ext uri="{FF2B5EF4-FFF2-40B4-BE49-F238E27FC236}">
                  <a16:creationId xmlns:a16="http://schemas.microsoft.com/office/drawing/2014/main" id="{00000000-0008-0000-0500-00008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Approvisionnement en biomasse résiduelle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94</xdr:row>
          <xdr:rowOff>0</xdr:rowOff>
        </xdr:from>
        <xdr:to>
          <xdr:col>50</xdr:col>
          <xdr:colOff>57150</xdr:colOff>
          <xdr:row>95</xdr:row>
          <xdr:rowOff>69850</xdr:rowOff>
        </xdr:to>
        <xdr:sp macro="" textlink="">
          <xdr:nvSpPr>
            <xdr:cNvPr id="146969" name="Group Box 4633" hidden="1">
              <a:extLst>
                <a:ext uri="{63B3BB69-23CF-44E3-9099-C40C66FF867C}">
                  <a14:compatExt spid="_x0000_s146969"/>
                </a:ext>
                <a:ext uri="{FF2B5EF4-FFF2-40B4-BE49-F238E27FC236}">
                  <a16:creationId xmlns:a16="http://schemas.microsoft.com/office/drawing/2014/main" id="{00000000-0008-0000-0500-0000193E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10</xdr:col>
      <xdr:colOff>335280</xdr:colOff>
      <xdr:row>0</xdr:row>
      <xdr:rowOff>0</xdr:rowOff>
    </xdr:from>
    <xdr:to>
      <xdr:col>13</xdr:col>
      <xdr:colOff>152400</xdr:colOff>
      <xdr:row>3</xdr:row>
      <xdr:rowOff>99060</xdr:rowOff>
    </xdr:to>
    <xdr:pic>
      <xdr:nvPicPr>
        <xdr:cNvPr id="152624" name="Image 5" descr="https://www.energir.com/~/media/Files/Corporatif/Logos/Energir_2C_PNG.png">
          <a:extLst>
            <a:ext uri="{FF2B5EF4-FFF2-40B4-BE49-F238E27FC236}">
              <a16:creationId xmlns:a16="http://schemas.microsoft.com/office/drawing/2014/main" id="{372BBE6B-5E60-A5FD-F303-06047F33F3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86260" y="0"/>
          <a:ext cx="215646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61</xdr:row>
      <xdr:rowOff>0</xdr:rowOff>
    </xdr:from>
    <xdr:to>
      <xdr:col>10</xdr:col>
      <xdr:colOff>99060</xdr:colOff>
      <xdr:row>93</xdr:row>
      <xdr:rowOff>106680</xdr:rowOff>
    </xdr:to>
    <xdr:pic>
      <xdr:nvPicPr>
        <xdr:cNvPr id="161883" name="Image 15">
          <a:extLst>
            <a:ext uri="{FF2B5EF4-FFF2-40B4-BE49-F238E27FC236}">
              <a16:creationId xmlns:a16="http://schemas.microsoft.com/office/drawing/2014/main" id="{15222CA7-977D-4D92-1736-7846BCC02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 y="10835640"/>
          <a:ext cx="7391400" cy="547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96</xdr:row>
      <xdr:rowOff>7620</xdr:rowOff>
    </xdr:from>
    <xdr:to>
      <xdr:col>10</xdr:col>
      <xdr:colOff>99060</xdr:colOff>
      <xdr:row>131</xdr:row>
      <xdr:rowOff>76200</xdr:rowOff>
    </xdr:to>
    <xdr:pic>
      <xdr:nvPicPr>
        <xdr:cNvPr id="161884" name="Image 17">
          <a:extLst>
            <a:ext uri="{FF2B5EF4-FFF2-40B4-BE49-F238E27FC236}">
              <a16:creationId xmlns:a16="http://schemas.microsoft.com/office/drawing/2014/main" id="{A6AF0310-2C5F-4E58-D0BD-50B99F4C41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 y="16710660"/>
          <a:ext cx="7391400" cy="5935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134</xdr:row>
      <xdr:rowOff>0</xdr:rowOff>
    </xdr:from>
    <xdr:to>
      <xdr:col>10</xdr:col>
      <xdr:colOff>99060</xdr:colOff>
      <xdr:row>178</xdr:row>
      <xdr:rowOff>129540</xdr:rowOff>
    </xdr:to>
    <xdr:pic>
      <xdr:nvPicPr>
        <xdr:cNvPr id="161885" name="Image 19">
          <a:extLst>
            <a:ext uri="{FF2B5EF4-FFF2-40B4-BE49-F238E27FC236}">
              <a16:creationId xmlns:a16="http://schemas.microsoft.com/office/drawing/2014/main" id="{82ACF7D1-90DF-10ED-3713-D92EBA89926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 y="23073360"/>
          <a:ext cx="7391400" cy="750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182</xdr:row>
      <xdr:rowOff>0</xdr:rowOff>
    </xdr:from>
    <xdr:to>
      <xdr:col>10</xdr:col>
      <xdr:colOff>99060</xdr:colOff>
      <xdr:row>204</xdr:row>
      <xdr:rowOff>22860</xdr:rowOff>
    </xdr:to>
    <xdr:pic>
      <xdr:nvPicPr>
        <xdr:cNvPr id="161886" name="Image 21">
          <a:extLst>
            <a:ext uri="{FF2B5EF4-FFF2-40B4-BE49-F238E27FC236}">
              <a16:creationId xmlns:a16="http://schemas.microsoft.com/office/drawing/2014/main" id="{4B699B8D-2F34-63FB-1A45-666AC8AFF79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7640" y="31120080"/>
          <a:ext cx="7391400" cy="3710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xdr:row>
      <xdr:rowOff>0</xdr:rowOff>
    </xdr:from>
    <xdr:to>
      <xdr:col>10</xdr:col>
      <xdr:colOff>99060</xdr:colOff>
      <xdr:row>56</xdr:row>
      <xdr:rowOff>53340</xdr:rowOff>
    </xdr:to>
    <xdr:pic>
      <xdr:nvPicPr>
        <xdr:cNvPr id="161887" name="Image 3">
          <a:extLst>
            <a:ext uri="{FF2B5EF4-FFF2-40B4-BE49-F238E27FC236}">
              <a16:creationId xmlns:a16="http://schemas.microsoft.com/office/drawing/2014/main" id="{E227B533-CD58-528F-70B6-5F468D89C53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7640" y="1615440"/>
          <a:ext cx="7391400" cy="843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266700</xdr:colOff>
      <xdr:row>0</xdr:row>
      <xdr:rowOff>45720</xdr:rowOff>
    </xdr:from>
    <xdr:to>
      <xdr:col>10</xdr:col>
      <xdr:colOff>533400</xdr:colOff>
      <xdr:row>2</xdr:row>
      <xdr:rowOff>266700</xdr:rowOff>
    </xdr:to>
    <xdr:pic>
      <xdr:nvPicPr>
        <xdr:cNvPr id="161888" name="Image 2" descr="https://www.energir.com/~/media/Files/Corporatif/Logos/Energir_2C_PNG.png">
          <a:extLst>
            <a:ext uri="{FF2B5EF4-FFF2-40B4-BE49-F238E27FC236}">
              <a16:creationId xmlns:a16="http://schemas.microsoft.com/office/drawing/2014/main" id="{2CB9F795-54E5-9BC2-D729-01DF8113D65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981700" y="45720"/>
          <a:ext cx="20116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502920</xdr:colOff>
      <xdr:row>4</xdr:row>
      <xdr:rowOff>22860</xdr:rowOff>
    </xdr:from>
    <xdr:to>
      <xdr:col>12</xdr:col>
      <xdr:colOff>274320</xdr:colOff>
      <xdr:row>8</xdr:row>
      <xdr:rowOff>106680</xdr:rowOff>
    </xdr:to>
    <xdr:sp macro="" textlink="">
      <xdr:nvSpPr>
        <xdr:cNvPr id="156774" name="AutoShape 2">
          <a:extLst>
            <a:ext uri="{FF2B5EF4-FFF2-40B4-BE49-F238E27FC236}">
              <a16:creationId xmlns:a16="http://schemas.microsoft.com/office/drawing/2014/main" id="{56A2E417-63D4-D73B-33E8-AFC3A38DFAFC}"/>
            </a:ext>
          </a:extLst>
        </xdr:cNvPr>
        <xdr:cNvSpPr>
          <a:spLocks noChangeArrowheads="1"/>
        </xdr:cNvSpPr>
      </xdr:nvSpPr>
      <xdr:spPr bwMode="auto">
        <a:xfrm>
          <a:off x="7658100" y="838200"/>
          <a:ext cx="2689860" cy="754380"/>
        </a:xfrm>
        <a:prstGeom prst="roundRect">
          <a:avLst>
            <a:gd name="adj" fmla="val 6333"/>
          </a:avLst>
        </a:prstGeom>
        <a:noFill/>
        <a:ln w="9525">
          <a:solidFill>
            <a:srgbClr val="002855"/>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15</xdr:row>
      <xdr:rowOff>38100</xdr:rowOff>
    </xdr:from>
    <xdr:to>
      <xdr:col>12</xdr:col>
      <xdr:colOff>320040</xdr:colOff>
      <xdr:row>21</xdr:row>
      <xdr:rowOff>0</xdr:rowOff>
    </xdr:to>
    <xdr:sp macro="" textlink="">
      <xdr:nvSpPr>
        <xdr:cNvPr id="156775" name="AutoShape 5">
          <a:extLst>
            <a:ext uri="{FF2B5EF4-FFF2-40B4-BE49-F238E27FC236}">
              <a16:creationId xmlns:a16="http://schemas.microsoft.com/office/drawing/2014/main" id="{68DCC454-2480-9454-8281-1D44213C8B12}"/>
            </a:ext>
          </a:extLst>
        </xdr:cNvPr>
        <xdr:cNvSpPr>
          <a:spLocks noChangeArrowheads="1"/>
        </xdr:cNvSpPr>
      </xdr:nvSpPr>
      <xdr:spPr bwMode="auto">
        <a:xfrm>
          <a:off x="281940" y="2697480"/>
          <a:ext cx="10111740" cy="967740"/>
        </a:xfrm>
        <a:prstGeom prst="roundRect">
          <a:avLst>
            <a:gd name="adj" fmla="val 6449"/>
          </a:avLst>
        </a:prstGeom>
        <a:noFill/>
        <a:ln w="9525">
          <a:solidFill>
            <a:srgbClr val="002855"/>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ergir-my.sharepoint.com/personal/fanny_eppner_energir_com/Documents/Bureau/Demande%20de%20vers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 Gabarit de facture"/>
      <sheetName val="Feuil1"/>
      <sheetName val="Feuil2"/>
      <sheetName val="Y.Menus déroulants"/>
    </sheetNames>
    <sheetDataSet>
      <sheetData sheetId="0" refreshError="1"/>
      <sheetData sheetId="1">
        <row r="44">
          <cell r="M44">
            <v>5174.8305</v>
          </cell>
        </row>
      </sheetData>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F398A0-E1DB-4F81-BF36-7180F43F0796}" name="Tableau1" displayName="Tableau1" ref="B1:I1299" totalsRowShown="0" headerRowDxfId="66" headerRowBorderDxfId="65" tableBorderDxfId="64" dataCellStyle="Normal 2">
  <autoFilter ref="B1:I1299" xr:uid="{BCEE8ABF-D39C-4A87-89EC-577FDFED63F4}"/>
  <tableColumns count="8">
    <tableColumn id="1" xr3:uid="{00000000-0010-0000-0100-000001000000}" name="C_CAE" dataCellStyle="Normal 2"/>
    <tableColumn id="2" xr3:uid="{00000000-0010-0000-0100-000002000000}" name="Code_CAE" dataCellStyle="Normal 2"/>
    <tableColumn id="3" xr3:uid="{00000000-0010-0000-0100-000003000000}" name="Description CAE" dataCellStyle="Normal 2"/>
    <tableColumn id="4" xr3:uid="{00000000-0010-0000-0100-000004000000}" name="C_SCIAN" dataCellStyle="Normal 2"/>
    <tableColumn id="5" xr3:uid="{00000000-0010-0000-0100-000005000000}" name="Code_SCIAN" dataCellStyle="Normal 2"/>
    <tableColumn id="6" xr3:uid="{00000000-0010-0000-0100-000006000000}" name="Description SCIAN " dataCellStyle="Normal 2"/>
    <tableColumn id="7" xr3:uid="{00000000-0010-0000-0100-000007000000}" name="Sous-secteur" dataCellStyle="Normal 2"/>
    <tableColumn id="8" xr3:uid="{00000000-0010-0000-0100-000008000000}" name="Secteur "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energir.com/files/energir_common/import/Fichiers/Affaires/EE_Appareilsadmissibles/FR/aerocond.pdf" TargetMode="External"/><Relationship Id="rId2" Type="http://schemas.openxmlformats.org/officeDocument/2006/relationships/hyperlink" Target="https://energir.com/files/energir_common/PE210-2_FR_20230401.pdf" TargetMode="External"/><Relationship Id="rId1" Type="http://schemas.openxmlformats.org/officeDocument/2006/relationships/hyperlink" Target="https://energir.com/files/energir_common/import/Fichiers/Affaires/EE_Appareilsadmissibles/FR/PE210_FR.pdf" TargetMode="External"/><Relationship Id="rId4"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23.statcan.gc.ca/imdb/p3VD_f.pl?Function=getVD&amp;TVD=1369825" TargetMode="External"/><Relationship Id="rId1" Type="http://schemas.openxmlformats.org/officeDocument/2006/relationships/hyperlink" Target="https://www.quebec.ca/entreprises-et-travailleurs-autonomes/obtenir-renseignements-entreprise/codes-activites-economique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9" Type="http://schemas.openxmlformats.org/officeDocument/2006/relationships/ctrlProp" Target="../ctrlProps/ctrlProp34.xml"/><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47" Type="http://schemas.openxmlformats.org/officeDocument/2006/relationships/ctrlProp" Target="../ctrlProps/ctrlProp42.xml"/><Relationship Id="rId50" Type="http://schemas.openxmlformats.org/officeDocument/2006/relationships/ctrlProp" Target="../ctrlProps/ctrlProp45.xml"/><Relationship Id="rId55" Type="http://schemas.openxmlformats.org/officeDocument/2006/relationships/ctrlProp" Target="../ctrlProps/ctrlProp50.xml"/><Relationship Id="rId7" Type="http://schemas.openxmlformats.org/officeDocument/2006/relationships/ctrlProp" Target="../ctrlProps/ctrlProp2.xml"/><Relationship Id="rId2" Type="http://schemas.openxmlformats.org/officeDocument/2006/relationships/hyperlink" Target="mailto:ventescmj@energir.com" TargetMode="External"/><Relationship Id="rId16" Type="http://schemas.openxmlformats.org/officeDocument/2006/relationships/ctrlProp" Target="../ctrlProps/ctrlProp11.xml"/><Relationship Id="rId29" Type="http://schemas.openxmlformats.org/officeDocument/2006/relationships/ctrlProp" Target="../ctrlProps/ctrlProp24.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45" Type="http://schemas.openxmlformats.org/officeDocument/2006/relationships/ctrlProp" Target="../ctrlProps/ctrlProp40.xml"/><Relationship Id="rId53" Type="http://schemas.openxmlformats.org/officeDocument/2006/relationships/ctrlProp" Target="../ctrlProps/ctrlProp48.xml"/><Relationship Id="rId58" Type="http://schemas.openxmlformats.org/officeDocument/2006/relationships/ctrlProp" Target="../ctrlProps/ctrlProp53.xml"/><Relationship Id="rId5" Type="http://schemas.openxmlformats.org/officeDocument/2006/relationships/vmlDrawing" Target="../drawings/vmlDrawing1.vml"/><Relationship Id="rId61" Type="http://schemas.openxmlformats.org/officeDocument/2006/relationships/ctrlProp" Target="../ctrlProps/ctrlProp56.xml"/><Relationship Id="rId19" Type="http://schemas.openxmlformats.org/officeDocument/2006/relationships/ctrlProp" Target="../ctrlProps/ctrlProp1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43" Type="http://schemas.openxmlformats.org/officeDocument/2006/relationships/ctrlProp" Target="../ctrlProps/ctrlProp38.xml"/><Relationship Id="rId48" Type="http://schemas.openxmlformats.org/officeDocument/2006/relationships/ctrlProp" Target="../ctrlProps/ctrlProp43.xml"/><Relationship Id="rId56" Type="http://schemas.openxmlformats.org/officeDocument/2006/relationships/ctrlProp" Target="../ctrlProps/ctrlProp51.xml"/><Relationship Id="rId8" Type="http://schemas.openxmlformats.org/officeDocument/2006/relationships/ctrlProp" Target="../ctrlProps/ctrlProp3.xml"/><Relationship Id="rId51" Type="http://schemas.openxmlformats.org/officeDocument/2006/relationships/ctrlProp" Target="../ctrlProps/ctrlProp46.xml"/><Relationship Id="rId3" Type="http://schemas.openxmlformats.org/officeDocument/2006/relationships/printerSettings" Target="../printerSettings/printerSettings2.bin"/><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59" Type="http://schemas.openxmlformats.org/officeDocument/2006/relationships/ctrlProp" Target="../ctrlProps/ctrlProp54.xml"/><Relationship Id="rId20" Type="http://schemas.openxmlformats.org/officeDocument/2006/relationships/ctrlProp" Target="../ctrlProps/ctrlProp15.xml"/><Relationship Id="rId41" Type="http://schemas.openxmlformats.org/officeDocument/2006/relationships/ctrlProp" Target="../ctrlProps/ctrlProp36.xml"/><Relationship Id="rId54" Type="http://schemas.openxmlformats.org/officeDocument/2006/relationships/ctrlProp" Target="../ctrlProps/ctrlProp49.xml"/><Relationship Id="rId62" Type="http://schemas.openxmlformats.org/officeDocument/2006/relationships/comments" Target="../comments1.xml"/><Relationship Id="rId1" Type="http://schemas.openxmlformats.org/officeDocument/2006/relationships/hyperlink" Target="mailto:bienergie@energir.com"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57" Type="http://schemas.openxmlformats.org/officeDocument/2006/relationships/ctrlProp" Target="../ctrlProps/ctrlProp52.xml"/><Relationship Id="rId10" Type="http://schemas.openxmlformats.org/officeDocument/2006/relationships/ctrlProp" Target="../ctrlProps/ctrlProp5.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60" Type="http://schemas.openxmlformats.org/officeDocument/2006/relationships/ctrlProp" Target="../ctrlProps/ctrlProp5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ventescmj@energir.com" TargetMode="External"/><Relationship Id="rId1" Type="http://schemas.openxmlformats.org/officeDocument/2006/relationships/hyperlink" Target="mailto:bienergie@energir.com"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ventescmj@energir.com" TargetMode="External"/><Relationship Id="rId1" Type="http://schemas.openxmlformats.org/officeDocument/2006/relationships/hyperlink" Target="mailto:bienergie@energir.co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9" Type="http://schemas.openxmlformats.org/officeDocument/2006/relationships/ctrlProp" Target="../ctrlProps/ctrlProp90.xml"/><Relationship Id="rId21" Type="http://schemas.openxmlformats.org/officeDocument/2006/relationships/ctrlProp" Target="../ctrlProps/ctrlProp72.xml"/><Relationship Id="rId34" Type="http://schemas.openxmlformats.org/officeDocument/2006/relationships/ctrlProp" Target="../ctrlProps/ctrlProp85.xml"/><Relationship Id="rId42" Type="http://schemas.openxmlformats.org/officeDocument/2006/relationships/ctrlProp" Target="../ctrlProps/ctrlProp93.xml"/><Relationship Id="rId47" Type="http://schemas.openxmlformats.org/officeDocument/2006/relationships/ctrlProp" Target="../ctrlProps/ctrlProp98.xml"/><Relationship Id="rId50" Type="http://schemas.openxmlformats.org/officeDocument/2006/relationships/ctrlProp" Target="../ctrlProps/ctrlProp101.xml"/><Relationship Id="rId55" Type="http://schemas.openxmlformats.org/officeDocument/2006/relationships/ctrlProp" Target="../ctrlProps/ctrlProp106.xml"/><Relationship Id="rId7" Type="http://schemas.openxmlformats.org/officeDocument/2006/relationships/ctrlProp" Target="../ctrlProps/ctrlProp58.xml"/><Relationship Id="rId2" Type="http://schemas.openxmlformats.org/officeDocument/2006/relationships/hyperlink" Target="mailto:bienergie@energir.com" TargetMode="External"/><Relationship Id="rId16" Type="http://schemas.openxmlformats.org/officeDocument/2006/relationships/ctrlProp" Target="../ctrlProps/ctrlProp67.xml"/><Relationship Id="rId29" Type="http://schemas.openxmlformats.org/officeDocument/2006/relationships/ctrlProp" Target="../ctrlProps/ctrlProp80.xml"/><Relationship Id="rId11" Type="http://schemas.openxmlformats.org/officeDocument/2006/relationships/ctrlProp" Target="../ctrlProps/ctrlProp62.xml"/><Relationship Id="rId24" Type="http://schemas.openxmlformats.org/officeDocument/2006/relationships/ctrlProp" Target="../ctrlProps/ctrlProp75.xml"/><Relationship Id="rId32" Type="http://schemas.openxmlformats.org/officeDocument/2006/relationships/ctrlProp" Target="../ctrlProps/ctrlProp83.xml"/><Relationship Id="rId37" Type="http://schemas.openxmlformats.org/officeDocument/2006/relationships/ctrlProp" Target="../ctrlProps/ctrlProp88.xml"/><Relationship Id="rId40" Type="http://schemas.openxmlformats.org/officeDocument/2006/relationships/ctrlProp" Target="../ctrlProps/ctrlProp91.xml"/><Relationship Id="rId45" Type="http://schemas.openxmlformats.org/officeDocument/2006/relationships/ctrlProp" Target="../ctrlProps/ctrlProp96.xml"/><Relationship Id="rId53" Type="http://schemas.openxmlformats.org/officeDocument/2006/relationships/ctrlProp" Target="../ctrlProps/ctrlProp104.xml"/><Relationship Id="rId58" Type="http://schemas.openxmlformats.org/officeDocument/2006/relationships/ctrlProp" Target="../ctrlProps/ctrlProp109.xml"/><Relationship Id="rId5" Type="http://schemas.openxmlformats.org/officeDocument/2006/relationships/drawing" Target="../drawings/drawing5.xml"/><Relationship Id="rId61" Type="http://schemas.openxmlformats.org/officeDocument/2006/relationships/ctrlProp" Target="../ctrlProps/ctrlProp112.xml"/><Relationship Id="rId19" Type="http://schemas.openxmlformats.org/officeDocument/2006/relationships/ctrlProp" Target="../ctrlProps/ctrlProp7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 Id="rId35" Type="http://schemas.openxmlformats.org/officeDocument/2006/relationships/ctrlProp" Target="../ctrlProps/ctrlProp86.xml"/><Relationship Id="rId43" Type="http://schemas.openxmlformats.org/officeDocument/2006/relationships/ctrlProp" Target="../ctrlProps/ctrlProp94.xml"/><Relationship Id="rId48" Type="http://schemas.openxmlformats.org/officeDocument/2006/relationships/ctrlProp" Target="../ctrlProps/ctrlProp99.xml"/><Relationship Id="rId56" Type="http://schemas.openxmlformats.org/officeDocument/2006/relationships/ctrlProp" Target="../ctrlProps/ctrlProp107.xml"/><Relationship Id="rId8" Type="http://schemas.openxmlformats.org/officeDocument/2006/relationships/ctrlProp" Target="../ctrlProps/ctrlProp59.xml"/><Relationship Id="rId51" Type="http://schemas.openxmlformats.org/officeDocument/2006/relationships/ctrlProp" Target="../ctrlProps/ctrlProp102.xml"/><Relationship Id="rId3" Type="http://schemas.openxmlformats.org/officeDocument/2006/relationships/hyperlink" Target="mailto:ventescmj@energir.com" TargetMode="Externa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33" Type="http://schemas.openxmlformats.org/officeDocument/2006/relationships/ctrlProp" Target="../ctrlProps/ctrlProp84.xml"/><Relationship Id="rId38" Type="http://schemas.openxmlformats.org/officeDocument/2006/relationships/ctrlProp" Target="../ctrlProps/ctrlProp89.xml"/><Relationship Id="rId46" Type="http://schemas.openxmlformats.org/officeDocument/2006/relationships/ctrlProp" Target="../ctrlProps/ctrlProp97.xml"/><Relationship Id="rId59" Type="http://schemas.openxmlformats.org/officeDocument/2006/relationships/ctrlProp" Target="../ctrlProps/ctrlProp110.xml"/><Relationship Id="rId20" Type="http://schemas.openxmlformats.org/officeDocument/2006/relationships/ctrlProp" Target="../ctrlProps/ctrlProp71.xml"/><Relationship Id="rId41" Type="http://schemas.openxmlformats.org/officeDocument/2006/relationships/ctrlProp" Target="../ctrlProps/ctrlProp92.xml"/><Relationship Id="rId54" Type="http://schemas.openxmlformats.org/officeDocument/2006/relationships/ctrlProp" Target="../ctrlProps/ctrlProp105.xml"/><Relationship Id="rId62" Type="http://schemas.openxmlformats.org/officeDocument/2006/relationships/comments" Target="../comments4.xml"/><Relationship Id="rId1" Type="http://schemas.openxmlformats.org/officeDocument/2006/relationships/hyperlink" Target="https://energir.com/fr/affaires/efficacite-energetique/programme-efficacite-energetique/aerotherme" TargetMode="External"/><Relationship Id="rId6" Type="http://schemas.openxmlformats.org/officeDocument/2006/relationships/vmlDrawing" Target="../drawings/vmlDrawing4.v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36" Type="http://schemas.openxmlformats.org/officeDocument/2006/relationships/ctrlProp" Target="../ctrlProps/ctrlProp87.xml"/><Relationship Id="rId49" Type="http://schemas.openxmlformats.org/officeDocument/2006/relationships/ctrlProp" Target="../ctrlProps/ctrlProp100.xml"/><Relationship Id="rId57" Type="http://schemas.openxmlformats.org/officeDocument/2006/relationships/ctrlProp" Target="../ctrlProps/ctrlProp108.xml"/><Relationship Id="rId10" Type="http://schemas.openxmlformats.org/officeDocument/2006/relationships/ctrlProp" Target="../ctrlProps/ctrlProp61.xml"/><Relationship Id="rId31" Type="http://schemas.openxmlformats.org/officeDocument/2006/relationships/ctrlProp" Target="../ctrlProps/ctrlProp82.xml"/><Relationship Id="rId44" Type="http://schemas.openxmlformats.org/officeDocument/2006/relationships/ctrlProp" Target="../ctrlProps/ctrlProp95.xml"/><Relationship Id="rId52" Type="http://schemas.openxmlformats.org/officeDocument/2006/relationships/ctrlProp" Target="../ctrlProps/ctrlProp103.xml"/><Relationship Id="rId60" Type="http://schemas.openxmlformats.org/officeDocument/2006/relationships/ctrlProp" Target="../ctrlProps/ctrlProp111.xml"/><Relationship Id="rId4" Type="http://schemas.openxmlformats.org/officeDocument/2006/relationships/printerSettings" Target="../printerSettings/printerSettings6.bin"/><Relationship Id="rId9" Type="http://schemas.openxmlformats.org/officeDocument/2006/relationships/ctrlProp" Target="../ctrlProps/ctrlProp6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ventescmj@energi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EA63E-F837-4E86-ACF5-DE20BAD6E7E2}">
  <sheetPr codeName="Feuil2">
    <tabColor rgb="FF00B0F0"/>
  </sheetPr>
  <dimension ref="A1:FY256"/>
  <sheetViews>
    <sheetView topLeftCell="A65" zoomScale="115" zoomScaleNormal="115" workbookViewId="0">
      <selection activeCell="E85" sqref="E85"/>
    </sheetView>
  </sheetViews>
  <sheetFormatPr baseColWidth="10" defaultRowHeight="12.5"/>
  <cols>
    <col min="1" max="1" width="26.26953125" customWidth="1"/>
    <col min="2" max="2" width="9.453125" customWidth="1"/>
    <col min="3" max="3" width="14" customWidth="1"/>
    <col min="14" max="14" width="13" customWidth="1"/>
    <col min="16" max="16" width="6.54296875" customWidth="1"/>
    <col min="18" max="18" width="11.26953125" customWidth="1"/>
    <col min="19" max="19" width="8.453125" customWidth="1"/>
    <col min="20" max="20" width="9" customWidth="1"/>
    <col min="22" max="22" width="16.54296875" customWidth="1"/>
    <col min="26" max="26" width="93.54296875" bestFit="1" customWidth="1"/>
    <col min="27" max="27" width="26.7265625" bestFit="1" customWidth="1"/>
    <col min="28" max="28" width="7.7265625" bestFit="1" customWidth="1"/>
    <col min="30" max="30" width="13.54296875" bestFit="1" customWidth="1"/>
    <col min="35" max="35" width="12.54296875" bestFit="1" customWidth="1"/>
    <col min="66" max="66" width="16.453125" customWidth="1"/>
  </cols>
  <sheetData>
    <row r="1" spans="1:181">
      <c r="A1" t="s">
        <v>546</v>
      </c>
      <c r="B1" t="s">
        <v>545</v>
      </c>
      <c r="C1" t="s">
        <v>145</v>
      </c>
      <c r="D1" t="s">
        <v>146</v>
      </c>
      <c r="E1" t="s">
        <v>224</v>
      </c>
      <c r="F1" t="s">
        <v>225</v>
      </c>
      <c r="G1" t="s">
        <v>763</v>
      </c>
      <c r="H1" t="s">
        <v>227</v>
      </c>
      <c r="I1" t="s">
        <v>696</v>
      </c>
      <c r="J1" t="s">
        <v>697</v>
      </c>
      <c r="K1" t="s">
        <v>698</v>
      </c>
      <c r="L1" t="s">
        <v>699</v>
      </c>
      <c r="M1" t="s">
        <v>700</v>
      </c>
      <c r="N1" t="s">
        <v>309</v>
      </c>
      <c r="O1" t="s">
        <v>701</v>
      </c>
      <c r="P1" s="189" t="s">
        <v>682</v>
      </c>
      <c r="Q1" s="190" t="s">
        <v>683</v>
      </c>
      <c r="R1" s="190" t="s">
        <v>302</v>
      </c>
      <c r="S1" s="190" t="s">
        <v>684</v>
      </c>
      <c r="T1" s="190" t="s">
        <v>685</v>
      </c>
      <c r="U1" s="190" t="s">
        <v>303</v>
      </c>
      <c r="V1" s="190" t="s">
        <v>686</v>
      </c>
      <c r="W1" s="333" t="s">
        <v>687</v>
      </c>
      <c r="X1" s="190" t="s">
        <v>688</v>
      </c>
      <c r="Y1" s="190" t="s">
        <v>689</v>
      </c>
      <c r="Z1" s="190" t="s">
        <v>690</v>
      </c>
      <c r="AA1" s="190" t="s">
        <v>691</v>
      </c>
      <c r="AB1" s="190" t="s">
        <v>692</v>
      </c>
      <c r="AC1" s="190" t="s">
        <v>693</v>
      </c>
      <c r="AD1" s="190" t="s">
        <v>694</v>
      </c>
      <c r="AE1" s="190" t="s">
        <v>695</v>
      </c>
      <c r="AF1" s="190" t="s">
        <v>783</v>
      </c>
      <c r="AG1" t="s">
        <v>547</v>
      </c>
      <c r="AH1" t="s">
        <v>548</v>
      </c>
      <c r="AI1" t="s">
        <v>549</v>
      </c>
      <c r="AJ1" t="s">
        <v>550</v>
      </c>
      <c r="AK1" t="s">
        <v>551</v>
      </c>
      <c r="AL1" t="s">
        <v>552</v>
      </c>
      <c r="AM1" t="s">
        <v>553</v>
      </c>
      <c r="AN1" t="s">
        <v>634</v>
      </c>
      <c r="AO1" t="s">
        <v>784</v>
      </c>
      <c r="AP1" t="s">
        <v>554</v>
      </c>
      <c r="AQ1" t="s">
        <v>555</v>
      </c>
      <c r="AR1" t="s">
        <v>556</v>
      </c>
      <c r="AS1" t="s">
        <v>598</v>
      </c>
      <c r="AT1" t="s">
        <v>557</v>
      </c>
      <c r="AU1" t="s">
        <v>558</v>
      </c>
      <c r="AV1" t="s">
        <v>559</v>
      </c>
      <c r="AW1" t="s">
        <v>561</v>
      </c>
      <c r="AX1" t="s">
        <v>562</v>
      </c>
      <c r="AY1" t="s">
        <v>563</v>
      </c>
      <c r="AZ1" t="s">
        <v>560</v>
      </c>
      <c r="BA1" t="s">
        <v>564</v>
      </c>
      <c r="BB1" t="s">
        <v>565</v>
      </c>
      <c r="BC1" t="s">
        <v>566</v>
      </c>
      <c r="BD1" t="s">
        <v>567</v>
      </c>
      <c r="BE1" t="s">
        <v>703</v>
      </c>
      <c r="BF1" t="s">
        <v>785</v>
      </c>
      <c r="BG1" t="s">
        <v>568</v>
      </c>
      <c r="BH1" t="s">
        <v>569</v>
      </c>
      <c r="BI1" t="s">
        <v>570</v>
      </c>
      <c r="BJ1" t="s">
        <v>599</v>
      </c>
      <c r="BK1" t="s">
        <v>571</v>
      </c>
      <c r="BL1" t="s">
        <v>572</v>
      </c>
      <c r="BM1" t="s">
        <v>573</v>
      </c>
      <c r="BN1" t="s">
        <v>574</v>
      </c>
      <c r="BO1" t="s">
        <v>575</v>
      </c>
      <c r="BP1" t="s">
        <v>576</v>
      </c>
      <c r="BQ1" t="s">
        <v>577</v>
      </c>
      <c r="BR1" t="s">
        <v>578</v>
      </c>
      <c r="BS1" t="s">
        <v>579</v>
      </c>
      <c r="BT1" t="s">
        <v>580</v>
      </c>
      <c r="BU1" t="s">
        <v>581</v>
      </c>
      <c r="BV1" t="s">
        <v>704</v>
      </c>
      <c r="BW1" t="s">
        <v>786</v>
      </c>
      <c r="BX1" t="s">
        <v>582</v>
      </c>
      <c r="BY1" t="s">
        <v>583</v>
      </c>
      <c r="BZ1" t="s">
        <v>584</v>
      </c>
      <c r="CA1" t="s">
        <v>600</v>
      </c>
      <c r="CB1" t="s">
        <v>585</v>
      </c>
      <c r="CC1" t="s">
        <v>586</v>
      </c>
      <c r="CD1" t="s">
        <v>587</v>
      </c>
      <c r="CE1" t="s">
        <v>591</v>
      </c>
      <c r="CF1" t="s">
        <v>592</v>
      </c>
      <c r="CG1" t="s">
        <v>593</v>
      </c>
      <c r="CH1" t="s">
        <v>594</v>
      </c>
      <c r="CI1" t="s">
        <v>595</v>
      </c>
      <c r="CJ1" t="s">
        <v>596</v>
      </c>
      <c r="CK1" t="s">
        <v>601</v>
      </c>
      <c r="CL1" t="s">
        <v>602</v>
      </c>
      <c r="CM1" t="s">
        <v>603</v>
      </c>
      <c r="CN1" t="s">
        <v>597</v>
      </c>
      <c r="CO1" t="s">
        <v>702</v>
      </c>
      <c r="CP1" t="s">
        <v>787</v>
      </c>
      <c r="CQ1" t="s">
        <v>604</v>
      </c>
      <c r="CR1" t="s">
        <v>605</v>
      </c>
      <c r="CS1" t="s">
        <v>606</v>
      </c>
      <c r="CT1" t="s">
        <v>607</v>
      </c>
      <c r="CU1" t="s">
        <v>608</v>
      </c>
      <c r="CV1" t="s">
        <v>609</v>
      </c>
      <c r="CW1" t="s">
        <v>610</v>
      </c>
      <c r="CX1" t="s">
        <v>611</v>
      </c>
      <c r="CY1" t="s">
        <v>612</v>
      </c>
      <c r="CZ1" t="s">
        <v>613</v>
      </c>
      <c r="DA1" t="s">
        <v>614</v>
      </c>
      <c r="DB1" t="s">
        <v>615</v>
      </c>
      <c r="DC1" t="s">
        <v>616</v>
      </c>
      <c r="DD1" t="s">
        <v>617</v>
      </c>
      <c r="DE1" t="s">
        <v>618</v>
      </c>
      <c r="DF1" t="s">
        <v>619</v>
      </c>
      <c r="DG1" t="s">
        <v>620</v>
      </c>
      <c r="DH1" t="s">
        <v>705</v>
      </c>
      <c r="DI1" t="s">
        <v>621</v>
      </c>
      <c r="DJ1" t="s">
        <v>622</v>
      </c>
      <c r="DK1" t="s">
        <v>623</v>
      </c>
      <c r="DL1" t="s">
        <v>624</v>
      </c>
      <c r="DM1" t="s">
        <v>625</v>
      </c>
      <c r="DN1" t="s">
        <v>626</v>
      </c>
      <c r="DO1" t="s">
        <v>627</v>
      </c>
      <c r="DP1" t="s">
        <v>677</v>
      </c>
      <c r="DQ1" t="s">
        <v>331</v>
      </c>
      <c r="DR1" t="s">
        <v>251</v>
      </c>
      <c r="DS1" t="s">
        <v>330</v>
      </c>
      <c r="DT1" t="s">
        <v>252</v>
      </c>
      <c r="DU1" t="s">
        <v>628</v>
      </c>
      <c r="DV1" t="s">
        <v>629</v>
      </c>
      <c r="DW1" t="s">
        <v>630</v>
      </c>
      <c r="DX1" t="s">
        <v>788</v>
      </c>
      <c r="DY1" t="s">
        <v>51</v>
      </c>
      <c r="DZ1" t="s">
        <v>52</v>
      </c>
      <c r="EA1" t="s">
        <v>53</v>
      </c>
      <c r="EB1" t="s">
        <v>238</v>
      </c>
      <c r="EC1" t="s">
        <v>54</v>
      </c>
      <c r="ED1" t="s">
        <v>134</v>
      </c>
      <c r="EE1" t="s">
        <v>135</v>
      </c>
      <c r="EF1" t="s">
        <v>136</v>
      </c>
      <c r="EG1" t="s">
        <v>137</v>
      </c>
      <c r="EH1" t="s">
        <v>138</v>
      </c>
      <c r="EI1" t="s">
        <v>139</v>
      </c>
      <c r="EJ1" t="s">
        <v>421</v>
      </c>
      <c r="EK1" t="s">
        <v>158</v>
      </c>
      <c r="EL1" t="s">
        <v>636</v>
      </c>
      <c r="EM1" t="s">
        <v>446</v>
      </c>
      <c r="EN1" t="s">
        <v>447</v>
      </c>
      <c r="EO1" t="s">
        <v>191</v>
      </c>
      <c r="EP1" t="s">
        <v>448</v>
      </c>
      <c r="EQ1" t="s">
        <v>449</v>
      </c>
      <c r="ER1" t="s">
        <v>450</v>
      </c>
      <c r="ES1" t="s">
        <v>293</v>
      </c>
      <c r="ET1" t="s">
        <v>637</v>
      </c>
      <c r="EU1" t="s">
        <v>638</v>
      </c>
      <c r="EV1" t="s">
        <v>453</v>
      </c>
      <c r="EW1" t="s">
        <v>639</v>
      </c>
      <c r="EX1" t="s">
        <v>640</v>
      </c>
      <c r="EY1" t="s">
        <v>456</v>
      </c>
      <c r="EZ1" t="s">
        <v>641</v>
      </c>
      <c r="FA1" t="s">
        <v>652</v>
      </c>
      <c r="FB1" t="s">
        <v>459</v>
      </c>
      <c r="FC1" t="s">
        <v>642</v>
      </c>
      <c r="FD1" t="s">
        <v>643</v>
      </c>
      <c r="FE1" t="s">
        <v>644</v>
      </c>
      <c r="FF1" t="s">
        <v>645</v>
      </c>
      <c r="FG1" t="s">
        <v>646</v>
      </c>
      <c r="FH1" t="s">
        <v>647</v>
      </c>
      <c r="FI1" t="s">
        <v>648</v>
      </c>
      <c r="FJ1" t="s">
        <v>109</v>
      </c>
      <c r="FK1" t="s">
        <v>462</v>
      </c>
      <c r="FL1" t="s">
        <v>283</v>
      </c>
      <c r="FM1" t="s">
        <v>649</v>
      </c>
      <c r="FN1" t="s">
        <v>650</v>
      </c>
      <c r="FO1" t="s">
        <v>672</v>
      </c>
      <c r="FP1" t="s">
        <v>651</v>
      </c>
      <c r="FQ1" t="s">
        <v>332</v>
      </c>
      <c r="FR1" t="s">
        <v>333</v>
      </c>
      <c r="FS1" t="s">
        <v>336</v>
      </c>
      <c r="FT1" t="s">
        <v>334</v>
      </c>
      <c r="FU1" t="s">
        <v>335</v>
      </c>
      <c r="FV1" t="s">
        <v>337</v>
      </c>
      <c r="FW1" t="s">
        <v>653</v>
      </c>
      <c r="FX1" t="s">
        <v>862</v>
      </c>
      <c r="FY1" t="s">
        <v>863</v>
      </c>
    </row>
    <row r="2" spans="1:181">
      <c r="A2" s="299" t="s">
        <v>923</v>
      </c>
      <c r="B2" s="28" t="str">
        <f>IF(A58=TRUE,"1","")</f>
        <v/>
      </c>
      <c r="C2" s="28" t="str">
        <f>IF(B58=TRUE,"2","")</f>
        <v/>
      </c>
      <c r="D2" s="28" t="str">
        <f>IF(C58=TRUE,"3","")</f>
        <v/>
      </c>
      <c r="E2" s="28" t="str">
        <f>IF(D58=TRUE,"4","")</f>
        <v/>
      </c>
      <c r="F2" s="28" t="str">
        <f>IF(E58=TRUE,"5","")</f>
        <v/>
      </c>
      <c r="G2" s="28" t="str">
        <f>IF(F58=TRUE,"6","")</f>
        <v/>
      </c>
      <c r="H2" s="28" t="str">
        <f>IF(G58=TRUE,"7","")</f>
        <v/>
      </c>
      <c r="I2" s="28" t="b">
        <f>A58</f>
        <v>0</v>
      </c>
      <c r="J2" s="28" t="b">
        <f t="shared" ref="J2:O2" si="0">B58</f>
        <v>0</v>
      </c>
      <c r="K2" s="28" t="b">
        <f t="shared" si="0"/>
        <v>0</v>
      </c>
      <c r="L2" s="28" t="b">
        <f t="shared" si="0"/>
        <v>0</v>
      </c>
      <c r="M2" s="28" t="b">
        <f t="shared" si="0"/>
        <v>0</v>
      </c>
      <c r="N2" s="28" t="b">
        <f t="shared" si="0"/>
        <v>0</v>
      </c>
      <c r="O2" s="28" t="b">
        <f t="shared" si="0"/>
        <v>0</v>
      </c>
      <c r="P2" s="208" t="b">
        <f>B59</f>
        <v>0</v>
      </c>
      <c r="Q2" s="209" t="b">
        <f>B60</f>
        <v>0</v>
      </c>
      <c r="R2" s="209" t="b">
        <f>B62</f>
        <v>0</v>
      </c>
      <c r="S2" s="209" t="b">
        <f>B61</f>
        <v>0</v>
      </c>
      <c r="T2" s="209" t="b">
        <f>D59</f>
        <v>0</v>
      </c>
      <c r="U2" s="209" t="b">
        <f>D62</f>
        <v>0</v>
      </c>
      <c r="V2" s="209" t="b">
        <f>D60</f>
        <v>0</v>
      </c>
      <c r="W2" s="332" t="b">
        <f>D61</f>
        <v>1</v>
      </c>
      <c r="X2" s="209" t="b">
        <f>E59</f>
        <v>0</v>
      </c>
      <c r="Y2" s="209" t="b">
        <f>E60</f>
        <v>0</v>
      </c>
      <c r="Z2" s="209" t="b">
        <f>F59</f>
        <v>0</v>
      </c>
      <c r="AA2" s="209" t="b">
        <f>F60</f>
        <v>0</v>
      </c>
      <c r="AB2" s="209" t="b">
        <f>F61</f>
        <v>0</v>
      </c>
      <c r="AC2" s="209" t="b">
        <f>G59</f>
        <v>0</v>
      </c>
      <c r="AD2" s="209" t="b">
        <f>G60</f>
        <v>0</v>
      </c>
      <c r="AE2" s="209" t="b">
        <f>G61</f>
        <v>0</v>
      </c>
      <c r="AF2" s="209">
        <v>10</v>
      </c>
      <c r="AG2" s="28" t="str">
        <f>IF('1. Demande'!I14="","",'1. Demande'!I14)</f>
        <v/>
      </c>
      <c r="AH2" s="28" t="str">
        <f>IF('1. Demande'!I16="","",'1. Demande'!I16)</f>
        <v/>
      </c>
      <c r="AI2" s="28" t="str">
        <f>IF('1. Demande'!I18="","",'1. Demande'!I18)</f>
        <v/>
      </c>
      <c r="AJ2" s="28" t="str">
        <f>IF('1. Demande'!AA18="","",'1. Demande'!AA18)</f>
        <v/>
      </c>
      <c r="AK2" s="28" t="str">
        <f>IF('1. Demande'!AM14="","",'1. Demande'!AM14)</f>
        <v/>
      </c>
      <c r="AL2" s="28" t="str">
        <f>IF('1. Demande'!AM16="","",'1. Demande'!AM16)</f>
        <v/>
      </c>
      <c r="AM2" s="28" t="str">
        <f>IF('1. Demande'!AM18="","",'1. Demande'!AM18)</f>
        <v/>
      </c>
      <c r="AN2" s="28" t="b">
        <v>0</v>
      </c>
      <c r="AO2" s="28">
        <v>1</v>
      </c>
      <c r="AP2" s="28">
        <f ca="1">INDEX(OFFSET(Appel,,-1,,),MATCH('1. Demande'!I24,Appel,0))</f>
        <v>0</v>
      </c>
      <c r="AQ2" s="28" t="str">
        <f>IF('1. Demande'!N24="","",'1. Demande'!N24)</f>
        <v>ff</v>
      </c>
      <c r="AR2" s="28" t="str">
        <f>IF('1. Demande'!AD24="","",'1. Demande'!AD24)</f>
        <v/>
      </c>
      <c r="AS2" s="28" t="str">
        <f>IF('1. Demande'!AQ24="","",'1. Demande'!AQ24)</f>
        <v/>
      </c>
      <c r="AT2" s="28" t="str">
        <f>IF('1. Demande'!I26="","",'1. Demande'!I26)</f>
        <v/>
      </c>
      <c r="AU2" s="28" t="str">
        <f>IF('1. Demande'!AD26="","",'1. Demande'!AD26)</f>
        <v/>
      </c>
      <c r="AV2" s="28" t="str">
        <f>IF('1. Demande'!I28="","",'1. Demande'!I28)</f>
        <v/>
      </c>
      <c r="AW2" s="28" t="str">
        <f>IF('1. Demande'!I30="","",'1. Demande'!I30)</f>
        <v/>
      </c>
      <c r="AX2" s="28" t="str">
        <f>IF('1. Demande'!I32="","",'1. Demande'!I32)</f>
        <v/>
      </c>
      <c r="AY2" s="28" t="str">
        <f>IF('1. Demande'!AA32="","",'1. Demande'!AA32)</f>
        <v/>
      </c>
      <c r="AZ2" s="28" t="str">
        <f>IF('1. Demande'!AJ28="","",'1. Demande'!AJ28)</f>
        <v/>
      </c>
      <c r="BA2" s="28" t="str">
        <f>IF('1. Demande'!AJ30="","",'1. Demande'!AJ30)</f>
        <v/>
      </c>
      <c r="BB2" s="28" t="str">
        <f>IF('1. Demande'!AR30="","",'1. Demande'!AR30)</f>
        <v/>
      </c>
      <c r="BC2" s="28" t="str">
        <f>IF('1. Demande'!AJ32="","",'1. Demande'!AJ32)</f>
        <v/>
      </c>
      <c r="BD2" s="28" t="b">
        <v>0</v>
      </c>
      <c r="BE2" s="28" t="b">
        <v>0</v>
      </c>
      <c r="BF2" s="28">
        <v>2</v>
      </c>
      <c r="BG2" s="28">
        <f ca="1">INDEX(OFFSET(Appel,,-1,,),MATCH('1. Demande'!I39,Appel,0))</f>
        <v>0</v>
      </c>
      <c r="BH2" s="28" t="str">
        <f>IF('1. Demande'!N39="","",'1. Demande'!N39)</f>
        <v/>
      </c>
      <c r="BI2" s="28" t="str">
        <f>IF('1. Demande'!AD39="","",'1. Demande'!AD39)</f>
        <v/>
      </c>
      <c r="BJ2" s="28" t="str">
        <f>IF('1. Demande'!AQ39="","",'1. Demande'!AQ39)</f>
        <v/>
      </c>
      <c r="BK2" s="28" t="str">
        <f>IF('1. Demande'!I41="","",'1. Demande'!I41)</f>
        <v/>
      </c>
      <c r="BL2" s="28" t="str">
        <f>IF('1. Demande'!AD41="","",'1. Demande'!AD41)</f>
        <v/>
      </c>
      <c r="BM2" s="28" t="str">
        <f>IF('1. Demande'!I43="","",'1. Demande'!I43)</f>
        <v/>
      </c>
      <c r="BN2" s="28" t="str">
        <f>IF('1. Demande'!I45="","",'1. Demande'!I45)</f>
        <v/>
      </c>
      <c r="BO2" s="28" t="str">
        <f>IF('1. Demande'!I47="","",'1. Demande'!I47)</f>
        <v/>
      </c>
      <c r="BP2" s="28" t="str">
        <f>IF('1. Demande'!AA47="","",'1. Demande'!AA47)</f>
        <v/>
      </c>
      <c r="BQ2" s="28" t="str">
        <f>IF('1. Demande'!AJ43="","",'1. Demande'!AJ43)</f>
        <v/>
      </c>
      <c r="BR2" s="28" t="str">
        <f>IF('1. Demande'!AJ45="","",'1. Demande'!AJ45)</f>
        <v/>
      </c>
      <c r="BS2" s="28" t="str">
        <f>IF('1. Demande'!AR45="","",'1. Demande'!AR45)</f>
        <v/>
      </c>
      <c r="BT2" s="28" t="str">
        <f>IF('1. Demande'!AJ47="","",'1. Demande'!AJ47)</f>
        <v/>
      </c>
      <c r="BU2" s="28" t="b">
        <v>0</v>
      </c>
      <c r="BV2" s="28" t="b">
        <v>1</v>
      </c>
      <c r="BW2" s="28">
        <v>3</v>
      </c>
      <c r="BX2" s="28">
        <f ca="1">INDEX(OFFSET(Appel,,-1,,),MATCH('1. Demande'!I50,Appel,0))</f>
        <v>0</v>
      </c>
      <c r="BY2" s="28" t="str">
        <f>IF('1. Demande'!N50="","",'1. Demande'!N50)</f>
        <v/>
      </c>
      <c r="BZ2" s="28" t="str">
        <f>IF('1. Demande'!AD50="","",'1. Demande'!AD50)</f>
        <v/>
      </c>
      <c r="CA2" s="28" t="str">
        <f>IF('1. Demande'!AQ50="","",'1. Demande'!AQ50)</f>
        <v/>
      </c>
      <c r="CB2" s="28" t="str">
        <f>IF('1. Demande'!I52="","",'1. Demande'!I52)</f>
        <v/>
      </c>
      <c r="CC2" s="28" t="str">
        <f>IF('1. Demande'!AD52="","",'1. Demande'!AD52)</f>
        <v/>
      </c>
      <c r="CD2" s="28" t="str">
        <f>IF('1. Demande'!I54="","",'1. Demande'!I54)</f>
        <v/>
      </c>
      <c r="CE2" s="28" t="str">
        <f>IF('1. Demande'!I56="","",'1. Demande'!I56)</f>
        <v/>
      </c>
      <c r="CF2" s="28" t="str">
        <f>IF('1. Demande'!I58="","",'1. Demande'!I58)</f>
        <v/>
      </c>
      <c r="CG2" s="28" t="str">
        <f>IF('1. Demande'!AA58="","",'1. Demande'!AA58)</f>
        <v/>
      </c>
      <c r="CH2" s="28" t="str">
        <f>IF('1. Demande'!AJ54="","",'1. Demande'!AJ54)</f>
        <v/>
      </c>
      <c r="CI2" s="28" t="str">
        <f>IF('1. Demande'!AJ56="","",'1. Demande'!AJ56)</f>
        <v/>
      </c>
      <c r="CJ2" s="28" t="str">
        <f>IF('1. Demande'!AR56="","",'1. Demande'!AR56)</f>
        <v/>
      </c>
      <c r="CK2" s="28" t="str">
        <f>IF('1. Demande'!AJ58="","",'1. Demande'!AJ58)</f>
        <v/>
      </c>
      <c r="CL2" s="28" t="str">
        <f>IF('1. Demande'!AF60="","",'1. Demande'!AF60)</f>
        <v>OIQ:</v>
      </c>
      <c r="CM2" s="28" t="str">
        <f>IF('1. Demande'!AJ60="","",'1. Demande'!AJ60)</f>
        <v/>
      </c>
      <c r="CN2" s="28" t="b">
        <v>0</v>
      </c>
      <c r="CO2" s="28" t="b">
        <v>0</v>
      </c>
      <c r="CP2" s="28">
        <v>4</v>
      </c>
      <c r="CQ2" s="28" t="e">
        <f ca="1">INDEX(OFFSET(Appel,,-1,,),MATCH('1. Demande'!#REF!,Appel,0))</f>
        <v>#REF!</v>
      </c>
      <c r="CR2" s="28" t="e">
        <f>IF('1. Demande'!#REF!="","",'1. Demande'!#REF!)</f>
        <v>#REF!</v>
      </c>
      <c r="CS2" s="28" t="e">
        <f>IF('1. Demande'!#REF!="","",'1. Demande'!#REF!)</f>
        <v>#REF!</v>
      </c>
      <c r="CT2" s="28" t="e">
        <f>IF('1. Demande'!#REF!="","",'1. Demande'!#REF!)</f>
        <v>#REF!</v>
      </c>
      <c r="CU2" s="28" t="e">
        <f>IF('1. Demande'!#REF!="","",'1. Demande'!#REF!)</f>
        <v>#REF!</v>
      </c>
      <c r="CV2" s="28" t="e">
        <f>IF('1. Demande'!#REF!="","",'1. Demande'!#REF!)</f>
        <v>#REF!</v>
      </c>
      <c r="CW2" s="28" t="e">
        <f>IF('1. Demande'!#REF!="","",'1. Demande'!#REF!)</f>
        <v>#REF!</v>
      </c>
      <c r="CX2" s="28" t="e">
        <f>IF('1. Demande'!#REF!="","",'1. Demande'!#REF!)</f>
        <v>#REF!</v>
      </c>
      <c r="CY2" s="28" t="e">
        <f>IF('1. Demande'!#REF!="","",'1. Demande'!#REF!)</f>
        <v>#REF!</v>
      </c>
      <c r="CZ2" s="28" t="e">
        <f>IF('1. Demande'!#REF!="","",'1. Demande'!#REF!)</f>
        <v>#REF!</v>
      </c>
      <c r="DA2" s="28" t="e">
        <f>IF('1. Demande'!#REF!="","",'1. Demande'!#REF!)</f>
        <v>#REF!</v>
      </c>
      <c r="DB2" s="28" t="e">
        <f>IF('1. Demande'!#REF!="","",'1. Demande'!#REF!)</f>
        <v>#REF!</v>
      </c>
      <c r="DC2" s="28" t="e">
        <f>IF('1. Demande'!#REF!="","",'1. Demande'!#REF!)</f>
        <v>#REF!</v>
      </c>
      <c r="DD2" s="28" t="e">
        <f>IF('1. Demande'!#REF!="","",'1. Demande'!#REF!)</f>
        <v>#REF!</v>
      </c>
      <c r="DE2" s="28" t="e">
        <f>IF('1. Demande'!#REF!="","",'1. Demande'!#REF!)</f>
        <v>#REF!</v>
      </c>
      <c r="DF2" s="28" t="e">
        <f>IF('1. Demande'!#REF!="","",'1. Demande'!#REF!)</f>
        <v>#REF!</v>
      </c>
      <c r="DG2" s="28" t="b">
        <v>0</v>
      </c>
      <c r="DH2" s="28" t="b">
        <v>0</v>
      </c>
      <c r="DI2" s="28" t="str">
        <f>IF(F59=TRUE,IF('1. Demande'!I14="","",'1. Demande'!I14),IF('1. Demande'!I63="","",'1. Demande'!I63))</f>
        <v/>
      </c>
      <c r="DJ2" s="28" t="str">
        <f>IF(F59=TRUE,IF('1. Demande'!I16="","",'1. Demande'!I16),IF('1. Demande'!I65="","",'1. Demande'!I65))</f>
        <v/>
      </c>
      <c r="DK2" s="28" t="str">
        <f>IF(F59=TRUE,IF('1. Demande'!I18="","",'1. Demande'!I18),IF('1. Demande'!I67="","",'1. Demande'!I67))</f>
        <v/>
      </c>
      <c r="DL2" s="28" t="str">
        <f>IF(F59=TRUE,IF('1. Demande'!AA18="","",'1. Demande'!AA18),IF('1. Demande'!AA67="","",'1. Demande'!AA67))</f>
        <v/>
      </c>
      <c r="DM2" s="28" t="str">
        <f>IF(F59=TRUE,IF('1. Demande'!AM16="","",'1. Demande'!AM16),IF('1. Demande'!AJ63="","",'1. Demande'!AJ63))</f>
        <v/>
      </c>
      <c r="DN2" s="339" t="str">
        <f>IFERROR(VLOOKUP(DN10,CAE_SCIAN,4),"")</f>
        <v/>
      </c>
      <c r="DO2" s="28">
        <f ca="1">IF(F59=TRUE,10,INDEX(OFFSET(Type_Entreprise,,-1,,),MATCH('1. Demande'!AJ67,Type_Entreprise,0)))</f>
        <v>0</v>
      </c>
      <c r="DP2" s="28">
        <f ca="1">INDEX(OFFSET(Type_Entreprise,,1,,),MATCH('1. Demande'!AJ67,Type_Entreprise,0))</f>
        <v>0</v>
      </c>
      <c r="DQ2" s="334" t="s">
        <v>5061</v>
      </c>
      <c r="DR2" s="335" t="str">
        <f>"Biénergie"</f>
        <v>Biénergie</v>
      </c>
      <c r="DS2" s="336" t="s">
        <v>718</v>
      </c>
      <c r="DT2" s="336" t="s">
        <v>5060</v>
      </c>
      <c r="DU2" s="210">
        <f>'1. Demande'!AA69</f>
        <v>0</v>
      </c>
      <c r="DV2" s="28" t="b">
        <v>0</v>
      </c>
      <c r="DW2" s="28" t="str">
        <f>IF(DU2&gt;36000,"(+ de 36TJ)","(- de 36TJ)")</f>
        <v>(- de 36TJ)</v>
      </c>
      <c r="DX2" s="28">
        <v>1</v>
      </c>
      <c r="DY2" s="28" t="str">
        <f>IF('1. Demande'!K83="","",'1. Demande'!K83)</f>
        <v/>
      </c>
      <c r="DZ2" s="28" t="str">
        <f ca="1">IF('1. Demande'!W83="","",'1. Demande'!W83*INDEX(OFFSET(Unite_Surface,,1,,),MATCH('1. Demande'!AD83,Unite_Surface,0)))</f>
        <v/>
      </c>
      <c r="EA2" s="28">
        <f ca="1">INDEX(OFFSET(Unite_Surface,,-1,,),MATCH('1. Demande'!AD83,Unite_Surface,0))</f>
        <v>2</v>
      </c>
      <c r="EB2" s="28" t="str">
        <f>IF('1. Demande'!AK83="","",'1. Demande'!AK83)</f>
        <v/>
      </c>
      <c r="EC2" s="28" t="str">
        <f>IF('1. Demande'!AQ83="","",'1. Demande'!AQ83)</f>
        <v/>
      </c>
      <c r="ED2" s="28" t="str">
        <f>IF('1. Demande'!AF74="","",'1. Demande'!AF74)</f>
        <v/>
      </c>
      <c r="EE2" s="28" t="str">
        <f>IF('1. Demande'!AO74="","",'1. Demande'!AO74)</f>
        <v/>
      </c>
      <c r="EF2" s="28" t="str">
        <f>IF('1. Demande'!I97="","",'1. Demande'!I97)</f>
        <v/>
      </c>
      <c r="EG2" s="211" t="str">
        <f>IF('1. Demande'!P99="","",'1. Demande'!P99)</f>
        <v/>
      </c>
      <c r="EH2" s="379" t="str">
        <f>IF(EI2="","",EI2+1)</f>
        <v/>
      </c>
      <c r="EI2" s="211" t="str">
        <f>IF('1. Demande'!AC99="","",'1. Demande'!AC99)</f>
        <v/>
      </c>
      <c r="EJ2" s="211" t="b">
        <f>IF(A58=TRUE,TRUE,FALSE)</f>
        <v>0</v>
      </c>
      <c r="EK2" s="212">
        <f>IF('1. Demande'!AO103=0,0,'1. Demande'!AO103)</f>
        <v>0</v>
      </c>
      <c r="EL2" t="str">
        <f>IF(EL3=TRUE,"Résidentiel","")</f>
        <v/>
      </c>
      <c r="EM2" t="str">
        <f>IF(EM3=TRUE,"Commercial","")</f>
        <v/>
      </c>
      <c r="EN2" t="str">
        <f>IF(EN3=TRUE,"Institutionnel","")</f>
        <v/>
      </c>
      <c r="EO2" t="str">
        <f>IF(EO3=TRUE,"Municipal","")</f>
        <v/>
      </c>
      <c r="EP2" t="str">
        <f>IF(EP3=TRUE,"Transport","")</f>
        <v/>
      </c>
      <c r="EQ2" t="str">
        <f>IF(EQ3=TRUE,"Industriel","")</f>
        <v/>
      </c>
      <c r="ER2" t="str">
        <f>IF(ER3=TRUE,"Agricole","")</f>
        <v/>
      </c>
      <c r="ES2" t="str">
        <f>IF(ES3=TRUE,ET2,"")</f>
        <v/>
      </c>
      <c r="ET2" s="28" t="str">
        <f>IF('1. Demande'!AN122="","",'1. Demande'!AN122)</f>
        <v/>
      </c>
      <c r="EU2" s="28" t="b">
        <v>0</v>
      </c>
      <c r="EV2" s="28" t="str">
        <f>IF(EV3=TRUE,"Bioénergie","")</f>
        <v/>
      </c>
      <c r="EW2" s="28" t="str">
        <f>IF(EW3=TRUE,"Éolienne","")</f>
        <v/>
      </c>
      <c r="EX2" s="28" t="str">
        <f>IF(EX3=TRUE,"Géothermie","")</f>
        <v/>
      </c>
      <c r="EY2" s="28" t="str">
        <f>IF(EY3=TRUE,"Hydrolienne","")</f>
        <v/>
      </c>
      <c r="EZ2" s="28" t="str">
        <f>IF(EZ3=TRUE,"Hydrogène","")</f>
        <v/>
      </c>
      <c r="FA2" s="28" t="str">
        <f>IF(FA3=TRUE,"Marémotrice","")</f>
        <v/>
      </c>
      <c r="FB2" s="28" t="str">
        <f>IF(FB3=TRUE,"Solaire","")</f>
        <v/>
      </c>
      <c r="FC2" s="28" t="str">
        <f>IF(FC3=TRUE,FD2,"")</f>
        <v/>
      </c>
      <c r="FD2" s="28" t="str">
        <f>IF('1. Demande'!AN126="","",'1. Demande'!AN126)</f>
        <v/>
      </c>
      <c r="FE2" s="28" t="b">
        <v>0</v>
      </c>
      <c r="FF2" s="28" t="str">
        <f>IF(FE3=TRUE,1,"")</f>
        <v/>
      </c>
      <c r="FG2" s="28" t="str">
        <f>IF(FF3=TRUE,3,"")</f>
        <v/>
      </c>
      <c r="FH2" s="28" t="str">
        <f>IF(FG3=TRUE,4,"")</f>
        <v/>
      </c>
      <c r="FI2" s="28" t="str">
        <f>IF(FH3=TRUE,2,"")</f>
        <v/>
      </c>
      <c r="FJ2" s="28" t="str">
        <f>IF(FI3=TRUE,5,"")</f>
        <v/>
      </c>
      <c r="FK2" s="28" t="str">
        <f>IF(FJ3=TRUE,7,"")</f>
        <v/>
      </c>
      <c r="FL2" s="28" t="str">
        <f>IF(FK3=TRUE,6,"")</f>
        <v/>
      </c>
      <c r="FM2" s="28" t="str">
        <f ca="1">IF(FL3=TRUE,IF('1. Demande'!AN130="","",INDEX(OFFSET(Énergie,,-1,,),MATCH('1. Demande'!AN130,Énergie,0))),"")</f>
        <v/>
      </c>
      <c r="FN2" s="214" t="str">
        <f ca="1">IF('1. Demande'!AN130="","",INDEX(OFFSET(Énergie,,-1,,),MATCH('1. Demande'!AN130,Énergie,0)))</f>
        <v/>
      </c>
      <c r="FO2" s="215">
        <f>'1. Demande'!AO178</f>
        <v>0</v>
      </c>
      <c r="FP2" s="211" t="str">
        <f>IF('1. Demande'!AK190="","",'1. Demande'!AK190)</f>
        <v/>
      </c>
      <c r="FQ2" s="217">
        <f>B72</f>
        <v>0</v>
      </c>
      <c r="FR2" s="217">
        <f>C72</f>
        <v>0</v>
      </c>
      <c r="FS2" s="217">
        <f>FQ2+FR2</f>
        <v>0</v>
      </c>
      <c r="FT2" s="217">
        <f>D72</f>
        <v>0</v>
      </c>
      <c r="FU2" s="217">
        <f>E72</f>
        <v>0</v>
      </c>
      <c r="FV2" s="217">
        <f>FU2+FT2</f>
        <v>0</v>
      </c>
      <c r="FW2" s="28">
        <v>1</v>
      </c>
      <c r="FX2" t="str">
        <f>IF(B63=TRUE,"8","")</f>
        <v/>
      </c>
      <c r="FY2" t="b">
        <f>B63</f>
        <v>0</v>
      </c>
    </row>
    <row r="3" spans="1:181">
      <c r="DM3" s="341"/>
      <c r="DN3" s="340"/>
      <c r="DQ3" s="28"/>
      <c r="EJ3" s="28" t="b">
        <v>0</v>
      </c>
      <c r="EL3" s="28" t="b">
        <v>0</v>
      </c>
      <c r="EM3" s="28" t="b">
        <v>0</v>
      </c>
      <c r="EN3" s="28" t="b">
        <v>0</v>
      </c>
      <c r="EO3" s="28" t="b">
        <v>0</v>
      </c>
      <c r="EP3" s="28" t="b">
        <v>0</v>
      </c>
      <c r="EQ3" s="28" t="b">
        <v>0</v>
      </c>
      <c r="ER3" s="28" t="b">
        <v>0</v>
      </c>
      <c r="ES3" s="213" t="b">
        <v>0</v>
      </c>
      <c r="ET3" s="28"/>
      <c r="EV3" s="28" t="b">
        <v>0</v>
      </c>
      <c r="EW3" s="28" t="b">
        <v>0</v>
      </c>
      <c r="EX3" s="28" t="b">
        <v>0</v>
      </c>
      <c r="EY3" s="28" t="b">
        <v>0</v>
      </c>
      <c r="EZ3" s="28" t="b">
        <v>0</v>
      </c>
      <c r="FA3" s="28" t="b">
        <v>0</v>
      </c>
      <c r="FB3" s="28" t="b">
        <v>0</v>
      </c>
      <c r="FC3" s="28" t="b">
        <v>0</v>
      </c>
      <c r="FE3" s="28" t="b">
        <v>0</v>
      </c>
      <c r="FF3" s="28" t="b">
        <v>0</v>
      </c>
      <c r="FG3" s="28" t="b">
        <v>0</v>
      </c>
      <c r="FH3" s="28" t="b">
        <v>0</v>
      </c>
      <c r="FI3" s="28" t="b">
        <v>0</v>
      </c>
      <c r="FJ3" s="28" t="b">
        <v>0</v>
      </c>
      <c r="FK3" s="28" t="b">
        <v>0</v>
      </c>
      <c r="FL3" s="28"/>
      <c r="FM3" s="28" t="b">
        <v>0</v>
      </c>
    </row>
    <row r="4" spans="1:181">
      <c r="A4" t="s">
        <v>789</v>
      </c>
      <c r="B4">
        <v>0.8</v>
      </c>
      <c r="U4" s="39" t="s">
        <v>176</v>
      </c>
      <c r="V4" s="39" t="s">
        <v>177</v>
      </c>
      <c r="DM4" s="377"/>
      <c r="DN4" s="342"/>
      <c r="FE4">
        <v>1</v>
      </c>
      <c r="FF4">
        <v>3</v>
      </c>
      <c r="FG4">
        <v>4</v>
      </c>
      <c r="FH4">
        <v>2</v>
      </c>
      <c r="FI4">
        <v>5</v>
      </c>
      <c r="FJ4">
        <v>7</v>
      </c>
      <c r="FK4">
        <v>6</v>
      </c>
    </row>
    <row r="5" spans="1:181" ht="12.75" customHeight="1">
      <c r="B5" s="28" t="b">
        <v>0</v>
      </c>
      <c r="U5" s="42"/>
      <c r="V5" s="48" t="s">
        <v>173</v>
      </c>
      <c r="Z5" t="s">
        <v>173</v>
      </c>
      <c r="AA5" t="s">
        <v>4972</v>
      </c>
    </row>
    <row r="6" spans="1:181" ht="12.75" customHeight="1">
      <c r="A6" s="39" t="s">
        <v>168</v>
      </c>
      <c r="B6" s="39" t="s">
        <v>166</v>
      </c>
      <c r="D6" t="s">
        <v>173</v>
      </c>
      <c r="E6">
        <v>0</v>
      </c>
      <c r="F6" t="s">
        <v>173</v>
      </c>
      <c r="H6">
        <v>0</v>
      </c>
      <c r="I6" t="s">
        <v>173</v>
      </c>
      <c r="J6" t="s">
        <v>669</v>
      </c>
      <c r="K6" t="s">
        <v>173</v>
      </c>
      <c r="L6">
        <v>0</v>
      </c>
      <c r="M6" t="s">
        <v>173</v>
      </c>
      <c r="P6" t="s">
        <v>62</v>
      </c>
      <c r="U6" s="41" t="s">
        <v>178</v>
      </c>
      <c r="V6" s="41" t="s">
        <v>179</v>
      </c>
      <c r="W6" t="s">
        <v>78</v>
      </c>
      <c r="X6" s="200" t="s">
        <v>79</v>
      </c>
      <c r="Z6" t="s">
        <v>4979</v>
      </c>
      <c r="AA6" s="254" t="s">
        <v>5381</v>
      </c>
      <c r="DN6" s="340"/>
    </row>
    <row r="7" spans="1:181" ht="12.75" customHeight="1">
      <c r="B7" s="43" t="s">
        <v>173</v>
      </c>
      <c r="D7" t="s">
        <v>215</v>
      </c>
      <c r="E7">
        <v>4</v>
      </c>
      <c r="F7" t="s">
        <v>224</v>
      </c>
      <c r="G7" t="s">
        <v>304</v>
      </c>
      <c r="H7">
        <v>1</v>
      </c>
      <c r="I7" t="s">
        <v>246</v>
      </c>
      <c r="J7" t="s">
        <v>659</v>
      </c>
      <c r="K7" t="s">
        <v>666</v>
      </c>
      <c r="L7">
        <v>1</v>
      </c>
      <c r="M7" t="s">
        <v>662</v>
      </c>
      <c r="P7" t="s">
        <v>63</v>
      </c>
      <c r="U7" s="200" t="s">
        <v>178</v>
      </c>
      <c r="V7" s="41" t="s">
        <v>21</v>
      </c>
      <c r="W7" t="s">
        <v>78</v>
      </c>
      <c r="X7" s="200" t="s">
        <v>64</v>
      </c>
      <c r="Z7" t="s">
        <v>4978</v>
      </c>
      <c r="AA7" s="254" t="s">
        <v>5382</v>
      </c>
    </row>
    <row r="8" spans="1:181" ht="12.75" customHeight="1">
      <c r="A8" s="40">
        <v>1</v>
      </c>
      <c r="B8" s="41" t="s">
        <v>169</v>
      </c>
      <c r="D8" t="s">
        <v>216</v>
      </c>
      <c r="E8">
        <v>4</v>
      </c>
      <c r="F8" t="s">
        <v>912</v>
      </c>
      <c r="G8" t="s">
        <v>304</v>
      </c>
      <c r="H8">
        <v>2</v>
      </c>
      <c r="I8" t="s">
        <v>840</v>
      </c>
      <c r="J8" t="s">
        <v>660</v>
      </c>
      <c r="K8" t="s">
        <v>667</v>
      </c>
      <c r="L8">
        <v>2</v>
      </c>
      <c r="M8" t="s">
        <v>663</v>
      </c>
      <c r="U8" s="41" t="s">
        <v>180</v>
      </c>
      <c r="V8" s="41" t="s">
        <v>678</v>
      </c>
      <c r="W8" t="s">
        <v>450</v>
      </c>
      <c r="X8" s="200" t="s">
        <v>80</v>
      </c>
      <c r="Z8" t="s">
        <v>4977</v>
      </c>
      <c r="AA8" s="254" t="s">
        <v>5388</v>
      </c>
    </row>
    <row r="9" spans="1:181" ht="12.75" customHeight="1">
      <c r="A9" s="40">
        <v>2</v>
      </c>
      <c r="B9" s="41" t="s">
        <v>170</v>
      </c>
      <c r="D9" t="s">
        <v>217</v>
      </c>
      <c r="E9">
        <v>3</v>
      </c>
      <c r="F9" s="254" t="s">
        <v>877</v>
      </c>
      <c r="G9" t="s">
        <v>304</v>
      </c>
      <c r="H9">
        <v>0</v>
      </c>
      <c r="I9" t="s">
        <v>254</v>
      </c>
      <c r="J9" t="s">
        <v>661</v>
      </c>
      <c r="K9" t="s">
        <v>668</v>
      </c>
      <c r="L9">
        <v>3</v>
      </c>
      <c r="M9" t="s">
        <v>20</v>
      </c>
      <c r="U9" s="41" t="s">
        <v>180</v>
      </c>
      <c r="V9" s="41" t="s">
        <v>673</v>
      </c>
      <c r="W9" t="s">
        <v>78</v>
      </c>
      <c r="X9" s="200" t="s">
        <v>79</v>
      </c>
      <c r="Z9" t="s">
        <v>4976</v>
      </c>
      <c r="AA9" s="254" t="s">
        <v>5387</v>
      </c>
      <c r="DL9" s="340" t="s">
        <v>331</v>
      </c>
      <c r="DM9" s="341" t="s">
        <v>5068</v>
      </c>
      <c r="DN9" s="340" t="s">
        <v>926</v>
      </c>
    </row>
    <row r="10" spans="1:181" ht="12.75" customHeight="1">
      <c r="E10">
        <v>4</v>
      </c>
      <c r="F10" t="s">
        <v>224</v>
      </c>
      <c r="G10" t="s">
        <v>304</v>
      </c>
      <c r="L10">
        <v>4</v>
      </c>
      <c r="M10" t="s">
        <v>664</v>
      </c>
      <c r="U10" s="200" t="s">
        <v>180</v>
      </c>
      <c r="V10" s="41" t="s">
        <v>65</v>
      </c>
      <c r="W10" t="s">
        <v>78</v>
      </c>
      <c r="X10" s="200" t="s">
        <v>64</v>
      </c>
      <c r="Z10" t="s">
        <v>4975</v>
      </c>
      <c r="AA10" s="372" t="s">
        <v>5389</v>
      </c>
      <c r="DL10" t="str">
        <f>DQ2</f>
        <v>115120150</v>
      </c>
      <c r="DM10" t="str">
        <f>IF('1. Demande'!J236="","",'1. Demande'!J236)</f>
        <v/>
      </c>
      <c r="DN10" t="str">
        <f>IF('1. Demande'!AJ65="","",'1. Demande'!AJ65)</f>
        <v/>
      </c>
    </row>
    <row r="11" spans="1:181" ht="12.75" customHeight="1">
      <c r="E11">
        <v>7</v>
      </c>
      <c r="F11" t="s">
        <v>912</v>
      </c>
      <c r="G11" t="s">
        <v>304</v>
      </c>
      <c r="L11">
        <v>5</v>
      </c>
      <c r="M11" t="s">
        <v>665</v>
      </c>
      <c r="U11" s="41" t="s">
        <v>180</v>
      </c>
      <c r="V11" s="41" t="s">
        <v>22</v>
      </c>
      <c r="W11" t="s">
        <v>449</v>
      </c>
      <c r="X11" s="200" t="s">
        <v>80</v>
      </c>
      <c r="Z11" t="s">
        <v>4974</v>
      </c>
      <c r="AA11" s="372" t="s">
        <v>5390</v>
      </c>
    </row>
    <row r="12" spans="1:181" ht="12.75" customHeight="1">
      <c r="U12" s="41" t="s">
        <v>180</v>
      </c>
      <c r="V12" s="41" t="s">
        <v>820</v>
      </c>
      <c r="W12" t="s">
        <v>449</v>
      </c>
      <c r="X12" s="200" t="s">
        <v>64</v>
      </c>
      <c r="Z12" t="s">
        <v>4973</v>
      </c>
      <c r="AA12" s="254" t="s">
        <v>5077</v>
      </c>
    </row>
    <row r="13" spans="1:181" ht="11.25" customHeight="1">
      <c r="U13" s="41" t="s">
        <v>181</v>
      </c>
      <c r="V13" s="41" t="s">
        <v>182</v>
      </c>
      <c r="W13" t="s">
        <v>78</v>
      </c>
      <c r="X13" s="200" t="s">
        <v>79</v>
      </c>
      <c r="Z13" t="s">
        <v>5070</v>
      </c>
      <c r="AA13" s="254" t="s">
        <v>5385</v>
      </c>
    </row>
    <row r="14" spans="1:181" ht="12.75" customHeight="1" thickBot="1">
      <c r="U14" s="41" t="s">
        <v>181</v>
      </c>
      <c r="V14" s="41" t="s">
        <v>67</v>
      </c>
      <c r="W14" t="s">
        <v>78</v>
      </c>
      <c r="X14" s="200" t="s">
        <v>64</v>
      </c>
      <c r="Z14" s="353" t="s">
        <v>5076</v>
      </c>
      <c r="AA14" s="354" t="s">
        <v>5386</v>
      </c>
      <c r="AB14" s="354"/>
      <c r="AC14" s="354"/>
      <c r="AD14" s="354"/>
      <c r="AE14" s="354"/>
      <c r="AF14" s="354"/>
      <c r="AG14" s="354"/>
      <c r="AH14" s="354"/>
      <c r="AI14" s="354"/>
      <c r="AJ14" s="354"/>
      <c r="AK14" s="355"/>
    </row>
    <row r="15" spans="1:181" ht="12.75" customHeight="1">
      <c r="U15" s="41" t="s">
        <v>183</v>
      </c>
      <c r="V15" s="41" t="s">
        <v>184</v>
      </c>
      <c r="W15" t="s">
        <v>78</v>
      </c>
      <c r="X15" s="200" t="s">
        <v>79</v>
      </c>
    </row>
    <row r="16" spans="1:181" ht="12.75" customHeight="1">
      <c r="G16" t="s">
        <v>173</v>
      </c>
      <c r="U16" s="41" t="s">
        <v>183</v>
      </c>
      <c r="V16" s="41" t="s">
        <v>68</v>
      </c>
      <c r="W16" t="s">
        <v>78</v>
      </c>
      <c r="X16" s="200" t="s">
        <v>64</v>
      </c>
    </row>
    <row r="17" spans="1:30" ht="12.75" customHeight="1">
      <c r="G17" t="s">
        <v>442</v>
      </c>
      <c r="U17" s="41" t="s">
        <v>190</v>
      </c>
      <c r="V17" s="41" t="s">
        <v>191</v>
      </c>
      <c r="W17" t="s">
        <v>78</v>
      </c>
      <c r="X17" s="200" t="s">
        <v>79</v>
      </c>
    </row>
    <row r="18" spans="1:30" ht="12.75" customHeight="1">
      <c r="G18" t="s">
        <v>860</v>
      </c>
      <c r="U18" s="41" t="s">
        <v>190</v>
      </c>
      <c r="V18" s="41" t="s">
        <v>69</v>
      </c>
      <c r="W18" t="s">
        <v>78</v>
      </c>
      <c r="X18" s="200" t="s">
        <v>64</v>
      </c>
    </row>
    <row r="19" spans="1:30" ht="12.75" customHeight="1">
      <c r="G19" t="s">
        <v>193</v>
      </c>
      <c r="U19" s="41" t="s">
        <v>192</v>
      </c>
      <c r="V19" s="41" t="s">
        <v>679</v>
      </c>
      <c r="W19" t="s">
        <v>450</v>
      </c>
      <c r="X19" s="200" t="s">
        <v>80</v>
      </c>
      <c r="Z19" t="s">
        <v>4986</v>
      </c>
    </row>
    <row r="20" spans="1:30" ht="12.75" customHeight="1">
      <c r="G20" t="s">
        <v>194</v>
      </c>
      <c r="U20" s="41" t="s">
        <v>192</v>
      </c>
      <c r="V20" s="41" t="s">
        <v>674</v>
      </c>
      <c r="W20" t="s">
        <v>78</v>
      </c>
      <c r="X20" s="200" t="s">
        <v>79</v>
      </c>
      <c r="Z20" s="254" t="s">
        <v>5026</v>
      </c>
    </row>
    <row r="21" spans="1:30" ht="12.75" customHeight="1">
      <c r="U21" s="41" t="s">
        <v>192</v>
      </c>
      <c r="V21" s="41" t="s">
        <v>675</v>
      </c>
      <c r="W21" t="s">
        <v>78</v>
      </c>
      <c r="X21" s="200" t="s">
        <v>79</v>
      </c>
    </row>
    <row r="22" spans="1:30" ht="12.75" customHeight="1">
      <c r="U22" s="200" t="s">
        <v>192</v>
      </c>
      <c r="V22" s="41" t="s">
        <v>66</v>
      </c>
      <c r="W22" t="s">
        <v>78</v>
      </c>
      <c r="X22" s="200" t="s">
        <v>64</v>
      </c>
    </row>
    <row r="23" spans="1:30" ht="12.75" customHeight="1">
      <c r="U23" s="41" t="s">
        <v>192</v>
      </c>
      <c r="V23" s="41" t="s">
        <v>676</v>
      </c>
      <c r="W23" t="s">
        <v>449</v>
      </c>
      <c r="X23" s="200" t="s">
        <v>80</v>
      </c>
    </row>
    <row r="24" spans="1:30" ht="12.75" customHeight="1"/>
    <row r="25" spans="1:30">
      <c r="Z25" t="s">
        <v>446</v>
      </c>
      <c r="AA25" t="s">
        <v>4983</v>
      </c>
    </row>
    <row r="26" spans="1:30">
      <c r="A26" t="s">
        <v>848</v>
      </c>
      <c r="B26" t="b">
        <v>1</v>
      </c>
      <c r="Z26" t="s">
        <v>447</v>
      </c>
      <c r="AA26" s="254" t="s">
        <v>5391</v>
      </c>
    </row>
    <row r="27" spans="1:30">
      <c r="A27" t="s">
        <v>849</v>
      </c>
      <c r="B27" t="b">
        <v>0</v>
      </c>
      <c r="Z27" s="254" t="s">
        <v>173</v>
      </c>
      <c r="AA27" s="254" t="s">
        <v>5078</v>
      </c>
    </row>
    <row r="29" spans="1:30">
      <c r="B29" t="s">
        <v>173</v>
      </c>
      <c r="L29" t="s">
        <v>173</v>
      </c>
    </row>
    <row r="30" spans="1:30">
      <c r="A30">
        <v>1</v>
      </c>
      <c r="B30" t="s">
        <v>886</v>
      </c>
      <c r="C30" t="s">
        <v>887</v>
      </c>
      <c r="F30" t="s">
        <v>173</v>
      </c>
      <c r="G30" t="s">
        <v>780</v>
      </c>
      <c r="H30" t="s">
        <v>73</v>
      </c>
      <c r="L30" t="s">
        <v>870</v>
      </c>
      <c r="AD30" t="str">
        <f>IF(E59=TRUE,"GESB",IF(E60=TRUE,"GESA",IF(F58=TRUE,"DEVB","")))</f>
        <v/>
      </c>
    </row>
    <row r="31" spans="1:30">
      <c r="A31">
        <v>2</v>
      </c>
      <c r="B31" t="s">
        <v>870</v>
      </c>
      <c r="C31" t="s">
        <v>197</v>
      </c>
      <c r="E31" s="200" t="s">
        <v>423</v>
      </c>
      <c r="F31" t="s">
        <v>23</v>
      </c>
      <c r="G31">
        <v>50</v>
      </c>
      <c r="H31" t="s">
        <v>777</v>
      </c>
      <c r="L31" t="s">
        <v>865</v>
      </c>
    </row>
    <row r="32" spans="1:30">
      <c r="A32">
        <v>3</v>
      </c>
      <c r="B32" t="s">
        <v>865</v>
      </c>
      <c r="C32" t="s">
        <v>865</v>
      </c>
      <c r="E32" s="200" t="s">
        <v>424</v>
      </c>
      <c r="F32" t="s">
        <v>75</v>
      </c>
      <c r="G32">
        <v>50</v>
      </c>
      <c r="H32" t="s">
        <v>778</v>
      </c>
      <c r="L32" t="s">
        <v>866</v>
      </c>
    </row>
    <row r="33" spans="1:12">
      <c r="A33">
        <v>4</v>
      </c>
      <c r="B33" t="s">
        <v>866</v>
      </c>
      <c r="C33" t="s">
        <v>866</v>
      </c>
      <c r="E33" s="200" t="s">
        <v>425</v>
      </c>
      <c r="F33" t="s">
        <v>856</v>
      </c>
      <c r="G33">
        <v>50</v>
      </c>
      <c r="H33" t="s">
        <v>779</v>
      </c>
      <c r="L33" t="s">
        <v>876</v>
      </c>
    </row>
    <row r="34" spans="1:12">
      <c r="A34">
        <v>5</v>
      </c>
      <c r="B34" t="s">
        <v>876</v>
      </c>
      <c r="C34" t="s">
        <v>198</v>
      </c>
      <c r="E34" s="200" t="s">
        <v>70</v>
      </c>
      <c r="F34" t="s">
        <v>24</v>
      </c>
      <c r="G34">
        <v>50</v>
      </c>
      <c r="H34" t="s">
        <v>308</v>
      </c>
      <c r="L34" t="s">
        <v>199</v>
      </c>
    </row>
    <row r="35" spans="1:12">
      <c r="A35">
        <v>6</v>
      </c>
      <c r="B35" t="s">
        <v>199</v>
      </c>
      <c r="C35" t="s">
        <v>199</v>
      </c>
      <c r="L35" t="s">
        <v>200</v>
      </c>
    </row>
    <row r="36" spans="1:12">
      <c r="A36">
        <v>7</v>
      </c>
      <c r="B36" t="s">
        <v>200</v>
      </c>
      <c r="C36" t="s">
        <v>853</v>
      </c>
      <c r="L36" t="s">
        <v>201</v>
      </c>
    </row>
    <row r="37" spans="1:12">
      <c r="A37">
        <v>8</v>
      </c>
      <c r="B37" t="s">
        <v>201</v>
      </c>
      <c r="C37" t="s">
        <v>854</v>
      </c>
      <c r="L37" t="s">
        <v>202</v>
      </c>
    </row>
    <row r="38" spans="1:12">
      <c r="A38">
        <v>9</v>
      </c>
      <c r="B38" t="s">
        <v>202</v>
      </c>
      <c r="C38" t="s">
        <v>855</v>
      </c>
      <c r="L38" t="s">
        <v>220</v>
      </c>
    </row>
    <row r="39" spans="1:12">
      <c r="A39">
        <v>10</v>
      </c>
      <c r="B39" t="s">
        <v>220</v>
      </c>
      <c r="C39" t="s">
        <v>869</v>
      </c>
      <c r="L39" t="s">
        <v>874</v>
      </c>
    </row>
    <row r="40" spans="1:12">
      <c r="A40">
        <v>11</v>
      </c>
      <c r="B40" t="s">
        <v>874</v>
      </c>
      <c r="C40" t="s">
        <v>873</v>
      </c>
      <c r="L40" t="s">
        <v>867</v>
      </c>
    </row>
    <row r="41" spans="1:12">
      <c r="A41">
        <v>12</v>
      </c>
      <c r="B41" t="s">
        <v>867</v>
      </c>
      <c r="C41" t="s">
        <v>872</v>
      </c>
      <c r="L41" t="s">
        <v>221</v>
      </c>
    </row>
    <row r="42" spans="1:12">
      <c r="A42">
        <v>13</v>
      </c>
      <c r="B42" t="s">
        <v>221</v>
      </c>
      <c r="C42" t="s">
        <v>868</v>
      </c>
      <c r="L42" t="s">
        <v>222</v>
      </c>
    </row>
    <row r="43" spans="1:12">
      <c r="A43">
        <v>14</v>
      </c>
      <c r="B43" t="s">
        <v>222</v>
      </c>
      <c r="C43" t="s">
        <v>871</v>
      </c>
      <c r="L43" t="s">
        <v>203</v>
      </c>
    </row>
    <row r="44" spans="1:12">
      <c r="A44">
        <v>15</v>
      </c>
      <c r="B44" t="s">
        <v>203</v>
      </c>
      <c r="L44" t="s">
        <v>420</v>
      </c>
    </row>
    <row r="45" spans="1:12">
      <c r="A45">
        <v>16</v>
      </c>
      <c r="B45" t="s">
        <v>420</v>
      </c>
      <c r="L45" t="s">
        <v>5519</v>
      </c>
    </row>
    <row r="46" spans="1:12">
      <c r="A46">
        <v>45</v>
      </c>
      <c r="B46" t="s">
        <v>5519</v>
      </c>
      <c r="C46" t="s">
        <v>5521</v>
      </c>
      <c r="L46" t="s">
        <v>5520</v>
      </c>
    </row>
    <row r="47" spans="1:12">
      <c r="A47">
        <v>46</v>
      </c>
      <c r="B47" t="s">
        <v>5520</v>
      </c>
      <c r="C47" t="s">
        <v>5522</v>
      </c>
    </row>
    <row r="49" spans="1:24">
      <c r="A49">
        <v>0</v>
      </c>
      <c r="B49" t="s">
        <v>173</v>
      </c>
      <c r="C49">
        <v>0</v>
      </c>
      <c r="D49">
        <v>0</v>
      </c>
      <c r="E49" t="s">
        <v>173</v>
      </c>
      <c r="F49">
        <v>0</v>
      </c>
    </row>
    <row r="50" spans="1:24">
      <c r="A50">
        <v>1</v>
      </c>
      <c r="B50" t="s">
        <v>288</v>
      </c>
      <c r="C50">
        <v>1</v>
      </c>
      <c r="D50">
        <v>1</v>
      </c>
      <c r="E50" t="s">
        <v>841</v>
      </c>
      <c r="F50">
        <v>1</v>
      </c>
    </row>
    <row r="51" spans="1:24">
      <c r="A51">
        <v>2</v>
      </c>
      <c r="B51" t="s">
        <v>632</v>
      </c>
      <c r="C51">
        <f>1/2.204624</f>
        <v>0.45359208645102295</v>
      </c>
      <c r="D51">
        <v>2</v>
      </c>
      <c r="E51" t="s">
        <v>842</v>
      </c>
      <c r="F51">
        <v>9.2903040000000006E-2</v>
      </c>
    </row>
    <row r="54" spans="1:24">
      <c r="B54" s="28" t="b">
        <v>0</v>
      </c>
      <c r="D54" s="28" t="b">
        <v>0</v>
      </c>
      <c r="E54" s="28" t="b">
        <v>0</v>
      </c>
      <c r="F54" s="28" t="b">
        <v>0</v>
      </c>
      <c r="G54" s="28" t="b">
        <v>0</v>
      </c>
    </row>
    <row r="55" spans="1:24">
      <c r="B55" s="28" t="b">
        <v>0</v>
      </c>
      <c r="D55" s="28" t="b">
        <v>0</v>
      </c>
      <c r="E55" s="28" t="b">
        <v>0</v>
      </c>
      <c r="F55" s="28" t="b">
        <v>0</v>
      </c>
      <c r="G55" s="28" t="b">
        <v>0</v>
      </c>
    </row>
    <row r="56" spans="1:24">
      <c r="B56" s="28" t="b">
        <v>0</v>
      </c>
      <c r="D56" s="28" t="b">
        <v>0</v>
      </c>
      <c r="F56" s="28" t="b">
        <v>0</v>
      </c>
      <c r="G56" s="28" t="b">
        <v>0</v>
      </c>
    </row>
    <row r="57" spans="1:24">
      <c r="A57" t="s">
        <v>223</v>
      </c>
      <c r="B57" t="s">
        <v>145</v>
      </c>
      <c r="C57" t="s">
        <v>416</v>
      </c>
      <c r="D57" t="s">
        <v>224</v>
      </c>
      <c r="E57" t="s">
        <v>225</v>
      </c>
      <c r="F57" t="s">
        <v>226</v>
      </c>
      <c r="G57" t="s">
        <v>227</v>
      </c>
      <c r="I57" s="200" t="s">
        <v>706</v>
      </c>
      <c r="J57" t="s">
        <v>223</v>
      </c>
      <c r="K57" s="200" t="s">
        <v>713</v>
      </c>
      <c r="L57" t="s">
        <v>145</v>
      </c>
      <c r="M57" s="200" t="s">
        <v>716</v>
      </c>
      <c r="N57" t="s">
        <v>416</v>
      </c>
      <c r="O57" s="200" t="s">
        <v>718</v>
      </c>
      <c r="P57" t="s">
        <v>224</v>
      </c>
      <c r="Q57" s="200" t="s">
        <v>721</v>
      </c>
      <c r="R57" t="s">
        <v>225</v>
      </c>
      <c r="S57" s="200" t="s">
        <v>724</v>
      </c>
      <c r="T57" t="s">
        <v>226</v>
      </c>
      <c r="U57" s="200" t="s">
        <v>718</v>
      </c>
      <c r="V57" t="s">
        <v>835</v>
      </c>
      <c r="W57" t="s">
        <v>764</v>
      </c>
      <c r="X57" t="s">
        <v>765</v>
      </c>
    </row>
    <row r="58" spans="1:24">
      <c r="A58" s="28" t="b">
        <v>0</v>
      </c>
      <c r="B58" s="28" t="b">
        <v>0</v>
      </c>
      <c r="C58" s="28" t="b">
        <v>0</v>
      </c>
      <c r="D58" s="28" t="b">
        <v>0</v>
      </c>
      <c r="E58" s="28" t="b">
        <v>0</v>
      </c>
      <c r="F58" s="28" t="b">
        <v>0</v>
      </c>
      <c r="G58" s="28" t="b">
        <v>0</v>
      </c>
      <c r="H58" s="28"/>
      <c r="I58" s="200" t="s">
        <v>707</v>
      </c>
      <c r="J58" t="s">
        <v>670</v>
      </c>
      <c r="K58" s="200" t="s">
        <v>714</v>
      </c>
      <c r="L58" t="s">
        <v>412</v>
      </c>
      <c r="M58" s="200" t="s">
        <v>717</v>
      </c>
      <c r="N58" t="s">
        <v>146</v>
      </c>
      <c r="O58" s="375" t="s">
        <v>5060</v>
      </c>
      <c r="P58" s="254" t="s">
        <v>5079</v>
      </c>
      <c r="Q58" s="200" t="s">
        <v>722</v>
      </c>
      <c r="R58" t="s">
        <v>850</v>
      </c>
      <c r="S58" s="200" t="s">
        <v>725</v>
      </c>
      <c r="T58" t="s">
        <v>414</v>
      </c>
      <c r="U58" s="200" t="s">
        <v>5395</v>
      </c>
      <c r="V58" s="254" t="s">
        <v>631</v>
      </c>
    </row>
    <row r="59" spans="1:24">
      <c r="A59" s="28"/>
      <c r="B59" s="28" t="b">
        <v>0</v>
      </c>
      <c r="C59" s="28"/>
      <c r="D59" s="28" t="b">
        <v>0</v>
      </c>
      <c r="E59" s="28" t="b">
        <v>0</v>
      </c>
      <c r="F59" s="28" t="b">
        <v>0</v>
      </c>
      <c r="G59" s="28" t="b">
        <v>0</v>
      </c>
      <c r="H59" s="28">
        <v>0.15</v>
      </c>
      <c r="I59" s="200" t="s">
        <v>708</v>
      </c>
      <c r="J59" t="s">
        <v>671</v>
      </c>
      <c r="K59" s="200" t="s">
        <v>306</v>
      </c>
      <c r="L59" t="s">
        <v>307</v>
      </c>
      <c r="O59" s="200" t="s">
        <v>719</v>
      </c>
      <c r="P59" t="s">
        <v>852</v>
      </c>
      <c r="Q59" s="200" t="s">
        <v>723</v>
      </c>
      <c r="R59" t="s">
        <v>415</v>
      </c>
      <c r="S59" s="200" t="s">
        <v>726</v>
      </c>
      <c r="T59" t="s">
        <v>875</v>
      </c>
      <c r="U59" s="200" t="s">
        <v>5395</v>
      </c>
      <c r="V59" t="s">
        <v>836</v>
      </c>
    </row>
    <row r="60" spans="1:24">
      <c r="A60" s="28"/>
      <c r="B60" s="28" t="b">
        <v>0</v>
      </c>
      <c r="C60" s="28"/>
      <c r="D60" s="28" t="b">
        <v>0</v>
      </c>
      <c r="E60" s="28" t="b">
        <v>0</v>
      </c>
      <c r="F60" s="28" t="b">
        <v>0</v>
      </c>
      <c r="G60" s="28" t="b">
        <v>0</v>
      </c>
      <c r="H60" s="28">
        <v>0.15</v>
      </c>
      <c r="I60" s="200" t="s">
        <v>709</v>
      </c>
      <c r="J60" t="s">
        <v>408</v>
      </c>
      <c r="K60" s="200" t="s">
        <v>305</v>
      </c>
      <c r="L60" t="s">
        <v>413</v>
      </c>
      <c r="O60" s="200" t="s">
        <v>719</v>
      </c>
      <c r="P60" t="s">
        <v>301</v>
      </c>
    </row>
    <row r="61" spans="1:24">
      <c r="A61" s="28"/>
      <c r="B61" s="28" t="b">
        <v>0</v>
      </c>
      <c r="C61" s="28"/>
      <c r="D61" s="28" t="b">
        <v>1</v>
      </c>
      <c r="E61" s="28"/>
      <c r="F61" s="28" t="b">
        <v>0</v>
      </c>
      <c r="G61" s="28" t="b">
        <v>0</v>
      </c>
      <c r="H61" s="28">
        <v>0.1</v>
      </c>
      <c r="I61" s="200" t="s">
        <v>710</v>
      </c>
      <c r="J61" t="s">
        <v>409</v>
      </c>
      <c r="K61" s="200" t="s">
        <v>715</v>
      </c>
      <c r="L61" t="s">
        <v>418</v>
      </c>
      <c r="O61" s="200" t="s">
        <v>720</v>
      </c>
      <c r="P61" t="s">
        <v>851</v>
      </c>
    </row>
    <row r="62" spans="1:24">
      <c r="B62" s="28" t="b">
        <v>0</v>
      </c>
      <c r="D62" s="28" t="b">
        <v>0</v>
      </c>
      <c r="I62" s="200" t="s">
        <v>711</v>
      </c>
      <c r="J62" t="s">
        <v>410</v>
      </c>
    </row>
    <row r="63" spans="1:24">
      <c r="B63" s="28" t="b">
        <v>0</v>
      </c>
      <c r="I63" s="200" t="s">
        <v>712</v>
      </c>
      <c r="J63" t="s">
        <v>411</v>
      </c>
      <c r="O63" s="200"/>
    </row>
    <row r="64" spans="1:24">
      <c r="B64" s="1318" t="s">
        <v>233</v>
      </c>
      <c r="C64" s="1318"/>
      <c r="D64" s="1318" t="s">
        <v>234</v>
      </c>
      <c r="E64" s="1318"/>
    </row>
    <row r="65" spans="1:32">
      <c r="B65" t="s">
        <v>207</v>
      </c>
      <c r="C65" t="s">
        <v>208</v>
      </c>
      <c r="D65" t="s">
        <v>207</v>
      </c>
      <c r="E65" t="s">
        <v>208</v>
      </c>
    </row>
    <row r="66" spans="1:32">
      <c r="A66" t="str">
        <f>'3 Rapport détaillé des coûts'!W5</f>
        <v>A. Acquisition équipement/matériel</v>
      </c>
      <c r="B66">
        <f>'3 Rapport détaillé des coûts'!X5</f>
        <v>0</v>
      </c>
      <c r="C66">
        <f>'3 Rapport détaillé des coûts'!Y5</f>
        <v>0</v>
      </c>
      <c r="D66">
        <f>'3 Rapport détaillé des coûts'!AA5</f>
        <v>0</v>
      </c>
      <c r="E66">
        <f>'3 Rapport détaillé des coûts'!AB5</f>
        <v>0</v>
      </c>
    </row>
    <row r="67" spans="1:32">
      <c r="A67" t="str">
        <f>'3 Rapport détaillé des coûts'!W6</f>
        <v>B. Ingénierie ou services professionnels</v>
      </c>
      <c r="B67">
        <f>'3 Rapport détaillé des coûts'!X6</f>
        <v>0</v>
      </c>
      <c r="C67">
        <f>'3 Rapport détaillé des coûts'!Y6</f>
        <v>0</v>
      </c>
      <c r="D67">
        <f>'3 Rapport détaillé des coûts'!AA6</f>
        <v>0</v>
      </c>
      <c r="E67">
        <f>'3 Rapport détaillé des coûts'!AB6</f>
        <v>0</v>
      </c>
    </row>
    <row r="68" spans="1:32">
      <c r="A68" t="str">
        <f>'3 Rapport détaillé des coûts'!W7</f>
        <v>C. Installation et mise en fonction</v>
      </c>
      <c r="B68">
        <f>'3 Rapport détaillé des coûts'!X7</f>
        <v>0</v>
      </c>
      <c r="C68">
        <f>'3 Rapport détaillé des coûts'!Y7</f>
        <v>0</v>
      </c>
      <c r="D68">
        <f>'3 Rapport détaillé des coûts'!AA7</f>
        <v>0</v>
      </c>
      <c r="E68">
        <f>'3 Rapport détaillé des coûts'!AB7</f>
        <v>0</v>
      </c>
    </row>
    <row r="69" spans="1:32">
      <c r="A69" t="str">
        <f>'3 Rapport détaillé des coûts'!W8</f>
        <v>D. Contingences</v>
      </c>
      <c r="B69">
        <f>'3 Rapport détaillé des coûts'!X8</f>
        <v>0</v>
      </c>
      <c r="C69">
        <f>'3 Rapport détaillé des coûts'!Y8</f>
        <v>0</v>
      </c>
      <c r="D69">
        <f>'3 Rapport détaillé des coûts'!AA8</f>
        <v>0</v>
      </c>
      <c r="E69">
        <f>'3 Rapport détaillé des coûts'!AB8</f>
        <v>0</v>
      </c>
    </row>
    <row r="70" spans="1:32">
      <c r="B70">
        <f>'3 Rapport détaillé des coûts'!X9</f>
        <v>0</v>
      </c>
      <c r="C70">
        <f>'3 Rapport détaillé des coûts'!Y9</f>
        <v>0</v>
      </c>
      <c r="D70">
        <f>'3 Rapport détaillé des coûts'!AA9</f>
        <v>0</v>
      </c>
      <c r="E70">
        <f>'3 Rapport détaillé des coûts'!AB9</f>
        <v>0</v>
      </c>
    </row>
    <row r="71" spans="1:32">
      <c r="B71">
        <f>'3 Rapport détaillé des coûts'!X10</f>
        <v>0</v>
      </c>
      <c r="C71">
        <f>'3 Rapport détaillé des coûts'!Y10</f>
        <v>0</v>
      </c>
      <c r="D71">
        <f>'3 Rapport détaillé des coûts'!AA10</f>
        <v>0</v>
      </c>
      <c r="E71">
        <f>'3 Rapport détaillé des coûts'!AB10</f>
        <v>0</v>
      </c>
    </row>
    <row r="72" spans="1:32">
      <c r="A72" t="s">
        <v>113</v>
      </c>
      <c r="B72">
        <f>SUM(B66:B71)</f>
        <v>0</v>
      </c>
      <c r="C72">
        <f>SUM(C66:C71)</f>
        <v>0</v>
      </c>
      <c r="D72">
        <f>SUM(D66:D71)</f>
        <v>0</v>
      </c>
      <c r="E72">
        <f>SUM(E66:E71)</f>
        <v>0</v>
      </c>
    </row>
    <row r="76" spans="1:32" ht="12.75" customHeight="1">
      <c r="A76" s="253" t="s">
        <v>256</v>
      </c>
      <c r="B76" s="253" t="s">
        <v>257</v>
      </c>
      <c r="C76" s="253" t="s">
        <v>258</v>
      </c>
      <c r="D76" s="253" t="s">
        <v>259</v>
      </c>
      <c r="E76" s="253" t="s">
        <v>463</v>
      </c>
      <c r="F76" s="253" t="s">
        <v>260</v>
      </c>
      <c r="G76" s="253" t="s">
        <v>261</v>
      </c>
      <c r="H76" s="253" t="s">
        <v>262</v>
      </c>
      <c r="I76" s="253" t="s">
        <v>263</v>
      </c>
      <c r="J76" s="253" t="s">
        <v>264</v>
      </c>
      <c r="K76" s="253" t="s">
        <v>265</v>
      </c>
      <c r="L76" s="253" t="s">
        <v>266</v>
      </c>
      <c r="M76" s="253" t="s">
        <v>267</v>
      </c>
      <c r="N76" s="253" t="s">
        <v>268</v>
      </c>
      <c r="O76" s="253" t="s">
        <v>269</v>
      </c>
      <c r="P76" s="253" t="s">
        <v>270</v>
      </c>
      <c r="Q76" s="253" t="s">
        <v>271</v>
      </c>
      <c r="R76" s="253" t="s">
        <v>272</v>
      </c>
      <c r="S76" s="253" t="s">
        <v>273</v>
      </c>
      <c r="T76" s="253" t="s">
        <v>274</v>
      </c>
      <c r="U76" s="253" t="s">
        <v>275</v>
      </c>
      <c r="V76" s="253" t="s">
        <v>276</v>
      </c>
      <c r="W76" s="253" t="s">
        <v>277</v>
      </c>
      <c r="X76" s="253" t="s">
        <v>278</v>
      </c>
      <c r="Z76" s="400" t="s">
        <v>342</v>
      </c>
      <c r="AA76" s="400" t="s">
        <v>343</v>
      </c>
      <c r="AB76" s="400" t="s">
        <v>106</v>
      </c>
      <c r="AC76" s="400" t="s">
        <v>344</v>
      </c>
      <c r="AD76" s="400" t="s">
        <v>345</v>
      </c>
      <c r="AE76" s="400" t="s">
        <v>346</v>
      </c>
      <c r="AF76" s="400" t="s">
        <v>5396</v>
      </c>
    </row>
    <row r="77" spans="1:32" ht="12.75" customHeight="1">
      <c r="A77" s="152">
        <v>1</v>
      </c>
      <c r="B77" s="153" t="s">
        <v>279</v>
      </c>
      <c r="C77" s="153" t="s">
        <v>107</v>
      </c>
      <c r="D77" s="250">
        <v>3.6</v>
      </c>
      <c r="E77" s="251">
        <v>2.04</v>
      </c>
      <c r="F77" s="250">
        <v>1</v>
      </c>
      <c r="G77" s="250">
        <v>3413</v>
      </c>
      <c r="H77" s="218" t="s">
        <v>464</v>
      </c>
      <c r="I77" s="218" t="s">
        <v>465</v>
      </c>
      <c r="J77" s="153"/>
      <c r="K77" s="250">
        <v>2</v>
      </c>
      <c r="L77" s="250">
        <v>2.0000000000000001E-4</v>
      </c>
      <c r="M77" s="250">
        <v>1E-4</v>
      </c>
      <c r="N77" s="251">
        <v>2.04</v>
      </c>
      <c r="O77" s="218" t="s">
        <v>661</v>
      </c>
      <c r="P77" s="251">
        <v>0</v>
      </c>
      <c r="Q77" s="218" t="s">
        <v>280</v>
      </c>
      <c r="R77" s="218" t="s">
        <v>280</v>
      </c>
      <c r="S77" s="218" t="s">
        <v>280</v>
      </c>
      <c r="T77" s="218" t="s">
        <v>280</v>
      </c>
      <c r="U77" s="218" t="s">
        <v>280</v>
      </c>
      <c r="V77" s="218" t="s">
        <v>280</v>
      </c>
      <c r="W77" s="252">
        <v>0</v>
      </c>
      <c r="X77" s="250">
        <v>0</v>
      </c>
      <c r="Y77" s="28"/>
      <c r="Z77" s="401">
        <v>135</v>
      </c>
      <c r="AA77" s="402" t="s">
        <v>403</v>
      </c>
      <c r="AB77" s="402" t="s">
        <v>288</v>
      </c>
      <c r="AC77" s="402" t="s">
        <v>797</v>
      </c>
      <c r="AD77" s="403">
        <v>2</v>
      </c>
      <c r="AE77" s="402" t="s">
        <v>5262</v>
      </c>
      <c r="AF77" s="402" t="s">
        <v>5260</v>
      </c>
    </row>
    <row r="78" spans="1:32" ht="12.75" customHeight="1">
      <c r="A78" s="152">
        <v>2</v>
      </c>
      <c r="B78" s="153" t="s">
        <v>108</v>
      </c>
      <c r="C78" s="153" t="s">
        <v>281</v>
      </c>
      <c r="D78" s="250">
        <v>37.89</v>
      </c>
      <c r="E78" s="251">
        <v>1889.32</v>
      </c>
      <c r="F78" s="250">
        <v>10.525</v>
      </c>
      <c r="G78" s="250">
        <v>35921.944000000003</v>
      </c>
      <c r="H78" s="218" t="s">
        <v>466</v>
      </c>
      <c r="I78" s="218" t="s">
        <v>467</v>
      </c>
      <c r="J78" s="153"/>
      <c r="K78" s="250">
        <v>1878</v>
      </c>
      <c r="L78" s="250">
        <v>3.6999999999999998E-2</v>
      </c>
      <c r="M78" s="250">
        <v>3.4000000000000002E-2</v>
      </c>
      <c r="N78" s="251">
        <v>1889.32</v>
      </c>
      <c r="O78" s="218" t="s">
        <v>468</v>
      </c>
      <c r="P78" s="251">
        <v>0</v>
      </c>
      <c r="Q78" s="218" t="s">
        <v>469</v>
      </c>
      <c r="R78" s="218" t="s">
        <v>470</v>
      </c>
      <c r="S78" s="218" t="s">
        <v>471</v>
      </c>
      <c r="T78" s="218" t="s">
        <v>472</v>
      </c>
      <c r="U78" s="218" t="s">
        <v>473</v>
      </c>
      <c r="V78" s="218" t="s">
        <v>474</v>
      </c>
      <c r="W78" s="252">
        <v>0.1285</v>
      </c>
      <c r="X78" s="250">
        <v>244.40789950000001</v>
      </c>
      <c r="Y78" s="28"/>
      <c r="Z78" s="401">
        <v>249</v>
      </c>
      <c r="AA78" s="402" t="s">
        <v>370</v>
      </c>
      <c r="AB78" s="402" t="s">
        <v>288</v>
      </c>
      <c r="AC78" s="402" t="s">
        <v>798</v>
      </c>
      <c r="AD78" s="403">
        <v>4660</v>
      </c>
      <c r="AE78" s="402" t="s">
        <v>5262</v>
      </c>
      <c r="AF78" s="402" t="s">
        <v>5260</v>
      </c>
    </row>
    <row r="79" spans="1:32" ht="12.75" customHeight="1">
      <c r="A79" s="152">
        <v>65</v>
      </c>
      <c r="B79" s="153" t="s">
        <v>5516</v>
      </c>
      <c r="C79" s="153" t="s">
        <v>281</v>
      </c>
      <c r="D79" s="250">
        <v>37.89</v>
      </c>
      <c r="E79" s="251">
        <v>1889.32</v>
      </c>
      <c r="F79" s="250">
        <v>10.525</v>
      </c>
      <c r="G79" s="250">
        <v>35921.944000000003</v>
      </c>
      <c r="H79" s="218" t="s">
        <v>5517</v>
      </c>
      <c r="I79" s="218" t="s">
        <v>467</v>
      </c>
      <c r="J79" s="153" t="s">
        <v>5518</v>
      </c>
      <c r="K79" s="250">
        <v>1878</v>
      </c>
      <c r="L79" s="250">
        <v>3.6999999999999998E-2</v>
      </c>
      <c r="M79" s="250">
        <v>3.4000000000000002E-2</v>
      </c>
      <c r="N79" s="251">
        <v>1889.32</v>
      </c>
      <c r="O79" s="218" t="s">
        <v>468</v>
      </c>
      <c r="P79" s="251">
        <v>0</v>
      </c>
      <c r="Q79" s="218" t="s">
        <v>469</v>
      </c>
      <c r="R79" s="218" t="s">
        <v>470</v>
      </c>
      <c r="S79" s="218" t="s">
        <v>471</v>
      </c>
      <c r="T79" s="218" t="s">
        <v>472</v>
      </c>
      <c r="U79" s="218" t="s">
        <v>473</v>
      </c>
      <c r="V79" s="218" t="s">
        <v>474</v>
      </c>
      <c r="W79" s="252">
        <v>0.1285</v>
      </c>
      <c r="X79" s="250">
        <v>244.40789950000001</v>
      </c>
      <c r="Y79" s="28"/>
      <c r="Z79" s="401">
        <v>255</v>
      </c>
      <c r="AA79" s="402" t="s">
        <v>373</v>
      </c>
      <c r="AB79" s="402" t="s">
        <v>288</v>
      </c>
      <c r="AC79" s="402" t="s">
        <v>799</v>
      </c>
      <c r="AD79" s="403">
        <v>5820</v>
      </c>
      <c r="AE79" s="402" t="s">
        <v>5262</v>
      </c>
      <c r="AF79" s="402" t="s">
        <v>5260</v>
      </c>
    </row>
    <row r="80" spans="1:32" ht="12.75" customHeight="1">
      <c r="A80" s="152">
        <v>3</v>
      </c>
      <c r="B80" s="153" t="s">
        <v>297</v>
      </c>
      <c r="C80" s="153" t="s">
        <v>282</v>
      </c>
      <c r="D80" s="250">
        <v>38.5</v>
      </c>
      <c r="E80" s="251">
        <v>2734.7359999999999</v>
      </c>
      <c r="F80" s="250">
        <v>10.69</v>
      </c>
      <c r="G80" s="250">
        <v>36500.14</v>
      </c>
      <c r="H80" s="218" t="s">
        <v>298</v>
      </c>
      <c r="I80" s="218" t="s">
        <v>475</v>
      </c>
      <c r="J80" s="153"/>
      <c r="K80" s="250">
        <v>2725</v>
      </c>
      <c r="L80" s="250">
        <v>6.0000000000000001E-3</v>
      </c>
      <c r="M80" s="250">
        <v>3.1E-2</v>
      </c>
      <c r="N80" s="251">
        <v>2734.7359999999999</v>
      </c>
      <c r="O80" s="218" t="s">
        <v>476</v>
      </c>
      <c r="P80" s="251">
        <v>1</v>
      </c>
      <c r="Q80" s="218" t="s">
        <v>280</v>
      </c>
      <c r="R80" s="218" t="s">
        <v>280</v>
      </c>
      <c r="S80" s="218" t="s">
        <v>280</v>
      </c>
      <c r="T80" s="218" t="s">
        <v>280</v>
      </c>
      <c r="U80" s="218" t="s">
        <v>280</v>
      </c>
      <c r="V80" s="218" t="s">
        <v>280</v>
      </c>
      <c r="W80" s="252">
        <v>0.107</v>
      </c>
      <c r="X80" s="250">
        <v>292.61675200000002</v>
      </c>
      <c r="Y80" s="28"/>
      <c r="Z80" s="401">
        <v>266</v>
      </c>
      <c r="AA80" s="402" t="s">
        <v>374</v>
      </c>
      <c r="AB80" s="402" t="s">
        <v>288</v>
      </c>
      <c r="AC80" s="402" t="s">
        <v>800</v>
      </c>
      <c r="AD80" s="403">
        <v>8590</v>
      </c>
      <c r="AE80" s="402" t="s">
        <v>5262</v>
      </c>
      <c r="AF80" s="402" t="s">
        <v>5260</v>
      </c>
    </row>
    <row r="81" spans="1:32" ht="12.75" customHeight="1">
      <c r="A81" s="152">
        <v>4</v>
      </c>
      <c r="B81" s="153" t="s">
        <v>71</v>
      </c>
      <c r="C81" s="153" t="s">
        <v>282</v>
      </c>
      <c r="D81" s="250">
        <v>42.5</v>
      </c>
      <c r="E81" s="251">
        <v>3146.36</v>
      </c>
      <c r="F81" s="250">
        <v>11.805555555</v>
      </c>
      <c r="G81" s="250">
        <v>40292.361109999998</v>
      </c>
      <c r="H81" s="218" t="s">
        <v>298</v>
      </c>
      <c r="I81" s="218" t="s">
        <v>475</v>
      </c>
      <c r="J81" s="153"/>
      <c r="K81" s="250">
        <v>3124</v>
      </c>
      <c r="L81" s="250">
        <v>0.12</v>
      </c>
      <c r="M81" s="250">
        <v>6.4000000000000001E-2</v>
      </c>
      <c r="N81" s="251">
        <v>3146.36</v>
      </c>
      <c r="O81" s="218" t="s">
        <v>477</v>
      </c>
      <c r="P81" s="251">
        <v>1</v>
      </c>
      <c r="Q81" s="218" t="s">
        <v>280</v>
      </c>
      <c r="R81" s="218" t="s">
        <v>280</v>
      </c>
      <c r="S81" s="218" t="s">
        <v>280</v>
      </c>
      <c r="T81" s="218" t="s">
        <v>280</v>
      </c>
      <c r="U81" s="218" t="s">
        <v>280</v>
      </c>
      <c r="V81" s="218" t="s">
        <v>280</v>
      </c>
      <c r="W81" s="252">
        <v>0.13700000000000001</v>
      </c>
      <c r="X81" s="250">
        <v>431.05131999999998</v>
      </c>
      <c r="Y81" s="28"/>
      <c r="Z81" s="401">
        <v>262</v>
      </c>
      <c r="AA81" s="402" t="s">
        <v>375</v>
      </c>
      <c r="AB81" s="402" t="s">
        <v>288</v>
      </c>
      <c r="AC81" s="402" t="s">
        <v>801</v>
      </c>
      <c r="AD81" s="403">
        <v>7670</v>
      </c>
      <c r="AE81" s="402" t="s">
        <v>5262</v>
      </c>
      <c r="AF81" s="402" t="s">
        <v>5260</v>
      </c>
    </row>
    <row r="82" spans="1:32" ht="12.75" customHeight="1">
      <c r="A82" s="152">
        <v>5</v>
      </c>
      <c r="B82" s="153" t="s">
        <v>109</v>
      </c>
      <c r="C82" s="153" t="s">
        <v>282</v>
      </c>
      <c r="D82" s="250">
        <v>25.31</v>
      </c>
      <c r="E82" s="251">
        <v>1543.9839999999999</v>
      </c>
      <c r="F82" s="250">
        <v>7.03</v>
      </c>
      <c r="G82" s="250">
        <v>23995.29</v>
      </c>
      <c r="H82" s="218" t="s">
        <v>299</v>
      </c>
      <c r="I82" s="218" t="s">
        <v>478</v>
      </c>
      <c r="J82" s="153"/>
      <c r="K82" s="250">
        <v>1510</v>
      </c>
      <c r="L82" s="250">
        <v>2.4E-2</v>
      </c>
      <c r="M82" s="250">
        <v>0.108</v>
      </c>
      <c r="N82" s="251">
        <v>1543.9839999999999</v>
      </c>
      <c r="O82" s="218" t="s">
        <v>479</v>
      </c>
      <c r="P82" s="251">
        <v>1</v>
      </c>
      <c r="Q82" s="218" t="s">
        <v>480</v>
      </c>
      <c r="R82" s="218" t="s">
        <v>481</v>
      </c>
      <c r="S82" s="218" t="s">
        <v>482</v>
      </c>
      <c r="T82" s="218" t="s">
        <v>483</v>
      </c>
      <c r="U82" s="218" t="s">
        <v>484</v>
      </c>
      <c r="V82" s="218" t="s">
        <v>485</v>
      </c>
      <c r="W82" s="252">
        <v>0.188</v>
      </c>
      <c r="X82" s="250">
        <v>290.26899200000003</v>
      </c>
      <c r="Y82" s="28"/>
      <c r="Z82" s="401">
        <v>272</v>
      </c>
      <c r="AA82" s="402" t="s">
        <v>371</v>
      </c>
      <c r="AB82" s="402" t="s">
        <v>288</v>
      </c>
      <c r="AC82" s="402" t="s">
        <v>802</v>
      </c>
      <c r="AD82" s="403">
        <v>10200</v>
      </c>
      <c r="AE82" s="402" t="s">
        <v>5262</v>
      </c>
      <c r="AF82" s="402" t="s">
        <v>5260</v>
      </c>
    </row>
    <row r="83" spans="1:32" ht="12.75" customHeight="1">
      <c r="A83" s="152">
        <v>6</v>
      </c>
      <c r="B83" s="153" t="s">
        <v>283</v>
      </c>
      <c r="C83" s="153" t="s">
        <v>282</v>
      </c>
      <c r="D83" s="250">
        <v>38.299999999999997</v>
      </c>
      <c r="E83" s="251">
        <v>2789.7930000000001</v>
      </c>
      <c r="F83" s="250">
        <v>10.64</v>
      </c>
      <c r="G83" s="250">
        <v>36310.53</v>
      </c>
      <c r="H83" s="218" t="s">
        <v>299</v>
      </c>
      <c r="I83" s="218" t="s">
        <v>486</v>
      </c>
      <c r="J83" s="153"/>
      <c r="K83" s="250">
        <v>2663</v>
      </c>
      <c r="L83" s="250">
        <v>0.13300000000000001</v>
      </c>
      <c r="M83" s="250">
        <v>0.4</v>
      </c>
      <c r="N83" s="251">
        <v>2789.7930000000001</v>
      </c>
      <c r="O83" s="218" t="s">
        <v>280</v>
      </c>
      <c r="P83" s="251">
        <v>1</v>
      </c>
      <c r="Q83" s="218" t="s">
        <v>487</v>
      </c>
      <c r="R83" s="218" t="s">
        <v>488</v>
      </c>
      <c r="S83" s="218" t="s">
        <v>489</v>
      </c>
      <c r="T83" s="218" t="s">
        <v>490</v>
      </c>
      <c r="U83" s="218" t="s">
        <v>491</v>
      </c>
      <c r="V83" s="218" t="s">
        <v>492</v>
      </c>
      <c r="W83" s="252">
        <v>0.107</v>
      </c>
      <c r="X83" s="250">
        <v>298.50785100000002</v>
      </c>
      <c r="Y83" s="28"/>
      <c r="Z83" s="401">
        <v>279</v>
      </c>
      <c r="AA83" s="402" t="s">
        <v>372</v>
      </c>
      <c r="AB83" s="402" t="s">
        <v>288</v>
      </c>
      <c r="AC83" s="402" t="s">
        <v>803</v>
      </c>
      <c r="AD83" s="403">
        <v>13900</v>
      </c>
      <c r="AE83" s="402" t="s">
        <v>5262</v>
      </c>
      <c r="AF83" s="402" t="s">
        <v>5260</v>
      </c>
    </row>
    <row r="84" spans="1:32" ht="12.75" customHeight="1">
      <c r="A84" s="152">
        <v>7</v>
      </c>
      <c r="B84" s="153" t="s">
        <v>284</v>
      </c>
      <c r="C84" s="153" t="s">
        <v>282</v>
      </c>
      <c r="D84" s="250">
        <v>34.869999999999997</v>
      </c>
      <c r="E84" s="251">
        <v>2361.1999999999998</v>
      </c>
      <c r="F84" s="250">
        <v>9.69</v>
      </c>
      <c r="G84" s="250">
        <v>33058.699999999997</v>
      </c>
      <c r="H84" s="218" t="s">
        <v>299</v>
      </c>
      <c r="I84" s="218" t="s">
        <v>493</v>
      </c>
      <c r="J84" s="153"/>
      <c r="K84" s="250">
        <v>2289</v>
      </c>
      <c r="L84" s="250">
        <v>2.7</v>
      </c>
      <c r="M84" s="250">
        <v>0.05</v>
      </c>
      <c r="N84" s="251">
        <v>2361.1999999999998</v>
      </c>
      <c r="O84" s="218" t="s">
        <v>280</v>
      </c>
      <c r="P84" s="251">
        <v>1</v>
      </c>
      <c r="Q84" s="218" t="s">
        <v>487</v>
      </c>
      <c r="R84" s="218" t="s">
        <v>488</v>
      </c>
      <c r="S84" s="218" t="s">
        <v>489</v>
      </c>
      <c r="T84" s="218" t="s">
        <v>490</v>
      </c>
      <c r="U84" s="218" t="s">
        <v>491</v>
      </c>
      <c r="V84" s="218" t="s">
        <v>492</v>
      </c>
      <c r="W84" s="252">
        <v>0.17</v>
      </c>
      <c r="X84" s="250">
        <v>401.52640000000002</v>
      </c>
      <c r="Y84" s="28"/>
      <c r="Z84" s="401">
        <v>145</v>
      </c>
      <c r="AA84" s="402" t="s">
        <v>5288</v>
      </c>
      <c r="AB84" s="402" t="s">
        <v>288</v>
      </c>
      <c r="AC84" s="402" t="s">
        <v>5289</v>
      </c>
      <c r="AD84" s="403">
        <v>16</v>
      </c>
      <c r="AE84" s="402" t="s">
        <v>5262</v>
      </c>
      <c r="AF84" s="402" t="s">
        <v>5260</v>
      </c>
    </row>
    <row r="85" spans="1:32" ht="12.75" customHeight="1">
      <c r="A85" s="152">
        <v>8</v>
      </c>
      <c r="B85" s="153" t="s">
        <v>285</v>
      </c>
      <c r="C85" s="153" t="s">
        <v>282</v>
      </c>
      <c r="D85" s="250">
        <v>33.520000000000003</v>
      </c>
      <c r="E85" s="251">
        <v>2459.5</v>
      </c>
      <c r="F85" s="250">
        <v>9.31</v>
      </c>
      <c r="G85" s="250">
        <v>31778.82</v>
      </c>
      <c r="H85" s="218" t="s">
        <v>299</v>
      </c>
      <c r="I85" s="218" t="s">
        <v>493</v>
      </c>
      <c r="J85" s="153"/>
      <c r="K85" s="250">
        <v>2342</v>
      </c>
      <c r="L85" s="250">
        <v>2.2000000000000002</v>
      </c>
      <c r="M85" s="250">
        <v>0.23</v>
      </c>
      <c r="N85" s="251">
        <v>2459.5</v>
      </c>
      <c r="O85" s="218" t="s">
        <v>280</v>
      </c>
      <c r="P85" s="251">
        <v>1</v>
      </c>
      <c r="Q85" s="218" t="s">
        <v>280</v>
      </c>
      <c r="R85" s="218" t="s">
        <v>280</v>
      </c>
      <c r="S85" s="218" t="s">
        <v>280</v>
      </c>
      <c r="T85" s="218" t="s">
        <v>280</v>
      </c>
      <c r="U85" s="218" t="s">
        <v>280</v>
      </c>
      <c r="V85" s="218" t="s">
        <v>280</v>
      </c>
      <c r="W85" s="252">
        <v>0.17</v>
      </c>
      <c r="X85" s="250">
        <v>418.11500000000001</v>
      </c>
      <c r="Y85" s="28"/>
      <c r="Z85" s="401">
        <v>144</v>
      </c>
      <c r="AA85" s="402" t="s">
        <v>5286</v>
      </c>
      <c r="AB85" s="402" t="s">
        <v>288</v>
      </c>
      <c r="AC85" s="402" t="s">
        <v>5287</v>
      </c>
      <c r="AD85" s="403">
        <v>12</v>
      </c>
      <c r="AE85" s="402" t="s">
        <v>5262</v>
      </c>
      <c r="AF85" s="402" t="s">
        <v>5260</v>
      </c>
    </row>
    <row r="86" spans="1:32" ht="12.75" customHeight="1">
      <c r="A86" s="152">
        <v>9</v>
      </c>
      <c r="B86" s="153" t="s">
        <v>300</v>
      </c>
      <c r="C86" s="153" t="s">
        <v>282</v>
      </c>
      <c r="D86" s="250">
        <v>37.4</v>
      </c>
      <c r="E86" s="251">
        <v>2606.98</v>
      </c>
      <c r="F86" s="250">
        <v>10.39</v>
      </c>
      <c r="G86" s="250">
        <v>35457.279999999999</v>
      </c>
      <c r="H86" s="218" t="s">
        <v>299</v>
      </c>
      <c r="I86" s="218" t="s">
        <v>280</v>
      </c>
      <c r="J86" s="153" t="s">
        <v>280</v>
      </c>
      <c r="K86" s="250">
        <v>2534</v>
      </c>
      <c r="L86" s="250">
        <v>0.08</v>
      </c>
      <c r="M86" s="250">
        <v>0.23</v>
      </c>
      <c r="N86" s="251">
        <v>2606.98</v>
      </c>
      <c r="O86" s="218" t="s">
        <v>280</v>
      </c>
      <c r="P86" s="251">
        <v>1</v>
      </c>
      <c r="Q86" s="218" t="s">
        <v>494</v>
      </c>
      <c r="R86" s="218" t="s">
        <v>495</v>
      </c>
      <c r="S86" s="218" t="s">
        <v>496</v>
      </c>
      <c r="T86" s="218" t="s">
        <v>497</v>
      </c>
      <c r="U86" s="218" t="s">
        <v>498</v>
      </c>
      <c r="V86" s="218" t="s">
        <v>499</v>
      </c>
      <c r="W86" s="252">
        <v>9.2999999999999999E-2</v>
      </c>
      <c r="X86" s="250">
        <v>242.44914</v>
      </c>
      <c r="Y86" s="28"/>
      <c r="Z86" s="401">
        <v>142</v>
      </c>
      <c r="AA86" s="402" t="s">
        <v>5282</v>
      </c>
      <c r="AB86" s="402" t="s">
        <v>288</v>
      </c>
      <c r="AC86" s="402" t="s">
        <v>5283</v>
      </c>
      <c r="AD86" s="403">
        <v>9</v>
      </c>
      <c r="AE86" s="402" t="s">
        <v>5262</v>
      </c>
      <c r="AF86" s="402" t="s">
        <v>5260</v>
      </c>
    </row>
    <row r="87" spans="1:32" ht="12.75" customHeight="1">
      <c r="A87" s="152">
        <v>10</v>
      </c>
      <c r="B87" s="153" t="s">
        <v>286</v>
      </c>
      <c r="C87" s="153" t="s">
        <v>282</v>
      </c>
      <c r="D87" s="250">
        <v>37.68</v>
      </c>
      <c r="E87" s="251">
        <v>2543.7359999999999</v>
      </c>
      <c r="F87" s="250">
        <v>10.469443999999999</v>
      </c>
      <c r="G87" s="250">
        <v>35722.730000000003</v>
      </c>
      <c r="H87" s="218" t="s">
        <v>299</v>
      </c>
      <c r="I87" s="218" t="s">
        <v>280</v>
      </c>
      <c r="J87" s="153" t="s">
        <v>280</v>
      </c>
      <c r="K87" s="250">
        <v>2534</v>
      </c>
      <c r="L87" s="250">
        <v>6.0000000000000001E-3</v>
      </c>
      <c r="M87" s="250">
        <v>3.1E-2</v>
      </c>
      <c r="N87" s="251">
        <v>2543.7359999999999</v>
      </c>
      <c r="O87" s="218" t="s">
        <v>280</v>
      </c>
      <c r="P87" s="251">
        <v>1</v>
      </c>
      <c r="Q87" s="218" t="s">
        <v>280</v>
      </c>
      <c r="R87" s="218" t="s">
        <v>280</v>
      </c>
      <c r="S87" s="218" t="s">
        <v>280</v>
      </c>
      <c r="T87" s="218" t="s">
        <v>280</v>
      </c>
      <c r="U87" s="218" t="s">
        <v>280</v>
      </c>
      <c r="V87" s="218" t="s">
        <v>280</v>
      </c>
      <c r="W87" s="252">
        <v>9.2999999999999999E-2</v>
      </c>
      <c r="X87" s="250">
        <v>236.56744800000001</v>
      </c>
      <c r="Y87" s="28"/>
      <c r="Z87" s="401">
        <v>130</v>
      </c>
      <c r="AA87" s="402" t="s">
        <v>5261</v>
      </c>
      <c r="AB87" s="402" t="s">
        <v>288</v>
      </c>
      <c r="AC87" s="402" t="s">
        <v>265</v>
      </c>
      <c r="AD87" s="403">
        <v>1</v>
      </c>
      <c r="AE87" s="402" t="s">
        <v>5262</v>
      </c>
      <c r="AF87" s="402" t="s">
        <v>5260</v>
      </c>
    </row>
    <row r="88" spans="1:32" ht="12.75" customHeight="1">
      <c r="A88" s="152">
        <v>11</v>
      </c>
      <c r="B88" s="153" t="s">
        <v>287</v>
      </c>
      <c r="C88" s="153" t="s">
        <v>282</v>
      </c>
      <c r="D88" s="250">
        <v>44.46</v>
      </c>
      <c r="E88" s="251">
        <v>1778.4</v>
      </c>
      <c r="F88" s="250">
        <v>12.35</v>
      </c>
      <c r="G88" s="250">
        <v>42150.55</v>
      </c>
      <c r="H88" s="218" t="s">
        <v>500</v>
      </c>
      <c r="I88" s="218" t="s">
        <v>280</v>
      </c>
      <c r="J88" s="153" t="s">
        <v>280</v>
      </c>
      <c r="K88" s="250">
        <v>1778.4</v>
      </c>
      <c r="L88" s="250" t="s">
        <v>280</v>
      </c>
      <c r="M88" s="250" t="s">
        <v>280</v>
      </c>
      <c r="N88" s="251">
        <v>1778.4</v>
      </c>
      <c r="O88" s="218" t="s">
        <v>280</v>
      </c>
      <c r="P88" s="251">
        <v>1</v>
      </c>
      <c r="Q88" s="218" t="s">
        <v>501</v>
      </c>
      <c r="R88" s="218" t="s">
        <v>502</v>
      </c>
      <c r="S88" s="218" t="s">
        <v>503</v>
      </c>
      <c r="T88" s="218" t="s">
        <v>504</v>
      </c>
      <c r="U88" s="218" t="s">
        <v>499</v>
      </c>
      <c r="V88" s="218" t="s">
        <v>505</v>
      </c>
      <c r="W88" s="252">
        <v>0.13700000000000001</v>
      </c>
      <c r="X88" s="250">
        <v>243.64080000000001</v>
      </c>
      <c r="Y88" s="28"/>
      <c r="Z88" s="401">
        <v>256</v>
      </c>
      <c r="AA88" s="402" t="s">
        <v>382</v>
      </c>
      <c r="AB88" s="402" t="s">
        <v>288</v>
      </c>
      <c r="AC88" s="402" t="s">
        <v>804</v>
      </c>
      <c r="AD88" s="403">
        <v>6290</v>
      </c>
      <c r="AE88" s="402" t="s">
        <v>5262</v>
      </c>
      <c r="AF88" s="402" t="s">
        <v>5260</v>
      </c>
    </row>
    <row r="89" spans="1:32" ht="12.75" customHeight="1">
      <c r="A89" s="152">
        <v>12</v>
      </c>
      <c r="B89" s="153" t="s">
        <v>310</v>
      </c>
      <c r="C89" s="153" t="s">
        <v>282</v>
      </c>
      <c r="D89" s="250">
        <v>36.08</v>
      </c>
      <c r="E89" s="251">
        <v>1756.88</v>
      </c>
      <c r="F89" s="250">
        <v>10.02</v>
      </c>
      <c r="G89" s="250">
        <v>34205.839999999997</v>
      </c>
      <c r="H89" s="218" t="s">
        <v>299</v>
      </c>
      <c r="I89" s="218" t="s">
        <v>280</v>
      </c>
      <c r="J89" s="153" t="s">
        <v>280</v>
      </c>
      <c r="K89" s="250">
        <v>1750</v>
      </c>
      <c r="L89" s="250" t="s">
        <v>280</v>
      </c>
      <c r="M89" s="250">
        <v>2.2200000000000001E-2</v>
      </c>
      <c r="N89" s="251">
        <v>1756.88</v>
      </c>
      <c r="O89" s="218" t="s">
        <v>280</v>
      </c>
      <c r="P89" s="251">
        <v>1</v>
      </c>
      <c r="Q89" s="218" t="s">
        <v>506</v>
      </c>
      <c r="R89" s="218" t="s">
        <v>507</v>
      </c>
      <c r="S89" s="218" t="s">
        <v>508</v>
      </c>
      <c r="T89" s="218" t="s">
        <v>509</v>
      </c>
      <c r="U89" s="218" t="s">
        <v>510</v>
      </c>
      <c r="V89" s="218" t="s">
        <v>511</v>
      </c>
      <c r="W89" s="252">
        <v>0.188</v>
      </c>
      <c r="X89" s="250">
        <v>329.00112799999999</v>
      </c>
      <c r="Y89" s="28"/>
      <c r="Z89" s="401">
        <v>155</v>
      </c>
      <c r="AA89" s="402" t="s">
        <v>5295</v>
      </c>
      <c r="AB89" s="402" t="s">
        <v>288</v>
      </c>
      <c r="AC89" s="402" t="s">
        <v>5296</v>
      </c>
      <c r="AD89" s="403">
        <v>376</v>
      </c>
      <c r="AE89" s="402" t="s">
        <v>5262</v>
      </c>
      <c r="AF89" s="402" t="s">
        <v>5260</v>
      </c>
    </row>
    <row r="90" spans="1:32" ht="12.75" customHeight="1">
      <c r="A90" s="152">
        <v>16</v>
      </c>
      <c r="B90" s="153" t="s">
        <v>289</v>
      </c>
      <c r="C90" s="153" t="s">
        <v>288</v>
      </c>
      <c r="D90" s="250">
        <v>15</v>
      </c>
      <c r="E90" s="251">
        <v>1486.83</v>
      </c>
      <c r="F90" s="250">
        <v>4.17</v>
      </c>
      <c r="G90" s="250">
        <v>14220.83</v>
      </c>
      <c r="H90" s="218" t="s">
        <v>299</v>
      </c>
      <c r="I90" s="218" t="s">
        <v>280</v>
      </c>
      <c r="J90" s="153" t="s">
        <v>280</v>
      </c>
      <c r="K90" s="250">
        <v>1480</v>
      </c>
      <c r="L90" s="250">
        <v>0.03</v>
      </c>
      <c r="M90" s="250">
        <v>0.02</v>
      </c>
      <c r="N90" s="251">
        <v>1486.83</v>
      </c>
      <c r="O90" s="218" t="s">
        <v>280</v>
      </c>
      <c r="P90" s="251">
        <v>1</v>
      </c>
      <c r="Q90" s="218" t="s">
        <v>512</v>
      </c>
      <c r="R90" s="218" t="s">
        <v>513</v>
      </c>
      <c r="S90" s="218" t="s">
        <v>514</v>
      </c>
      <c r="T90" s="218" t="s">
        <v>515</v>
      </c>
      <c r="U90" s="218" t="s">
        <v>516</v>
      </c>
      <c r="V90" s="218" t="s">
        <v>517</v>
      </c>
      <c r="W90" s="252">
        <v>0.08</v>
      </c>
      <c r="X90" s="250">
        <v>118.9464</v>
      </c>
      <c r="Y90" s="28"/>
      <c r="Z90" s="401">
        <v>211</v>
      </c>
      <c r="AA90" s="402" t="s">
        <v>5435</v>
      </c>
      <c r="AB90" s="402" t="s">
        <v>288</v>
      </c>
      <c r="AC90" s="402" t="s">
        <v>5436</v>
      </c>
      <c r="AD90" s="403">
        <v>1750</v>
      </c>
      <c r="AE90" s="402" t="s">
        <v>5262</v>
      </c>
      <c r="AF90" s="402" t="s">
        <v>5260</v>
      </c>
    </row>
    <row r="91" spans="1:32" ht="12.75" customHeight="1">
      <c r="A91" s="152">
        <v>19</v>
      </c>
      <c r="B91" s="153" t="s">
        <v>290</v>
      </c>
      <c r="C91" s="153" t="s">
        <v>282</v>
      </c>
      <c r="D91" s="250">
        <v>28.44</v>
      </c>
      <c r="E91" s="251">
        <v>1763.9839999999999</v>
      </c>
      <c r="F91" s="250">
        <v>7.9</v>
      </c>
      <c r="G91" s="250">
        <v>26962.7</v>
      </c>
      <c r="H91" s="218" t="s">
        <v>299</v>
      </c>
      <c r="I91" s="218" t="s">
        <v>280</v>
      </c>
      <c r="J91" s="153" t="s">
        <v>280</v>
      </c>
      <c r="K91" s="250">
        <v>1730</v>
      </c>
      <c r="L91" s="250">
        <v>2.4E-2</v>
      </c>
      <c r="M91" s="250">
        <v>0.108</v>
      </c>
      <c r="N91" s="251">
        <v>1763.9839999999999</v>
      </c>
      <c r="O91" s="218" t="s">
        <v>280</v>
      </c>
      <c r="P91" s="251">
        <v>1</v>
      </c>
      <c r="Q91" s="218" t="s">
        <v>280</v>
      </c>
      <c r="R91" s="218" t="s">
        <v>280</v>
      </c>
      <c r="S91" s="218" t="s">
        <v>280</v>
      </c>
      <c r="T91" s="218" t="s">
        <v>280</v>
      </c>
      <c r="U91" s="218" t="s">
        <v>280</v>
      </c>
      <c r="V91" s="218" t="s">
        <v>280</v>
      </c>
      <c r="W91" s="252">
        <v>0.188</v>
      </c>
      <c r="X91" s="250">
        <v>331.62899199999998</v>
      </c>
      <c r="Y91" s="28"/>
      <c r="Z91" s="401">
        <v>201</v>
      </c>
      <c r="AA91" s="402" t="s">
        <v>5415</v>
      </c>
      <c r="AB91" s="402" t="s">
        <v>288</v>
      </c>
      <c r="AC91" s="402" t="s">
        <v>5416</v>
      </c>
      <c r="AD91" s="403">
        <v>1470</v>
      </c>
      <c r="AE91" s="402" t="s">
        <v>5262</v>
      </c>
      <c r="AF91" s="402" t="s">
        <v>5260</v>
      </c>
    </row>
    <row r="92" spans="1:32" ht="12.75" customHeight="1">
      <c r="A92" s="152">
        <v>20</v>
      </c>
      <c r="B92" s="153" t="s">
        <v>291</v>
      </c>
      <c r="C92" s="153" t="s">
        <v>282</v>
      </c>
      <c r="D92" s="250">
        <v>17.22</v>
      </c>
      <c r="E92" s="251">
        <v>976</v>
      </c>
      <c r="F92" s="250">
        <v>4.78</v>
      </c>
      <c r="G92" s="250">
        <v>16325.52</v>
      </c>
      <c r="H92" s="218" t="s">
        <v>299</v>
      </c>
      <c r="I92" s="218" t="s">
        <v>280</v>
      </c>
      <c r="J92" s="153" t="s">
        <v>280</v>
      </c>
      <c r="K92" s="250">
        <v>976</v>
      </c>
      <c r="L92" s="250" t="s">
        <v>280</v>
      </c>
      <c r="M92" s="250" t="s">
        <v>280</v>
      </c>
      <c r="N92" s="251">
        <v>976</v>
      </c>
      <c r="O92" s="218" t="s">
        <v>280</v>
      </c>
      <c r="P92" s="251">
        <v>1</v>
      </c>
      <c r="Q92" s="218" t="s">
        <v>280</v>
      </c>
      <c r="R92" s="218" t="s">
        <v>280</v>
      </c>
      <c r="S92" s="218" t="s">
        <v>280</v>
      </c>
      <c r="T92" s="218" t="s">
        <v>280</v>
      </c>
      <c r="U92" s="218" t="s">
        <v>280</v>
      </c>
      <c r="V92" s="218" t="s">
        <v>280</v>
      </c>
      <c r="W92" s="252">
        <v>9.2999999999999999E-2</v>
      </c>
      <c r="X92" s="250">
        <v>90.768000000000001</v>
      </c>
      <c r="Y92" s="28"/>
      <c r="Z92" s="401">
        <v>148</v>
      </c>
      <c r="AA92" s="402" t="s">
        <v>376</v>
      </c>
      <c r="AB92" s="402" t="s">
        <v>288</v>
      </c>
      <c r="AC92" s="402" t="s">
        <v>805</v>
      </c>
      <c r="AD92" s="403">
        <v>79</v>
      </c>
      <c r="AE92" s="402" t="s">
        <v>5262</v>
      </c>
      <c r="AF92" s="402" t="s">
        <v>5260</v>
      </c>
    </row>
    <row r="93" spans="1:32" ht="12.75" customHeight="1">
      <c r="A93" s="152">
        <v>21</v>
      </c>
      <c r="B93" s="153" t="s">
        <v>312</v>
      </c>
      <c r="C93" s="153" t="s">
        <v>288</v>
      </c>
      <c r="D93" s="250">
        <v>28.83</v>
      </c>
      <c r="E93" s="251">
        <v>2486.83</v>
      </c>
      <c r="F93" s="250">
        <v>8.0083333329999995</v>
      </c>
      <c r="G93" s="250">
        <v>27332.44167</v>
      </c>
      <c r="H93" s="218" t="s">
        <v>518</v>
      </c>
      <c r="I93" s="218" t="s">
        <v>280</v>
      </c>
      <c r="J93" s="153" t="s">
        <v>280</v>
      </c>
      <c r="K93" s="250">
        <v>2480</v>
      </c>
      <c r="L93" s="250">
        <v>0.03</v>
      </c>
      <c r="M93" s="250">
        <v>0.02</v>
      </c>
      <c r="N93" s="251">
        <v>2486.83</v>
      </c>
      <c r="O93" s="218" t="s">
        <v>280</v>
      </c>
      <c r="P93" s="251">
        <v>1</v>
      </c>
      <c r="Q93" s="218" t="s">
        <v>519</v>
      </c>
      <c r="R93" s="218" t="s">
        <v>520</v>
      </c>
      <c r="S93" s="218" t="s">
        <v>521</v>
      </c>
      <c r="T93" s="218" t="s">
        <v>522</v>
      </c>
      <c r="U93" s="218" t="s">
        <v>523</v>
      </c>
      <c r="V93" s="218" t="s">
        <v>524</v>
      </c>
      <c r="W93" s="252">
        <v>0.08</v>
      </c>
      <c r="X93" s="250">
        <v>198.94640000000001</v>
      </c>
      <c r="Y93" s="28"/>
      <c r="Z93" s="401">
        <v>164</v>
      </c>
      <c r="AA93" s="402" t="s">
        <v>377</v>
      </c>
      <c r="AB93" s="402" t="s">
        <v>288</v>
      </c>
      <c r="AC93" s="402" t="s">
        <v>806</v>
      </c>
      <c r="AD93" s="403">
        <v>527</v>
      </c>
      <c r="AE93" s="402" t="s">
        <v>5262</v>
      </c>
      <c r="AF93" s="402" t="s">
        <v>5260</v>
      </c>
    </row>
    <row r="94" spans="1:32" ht="12.75" customHeight="1">
      <c r="A94" s="152">
        <v>22</v>
      </c>
      <c r="B94" s="153" t="s">
        <v>313</v>
      </c>
      <c r="C94" s="153" t="s">
        <v>288</v>
      </c>
      <c r="D94" s="250">
        <v>46.35</v>
      </c>
      <c r="E94" s="251">
        <v>3836.7350000000001</v>
      </c>
      <c r="F94" s="250">
        <v>12.88</v>
      </c>
      <c r="G94" s="250">
        <v>43942.38</v>
      </c>
      <c r="H94" s="218" t="s">
        <v>299</v>
      </c>
      <c r="I94" s="218" t="s">
        <v>280</v>
      </c>
      <c r="J94" s="153" t="s">
        <v>280</v>
      </c>
      <c r="K94" s="250">
        <v>3826</v>
      </c>
      <c r="L94" s="250">
        <v>0.12</v>
      </c>
      <c r="M94" s="250">
        <v>2.6499999999999999E-2</v>
      </c>
      <c r="N94" s="251">
        <v>3836.7350000000001</v>
      </c>
      <c r="O94" s="218" t="s">
        <v>280</v>
      </c>
      <c r="P94" s="251">
        <v>1</v>
      </c>
      <c r="Q94" s="218" t="s">
        <v>525</v>
      </c>
      <c r="R94" s="218" t="s">
        <v>526</v>
      </c>
      <c r="S94" s="218" t="s">
        <v>527</v>
      </c>
      <c r="T94" s="218" t="s">
        <v>528</v>
      </c>
      <c r="U94" s="218" t="s">
        <v>529</v>
      </c>
      <c r="V94" s="218" t="s">
        <v>517</v>
      </c>
      <c r="W94" s="252">
        <v>0.08</v>
      </c>
      <c r="X94" s="250">
        <v>306.93880000000001</v>
      </c>
      <c r="Y94" s="28"/>
      <c r="Z94" s="401">
        <v>174</v>
      </c>
      <c r="AA94" s="402" t="s">
        <v>378</v>
      </c>
      <c r="AB94" s="402" t="s">
        <v>288</v>
      </c>
      <c r="AC94" s="402" t="s">
        <v>807</v>
      </c>
      <c r="AD94" s="403">
        <v>782</v>
      </c>
      <c r="AE94" s="402" t="s">
        <v>5262</v>
      </c>
      <c r="AF94" s="402" t="s">
        <v>5260</v>
      </c>
    </row>
    <row r="95" spans="1:32" ht="12.75" customHeight="1">
      <c r="A95" s="152">
        <v>23</v>
      </c>
      <c r="B95" s="153" t="s">
        <v>530</v>
      </c>
      <c r="C95" s="153" t="s">
        <v>288</v>
      </c>
      <c r="D95" s="250">
        <v>27.599910999999999</v>
      </c>
      <c r="E95" s="251">
        <v>35.966000000000001</v>
      </c>
      <c r="F95" s="250">
        <v>7.6666419000000001</v>
      </c>
      <c r="G95" s="250">
        <v>26166.248</v>
      </c>
      <c r="H95" s="218" t="s">
        <v>311</v>
      </c>
      <c r="I95" s="218" t="s">
        <v>280</v>
      </c>
      <c r="J95" s="153" t="s">
        <v>280</v>
      </c>
      <c r="K95" s="250">
        <v>3190</v>
      </c>
      <c r="L95" s="250">
        <v>0.57599999999999996</v>
      </c>
      <c r="M95" s="250">
        <v>7.6999999999999999E-2</v>
      </c>
      <c r="N95" s="251">
        <v>3231.9659999999999</v>
      </c>
      <c r="O95" s="218" t="s">
        <v>280</v>
      </c>
      <c r="P95" s="251">
        <v>1</v>
      </c>
      <c r="Q95" s="218" t="s">
        <v>531</v>
      </c>
      <c r="R95" s="218" t="s">
        <v>532</v>
      </c>
      <c r="S95" s="218" t="s">
        <v>533</v>
      </c>
      <c r="T95" s="218" t="s">
        <v>534</v>
      </c>
      <c r="U95" s="218" t="s">
        <v>535</v>
      </c>
      <c r="V95" s="218" t="s">
        <v>536</v>
      </c>
      <c r="W95" s="252">
        <v>0</v>
      </c>
      <c r="X95" s="250">
        <v>0</v>
      </c>
      <c r="Y95" s="28"/>
      <c r="Z95" s="401">
        <v>219</v>
      </c>
      <c r="AA95" s="402" t="s">
        <v>379</v>
      </c>
      <c r="AB95" s="402" t="s">
        <v>288</v>
      </c>
      <c r="AC95" s="402" t="s">
        <v>808</v>
      </c>
      <c r="AD95" s="403">
        <v>1980</v>
      </c>
      <c r="AE95" s="402" t="s">
        <v>5262</v>
      </c>
      <c r="AF95" s="402" t="s">
        <v>5260</v>
      </c>
    </row>
    <row r="96" spans="1:32" ht="12.75" customHeight="1">
      <c r="A96" s="152">
        <v>26</v>
      </c>
      <c r="B96" s="153" t="s">
        <v>314</v>
      </c>
      <c r="C96" s="153" t="s">
        <v>288</v>
      </c>
      <c r="D96" s="250">
        <v>14.2</v>
      </c>
      <c r="E96" s="251">
        <v>9.2309999999999999</v>
      </c>
      <c r="F96" s="250">
        <v>3.94</v>
      </c>
      <c r="G96" s="250">
        <v>13462.39</v>
      </c>
      <c r="H96" s="218" t="s">
        <v>299</v>
      </c>
      <c r="I96" s="218" t="s">
        <v>280</v>
      </c>
      <c r="J96" s="153" t="s">
        <v>280</v>
      </c>
      <c r="K96" s="250">
        <v>1304</v>
      </c>
      <c r="L96" s="250">
        <v>4.1000000000000002E-2</v>
      </c>
      <c r="M96" s="250">
        <v>2.7E-2</v>
      </c>
      <c r="N96" s="251">
        <v>1313.23</v>
      </c>
      <c r="O96" s="218" t="s">
        <v>280</v>
      </c>
      <c r="P96" s="251">
        <v>2</v>
      </c>
      <c r="Q96" s="218" t="s">
        <v>280</v>
      </c>
      <c r="R96" s="218" t="s">
        <v>280</v>
      </c>
      <c r="S96" s="218" t="s">
        <v>280</v>
      </c>
      <c r="T96" s="218" t="s">
        <v>537</v>
      </c>
      <c r="U96" s="218" t="s">
        <v>504</v>
      </c>
      <c r="V96" s="218" t="s">
        <v>538</v>
      </c>
      <c r="W96" s="252">
        <v>0</v>
      </c>
      <c r="X96" s="250">
        <v>0</v>
      </c>
      <c r="Y96" s="28"/>
      <c r="Z96" s="401">
        <v>212</v>
      </c>
      <c r="AA96" s="402" t="s">
        <v>5437</v>
      </c>
      <c r="AB96" s="402" t="s">
        <v>288</v>
      </c>
      <c r="AC96" s="402" t="s">
        <v>5438</v>
      </c>
      <c r="AD96" s="403">
        <v>1760</v>
      </c>
      <c r="AE96" s="402" t="s">
        <v>5262</v>
      </c>
      <c r="AF96" s="402" t="s">
        <v>5260</v>
      </c>
    </row>
    <row r="97" spans="1:32" ht="12.75" customHeight="1">
      <c r="A97" s="152">
        <v>29</v>
      </c>
      <c r="B97" s="153" t="s">
        <v>292</v>
      </c>
      <c r="C97" s="153" t="s">
        <v>107</v>
      </c>
      <c r="D97" s="250">
        <v>3.6</v>
      </c>
      <c r="E97" s="251" t="s">
        <v>280</v>
      </c>
      <c r="F97" s="250">
        <v>1</v>
      </c>
      <c r="G97" s="250">
        <v>3413</v>
      </c>
      <c r="H97" s="218" t="s">
        <v>280</v>
      </c>
      <c r="I97" s="218" t="s">
        <v>280</v>
      </c>
      <c r="J97" s="153" t="s">
        <v>280</v>
      </c>
      <c r="K97" s="250" t="s">
        <v>280</v>
      </c>
      <c r="L97" s="250" t="s">
        <v>280</v>
      </c>
      <c r="M97" s="250" t="s">
        <v>280</v>
      </c>
      <c r="N97" s="251" t="s">
        <v>280</v>
      </c>
      <c r="O97" s="218" t="s">
        <v>280</v>
      </c>
      <c r="P97" s="251">
        <v>0</v>
      </c>
      <c r="Q97" s="218" t="s">
        <v>280</v>
      </c>
      <c r="R97" s="218" t="s">
        <v>280</v>
      </c>
      <c r="S97" s="218" t="s">
        <v>280</v>
      </c>
      <c r="T97" s="218" t="s">
        <v>280</v>
      </c>
      <c r="U97" s="218" t="s">
        <v>280</v>
      </c>
      <c r="V97" s="218" t="s">
        <v>280</v>
      </c>
      <c r="W97" s="252">
        <v>0</v>
      </c>
      <c r="X97" s="250">
        <v>0</v>
      </c>
      <c r="Y97" s="28"/>
      <c r="Z97" s="401">
        <v>150</v>
      </c>
      <c r="AA97" s="402" t="s">
        <v>380</v>
      </c>
      <c r="AB97" s="402" t="s">
        <v>288</v>
      </c>
      <c r="AC97" s="402" t="s">
        <v>809</v>
      </c>
      <c r="AD97" s="403">
        <v>127</v>
      </c>
      <c r="AE97" s="402" t="s">
        <v>5262</v>
      </c>
      <c r="AF97" s="402" t="s">
        <v>5260</v>
      </c>
    </row>
    <row r="98" spans="1:32" ht="12.75" customHeight="1">
      <c r="A98" s="152">
        <v>30</v>
      </c>
      <c r="B98" s="153" t="s">
        <v>293</v>
      </c>
      <c r="C98" s="153" t="s">
        <v>241</v>
      </c>
      <c r="D98" s="250">
        <v>1000</v>
      </c>
      <c r="E98" s="251">
        <v>0</v>
      </c>
      <c r="F98" s="250">
        <v>277.77777700000001</v>
      </c>
      <c r="G98" s="250">
        <v>948055.52</v>
      </c>
      <c r="H98" s="218" t="s">
        <v>280</v>
      </c>
      <c r="I98" s="218" t="s">
        <v>280</v>
      </c>
      <c r="J98" s="153" t="s">
        <v>280</v>
      </c>
      <c r="K98" s="250" t="s">
        <v>280</v>
      </c>
      <c r="L98" s="250" t="s">
        <v>280</v>
      </c>
      <c r="M98" s="250" t="s">
        <v>280</v>
      </c>
      <c r="N98" s="251" t="s">
        <v>280</v>
      </c>
      <c r="O98" s="218" t="s">
        <v>280</v>
      </c>
      <c r="P98" s="251">
        <v>0</v>
      </c>
      <c r="Q98" s="218" t="s">
        <v>280</v>
      </c>
      <c r="R98" s="218" t="s">
        <v>280</v>
      </c>
      <c r="S98" s="218" t="s">
        <v>280</v>
      </c>
      <c r="T98" s="218" t="s">
        <v>280</v>
      </c>
      <c r="U98" s="218" t="s">
        <v>280</v>
      </c>
      <c r="V98" s="218" t="s">
        <v>280</v>
      </c>
      <c r="W98" s="252">
        <v>0</v>
      </c>
      <c r="X98" s="250">
        <v>0</v>
      </c>
      <c r="Y98" s="28"/>
      <c r="Z98" s="401">
        <v>163</v>
      </c>
      <c r="AA98" s="402" t="s">
        <v>381</v>
      </c>
      <c r="AB98" s="402" t="s">
        <v>288</v>
      </c>
      <c r="AC98" s="402" t="s">
        <v>810</v>
      </c>
      <c r="AD98" s="403">
        <v>525</v>
      </c>
      <c r="AE98" s="402" t="s">
        <v>5262</v>
      </c>
      <c r="AF98" s="402" t="s">
        <v>5260</v>
      </c>
    </row>
    <row r="99" spans="1:32" ht="12.75" customHeight="1">
      <c r="A99" s="152">
        <v>31</v>
      </c>
      <c r="B99" s="153" t="s">
        <v>294</v>
      </c>
      <c r="C99" s="153" t="s">
        <v>295</v>
      </c>
      <c r="D99" s="250">
        <v>1.0547902</v>
      </c>
      <c r="E99" s="251">
        <v>0</v>
      </c>
      <c r="F99" s="250">
        <v>0.29299730000000002</v>
      </c>
      <c r="G99" s="250">
        <v>1000</v>
      </c>
      <c r="H99" s="218" t="s">
        <v>280</v>
      </c>
      <c r="I99" s="218" t="s">
        <v>280</v>
      </c>
      <c r="J99" s="153" t="s">
        <v>280</v>
      </c>
      <c r="K99" s="250" t="s">
        <v>280</v>
      </c>
      <c r="L99" s="250" t="s">
        <v>280</v>
      </c>
      <c r="M99" s="250" t="s">
        <v>280</v>
      </c>
      <c r="N99" s="251" t="s">
        <v>280</v>
      </c>
      <c r="O99" s="218" t="s">
        <v>280</v>
      </c>
      <c r="P99" s="251">
        <v>0</v>
      </c>
      <c r="Q99" s="218" t="s">
        <v>280</v>
      </c>
      <c r="R99" s="218" t="s">
        <v>280</v>
      </c>
      <c r="S99" s="218" t="s">
        <v>280</v>
      </c>
      <c r="T99" s="218" t="s">
        <v>280</v>
      </c>
      <c r="U99" s="218" t="s">
        <v>280</v>
      </c>
      <c r="V99" s="218" t="s">
        <v>280</v>
      </c>
      <c r="W99" s="252">
        <v>0</v>
      </c>
      <c r="X99" s="250">
        <v>0</v>
      </c>
      <c r="Y99" s="28"/>
      <c r="Z99" s="401">
        <v>161</v>
      </c>
      <c r="AA99" s="402" t="s">
        <v>5308</v>
      </c>
      <c r="AB99" s="402" t="s">
        <v>288</v>
      </c>
      <c r="AC99" s="402" t="s">
        <v>5309</v>
      </c>
      <c r="AD99" s="403">
        <v>491</v>
      </c>
      <c r="AE99" s="402" t="s">
        <v>5262</v>
      </c>
      <c r="AF99" s="402" t="s">
        <v>5260</v>
      </c>
    </row>
    <row r="100" spans="1:32" ht="12.75" customHeight="1">
      <c r="A100" s="152">
        <v>36</v>
      </c>
      <c r="B100" s="153" t="s">
        <v>839</v>
      </c>
      <c r="C100" s="153" t="s">
        <v>288</v>
      </c>
      <c r="D100" s="250">
        <v>19.2</v>
      </c>
      <c r="E100" s="251">
        <v>35.966000000000001</v>
      </c>
      <c r="F100" s="250">
        <v>5.33</v>
      </c>
      <c r="G100" s="250">
        <v>18202.669999999998</v>
      </c>
      <c r="H100" s="218" t="s">
        <v>299</v>
      </c>
      <c r="I100" s="218" t="s">
        <v>280</v>
      </c>
      <c r="J100" s="153">
        <v>1</v>
      </c>
      <c r="K100" s="250">
        <v>1799</v>
      </c>
      <c r="L100" s="250">
        <v>0.57599999999999996</v>
      </c>
      <c r="M100" s="250">
        <v>7.6999999999999999E-2</v>
      </c>
      <c r="N100" s="251">
        <v>1834.97</v>
      </c>
      <c r="O100" s="218" t="s">
        <v>280</v>
      </c>
      <c r="P100" s="251">
        <v>2</v>
      </c>
      <c r="Q100" s="218" t="s">
        <v>539</v>
      </c>
      <c r="R100" s="218" t="s">
        <v>540</v>
      </c>
      <c r="S100" s="218" t="s">
        <v>717</v>
      </c>
      <c r="T100" s="218" t="s">
        <v>534</v>
      </c>
      <c r="U100" s="218" t="s">
        <v>535</v>
      </c>
      <c r="V100" s="218" t="s">
        <v>536</v>
      </c>
      <c r="W100" s="252">
        <v>0</v>
      </c>
      <c r="X100" s="250">
        <v>0</v>
      </c>
      <c r="Y100" s="28"/>
      <c r="Z100" s="401">
        <v>281</v>
      </c>
      <c r="AA100" s="402" t="s">
        <v>368</v>
      </c>
      <c r="AB100" s="402" t="s">
        <v>288</v>
      </c>
      <c r="AC100" s="402" t="s">
        <v>369</v>
      </c>
      <c r="AD100" s="403">
        <v>23500</v>
      </c>
      <c r="AE100" s="402" t="s">
        <v>5262</v>
      </c>
      <c r="AF100" s="402" t="s">
        <v>5260</v>
      </c>
    </row>
    <row r="101" spans="1:32" ht="12.75" customHeight="1">
      <c r="A101">
        <v>59</v>
      </c>
      <c r="B101" t="s">
        <v>838</v>
      </c>
      <c r="C101" t="s">
        <v>288</v>
      </c>
      <c r="D101" s="28">
        <v>20</v>
      </c>
      <c r="E101" s="28">
        <v>35.966000000000001</v>
      </c>
      <c r="F101" s="28">
        <v>5.5555554999999996</v>
      </c>
      <c r="G101" s="28">
        <v>18960.955555500001</v>
      </c>
      <c r="H101" s="28" t="s">
        <v>837</v>
      </c>
      <c r="I101" s="28"/>
      <c r="J101">
        <v>1</v>
      </c>
      <c r="K101" s="28">
        <v>1799</v>
      </c>
      <c r="L101" s="28">
        <v>0.57599999999999996</v>
      </c>
      <c r="M101" s="28">
        <v>7.6999999999999999E-2</v>
      </c>
      <c r="N101" s="28">
        <v>1834.97</v>
      </c>
      <c r="O101" s="28"/>
      <c r="P101" s="28">
        <v>2</v>
      </c>
      <c r="Q101" s="28"/>
      <c r="R101" s="28"/>
      <c r="S101" s="28"/>
      <c r="T101" s="28"/>
      <c r="U101" s="28"/>
      <c r="V101" s="28"/>
      <c r="W101" s="28">
        <v>0</v>
      </c>
      <c r="X101" s="28">
        <v>0</v>
      </c>
      <c r="Y101" s="28"/>
      <c r="Z101" s="401">
        <v>240</v>
      </c>
      <c r="AA101" s="402" t="s">
        <v>811</v>
      </c>
      <c r="AB101" s="402" t="s">
        <v>288</v>
      </c>
      <c r="AC101" s="402" t="s">
        <v>5351</v>
      </c>
      <c r="AD101" s="403">
        <v>3170</v>
      </c>
      <c r="AE101" s="402" t="s">
        <v>5262</v>
      </c>
      <c r="AF101" s="402" t="s">
        <v>5260</v>
      </c>
    </row>
    <row r="102" spans="1:32" ht="12.75" customHeight="1">
      <c r="A102" s="152">
        <v>37</v>
      </c>
      <c r="B102" s="153" t="s">
        <v>315</v>
      </c>
      <c r="C102" s="153" t="s">
        <v>281</v>
      </c>
      <c r="D102" s="250">
        <v>43.24</v>
      </c>
      <c r="E102" s="251">
        <v>2146.88</v>
      </c>
      <c r="F102" s="250">
        <v>12.01</v>
      </c>
      <c r="G102" s="250">
        <v>40993.919999999998</v>
      </c>
      <c r="H102" s="218" t="s">
        <v>299</v>
      </c>
      <c r="I102" s="218" t="s">
        <v>280</v>
      </c>
      <c r="J102" s="153" t="s">
        <v>280</v>
      </c>
      <c r="K102" s="250">
        <v>2140</v>
      </c>
      <c r="L102" s="250">
        <v>0</v>
      </c>
      <c r="M102" s="250">
        <v>2.2200000000000001E-2</v>
      </c>
      <c r="N102" s="251">
        <v>2146.88</v>
      </c>
      <c r="O102" s="218" t="s">
        <v>280</v>
      </c>
      <c r="P102" s="251">
        <v>1</v>
      </c>
      <c r="Q102" s="218" t="s">
        <v>280</v>
      </c>
      <c r="R102" s="218" t="s">
        <v>280</v>
      </c>
      <c r="S102" s="218" t="s">
        <v>280</v>
      </c>
      <c r="T102" s="218" t="s">
        <v>509</v>
      </c>
      <c r="U102" s="218" t="s">
        <v>510</v>
      </c>
      <c r="V102" s="218" t="s">
        <v>511</v>
      </c>
      <c r="W102" s="252">
        <v>0.188</v>
      </c>
      <c r="X102" s="250">
        <v>329.00131599999997</v>
      </c>
      <c r="Y102" s="28"/>
      <c r="Z102" s="401">
        <v>186</v>
      </c>
      <c r="AA102" s="402" t="s">
        <v>355</v>
      </c>
      <c r="AB102" s="402" t="s">
        <v>288</v>
      </c>
      <c r="AC102" s="402" t="s">
        <v>356</v>
      </c>
      <c r="AD102" s="403">
        <v>1120</v>
      </c>
      <c r="AE102" s="402" t="s">
        <v>5262</v>
      </c>
      <c r="AF102" s="402" t="s">
        <v>5260</v>
      </c>
    </row>
    <row r="103" spans="1:32" ht="12.75" customHeight="1">
      <c r="A103" s="152">
        <v>39</v>
      </c>
      <c r="B103" s="153" t="s">
        <v>296</v>
      </c>
      <c r="C103" s="153" t="s">
        <v>288</v>
      </c>
      <c r="D103" s="250">
        <v>16.72</v>
      </c>
      <c r="E103" s="251">
        <v>714.94719999999995</v>
      </c>
      <c r="F103" s="250">
        <v>4.644444</v>
      </c>
      <c r="G103" s="250">
        <v>15851.488890000001</v>
      </c>
      <c r="H103" s="218" t="s">
        <v>541</v>
      </c>
      <c r="I103" s="218" t="s">
        <v>280</v>
      </c>
      <c r="J103" s="153" t="s">
        <v>280</v>
      </c>
      <c r="K103" s="250">
        <v>715.94719999999995</v>
      </c>
      <c r="L103" s="250">
        <v>0</v>
      </c>
      <c r="M103" s="250">
        <v>0</v>
      </c>
      <c r="N103" s="251">
        <v>714.94719999999995</v>
      </c>
      <c r="O103" s="218" t="s">
        <v>280</v>
      </c>
      <c r="P103" s="251">
        <v>1</v>
      </c>
      <c r="Q103" s="218" t="s">
        <v>280</v>
      </c>
      <c r="R103" s="218" t="s">
        <v>280</v>
      </c>
      <c r="S103" s="218" t="s">
        <v>280</v>
      </c>
      <c r="T103" s="218" t="s">
        <v>542</v>
      </c>
      <c r="U103" s="218" t="s">
        <v>280</v>
      </c>
      <c r="V103" s="218" t="s">
        <v>280</v>
      </c>
      <c r="W103" s="252">
        <v>0</v>
      </c>
      <c r="X103" s="250">
        <v>0</v>
      </c>
      <c r="Y103" s="28"/>
      <c r="Z103" s="401">
        <v>193</v>
      </c>
      <c r="AA103" s="402" t="s">
        <v>5399</v>
      </c>
      <c r="AB103" s="402" t="s">
        <v>288</v>
      </c>
      <c r="AC103" s="402" t="s">
        <v>5400</v>
      </c>
      <c r="AD103" s="403">
        <v>1300</v>
      </c>
      <c r="AE103" s="402" t="s">
        <v>5262</v>
      </c>
      <c r="AF103" s="402" t="s">
        <v>5260</v>
      </c>
    </row>
    <row r="104" spans="1:32" ht="12.75" customHeight="1">
      <c r="A104" s="152">
        <v>40</v>
      </c>
      <c r="B104" s="153" t="s">
        <v>316</v>
      </c>
      <c r="C104" s="153" t="s">
        <v>282</v>
      </c>
      <c r="D104" s="250">
        <v>39.159999999999997</v>
      </c>
      <c r="E104" s="251">
        <v>2422.36</v>
      </c>
      <c r="F104" s="250">
        <v>10.877777777777776</v>
      </c>
      <c r="G104" s="250">
        <v>37125.85555555555</v>
      </c>
      <c r="H104" s="218" t="s">
        <v>299</v>
      </c>
      <c r="I104" s="218" t="s">
        <v>280</v>
      </c>
      <c r="J104" s="153" t="s">
        <v>280</v>
      </c>
      <c r="K104" s="250">
        <v>2400</v>
      </c>
      <c r="L104" s="250">
        <v>0.12</v>
      </c>
      <c r="M104" s="250">
        <v>6.4000000000000001E-2</v>
      </c>
      <c r="N104" s="251">
        <v>2422.36</v>
      </c>
      <c r="O104" s="218" t="s">
        <v>280</v>
      </c>
      <c r="P104" s="251">
        <v>1</v>
      </c>
      <c r="Q104" s="218" t="s">
        <v>280</v>
      </c>
      <c r="R104" s="218" t="s">
        <v>280</v>
      </c>
      <c r="S104" s="218" t="s">
        <v>280</v>
      </c>
      <c r="T104" s="218" t="s">
        <v>280</v>
      </c>
      <c r="U104" s="218" t="s">
        <v>280</v>
      </c>
      <c r="V104" s="218" t="s">
        <v>280</v>
      </c>
      <c r="W104" s="252">
        <v>0</v>
      </c>
      <c r="X104" s="250">
        <v>0</v>
      </c>
      <c r="Y104" s="28"/>
      <c r="Z104" s="401">
        <v>154</v>
      </c>
      <c r="AA104" s="402" t="s">
        <v>357</v>
      </c>
      <c r="AB104" s="402" t="s">
        <v>288</v>
      </c>
      <c r="AC104" s="402" t="s">
        <v>5294</v>
      </c>
      <c r="AD104" s="403">
        <v>328</v>
      </c>
      <c r="AE104" s="402" t="s">
        <v>5262</v>
      </c>
      <c r="AF104" s="402" t="s">
        <v>5260</v>
      </c>
    </row>
    <row r="105" spans="1:32" ht="12.75" customHeight="1">
      <c r="A105" s="152">
        <v>41</v>
      </c>
      <c r="B105" s="153" t="s">
        <v>317</v>
      </c>
      <c r="C105" s="153" t="s">
        <v>282</v>
      </c>
      <c r="D105" s="250">
        <v>38.78</v>
      </c>
      <c r="E105" s="251">
        <v>2652.7360000000003</v>
      </c>
      <c r="F105" s="250">
        <v>10.772222222222222</v>
      </c>
      <c r="G105" s="250">
        <v>36765.594444444447</v>
      </c>
      <c r="H105" s="218" t="s">
        <v>543</v>
      </c>
      <c r="I105" s="218" t="s">
        <v>280</v>
      </c>
      <c r="J105" s="153" t="s">
        <v>280</v>
      </c>
      <c r="K105" s="250">
        <v>2643</v>
      </c>
      <c r="L105" s="250">
        <v>6.0000000000000001E-3</v>
      </c>
      <c r="M105" s="250">
        <v>3.1E-2</v>
      </c>
      <c r="N105" s="251">
        <v>2652.7360000000003</v>
      </c>
      <c r="O105" s="218" t="s">
        <v>280</v>
      </c>
      <c r="P105" s="251">
        <v>1</v>
      </c>
      <c r="Q105" s="218" t="s">
        <v>280</v>
      </c>
      <c r="R105" s="218" t="s">
        <v>280</v>
      </c>
      <c r="S105" s="218" t="s">
        <v>280</v>
      </c>
      <c r="T105" s="218" t="s">
        <v>280</v>
      </c>
      <c r="U105" s="218" t="s">
        <v>280</v>
      </c>
      <c r="V105" s="218" t="s">
        <v>280</v>
      </c>
      <c r="W105" s="252">
        <v>0.107</v>
      </c>
      <c r="X105" s="250">
        <v>283.84275200000002</v>
      </c>
      <c r="Y105" s="28"/>
      <c r="Z105" s="401">
        <v>251</v>
      </c>
      <c r="AA105" s="402" t="s">
        <v>358</v>
      </c>
      <c r="AB105" s="402" t="s">
        <v>288</v>
      </c>
      <c r="AC105" s="402" t="s">
        <v>5354</v>
      </c>
      <c r="AD105" s="403">
        <v>4800</v>
      </c>
      <c r="AE105" s="402" t="s">
        <v>5262</v>
      </c>
      <c r="AF105" s="402" t="s">
        <v>5260</v>
      </c>
    </row>
    <row r="106" spans="1:32" ht="12.75" customHeight="1">
      <c r="A106" s="152">
        <v>45</v>
      </c>
      <c r="B106" s="153" t="s">
        <v>318</v>
      </c>
      <c r="C106" s="153" t="s">
        <v>282</v>
      </c>
      <c r="D106" s="250">
        <v>40.57</v>
      </c>
      <c r="E106" s="251">
        <v>3503.681</v>
      </c>
      <c r="F106" s="250">
        <v>11.269444444444444</v>
      </c>
      <c r="G106" s="250">
        <v>38462.613888888889</v>
      </c>
      <c r="H106" s="218" t="s">
        <v>299</v>
      </c>
      <c r="I106" s="218" t="s">
        <v>280</v>
      </c>
      <c r="J106" s="153" t="s">
        <v>280</v>
      </c>
      <c r="K106" s="250">
        <v>3494</v>
      </c>
      <c r="L106" s="250">
        <v>0.12</v>
      </c>
      <c r="M106" s="250">
        <v>2.3099999999999999E-2</v>
      </c>
      <c r="N106" s="251">
        <v>3503.681</v>
      </c>
      <c r="O106" s="218" t="s">
        <v>280</v>
      </c>
      <c r="P106" s="251">
        <v>1</v>
      </c>
      <c r="Q106" s="218" t="s">
        <v>280</v>
      </c>
      <c r="R106" s="218" t="s">
        <v>280</v>
      </c>
      <c r="S106" s="218" t="s">
        <v>280</v>
      </c>
      <c r="T106" s="218" t="s">
        <v>280</v>
      </c>
      <c r="U106" s="218" t="s">
        <v>280</v>
      </c>
      <c r="V106" s="218" t="s">
        <v>280</v>
      </c>
      <c r="W106" s="252">
        <v>0.08</v>
      </c>
      <c r="X106" s="250">
        <v>280.29448000000002</v>
      </c>
      <c r="Y106" s="28"/>
      <c r="Z106" s="401">
        <v>151</v>
      </c>
      <c r="AA106" s="402" t="s">
        <v>359</v>
      </c>
      <c r="AB106" s="402" t="s">
        <v>288</v>
      </c>
      <c r="AC106" s="402" t="s">
        <v>5292</v>
      </c>
      <c r="AD106" s="403">
        <v>138</v>
      </c>
      <c r="AE106" s="402" t="s">
        <v>5262</v>
      </c>
      <c r="AF106" s="402" t="s">
        <v>5260</v>
      </c>
    </row>
    <row r="107" spans="1:32" ht="12.75" customHeight="1">
      <c r="A107" s="152">
        <v>46</v>
      </c>
      <c r="B107" s="153" t="s">
        <v>319</v>
      </c>
      <c r="C107" s="153" t="s">
        <v>282</v>
      </c>
      <c r="D107" s="250">
        <v>23.41</v>
      </c>
      <c r="E107" s="251">
        <v>1519</v>
      </c>
      <c r="F107" s="250">
        <v>6.5027777777777773</v>
      </c>
      <c r="G107" s="250">
        <v>22193.980555555554</v>
      </c>
      <c r="H107" s="218" t="s">
        <v>299</v>
      </c>
      <c r="I107" s="218" t="s">
        <v>280</v>
      </c>
      <c r="J107" s="153" t="s">
        <v>280</v>
      </c>
      <c r="K107" s="250">
        <v>1519</v>
      </c>
      <c r="L107" s="250">
        <v>0</v>
      </c>
      <c r="M107" s="250">
        <v>0</v>
      </c>
      <c r="N107" s="251">
        <v>1519</v>
      </c>
      <c r="O107" s="218" t="s">
        <v>280</v>
      </c>
      <c r="P107" s="251">
        <v>2</v>
      </c>
      <c r="Q107" s="218" t="s">
        <v>280</v>
      </c>
      <c r="R107" s="218" t="s">
        <v>280</v>
      </c>
      <c r="S107" s="218" t="s">
        <v>280</v>
      </c>
      <c r="T107" s="218" t="s">
        <v>280</v>
      </c>
      <c r="U107" s="218" t="s">
        <v>280</v>
      </c>
      <c r="V107" s="218" t="s">
        <v>280</v>
      </c>
      <c r="W107" s="252">
        <v>0</v>
      </c>
      <c r="X107" s="250">
        <v>0</v>
      </c>
      <c r="Y107" s="28"/>
      <c r="Z107" s="401">
        <v>139</v>
      </c>
      <c r="AA107" s="402" t="s">
        <v>404</v>
      </c>
      <c r="AB107" s="402" t="s">
        <v>288</v>
      </c>
      <c r="AC107" s="402" t="s">
        <v>5278</v>
      </c>
      <c r="AD107" s="403">
        <v>4</v>
      </c>
      <c r="AE107" s="402" t="s">
        <v>5262</v>
      </c>
      <c r="AF107" s="402" t="s">
        <v>5260</v>
      </c>
    </row>
    <row r="108" spans="1:32" ht="12.75" customHeight="1">
      <c r="A108" s="152">
        <v>47</v>
      </c>
      <c r="B108" s="153" t="s">
        <v>320</v>
      </c>
      <c r="C108" s="153" t="s">
        <v>282</v>
      </c>
      <c r="D108" s="250">
        <v>35.67</v>
      </c>
      <c r="E108" s="251">
        <v>0</v>
      </c>
      <c r="F108" s="250">
        <v>9.9083333333333332</v>
      </c>
      <c r="G108" s="250">
        <v>33817.141666666663</v>
      </c>
      <c r="H108" s="218" t="s">
        <v>299</v>
      </c>
      <c r="I108" s="218" t="s">
        <v>280</v>
      </c>
      <c r="J108" s="153" t="s">
        <v>280</v>
      </c>
      <c r="K108" s="250">
        <v>2497</v>
      </c>
      <c r="L108" s="250">
        <v>0</v>
      </c>
      <c r="M108" s="250">
        <v>0</v>
      </c>
      <c r="N108" s="251">
        <v>2497</v>
      </c>
      <c r="O108" s="218" t="s">
        <v>280</v>
      </c>
      <c r="P108" s="251">
        <v>2</v>
      </c>
      <c r="Q108" s="218" t="s">
        <v>280</v>
      </c>
      <c r="R108" s="218" t="s">
        <v>280</v>
      </c>
      <c r="S108" s="218" t="s">
        <v>280</v>
      </c>
      <c r="T108" s="218" t="s">
        <v>280</v>
      </c>
      <c r="U108" s="218" t="s">
        <v>280</v>
      </c>
      <c r="V108" s="218" t="s">
        <v>280</v>
      </c>
      <c r="W108" s="252">
        <v>0</v>
      </c>
      <c r="X108" s="250">
        <v>0</v>
      </c>
      <c r="Y108" s="28"/>
      <c r="Z108" s="401">
        <v>242</v>
      </c>
      <c r="AA108" s="402" t="s">
        <v>360</v>
      </c>
      <c r="AB108" s="402" t="s">
        <v>288</v>
      </c>
      <c r="AC108" s="402" t="s">
        <v>5352</v>
      </c>
      <c r="AD108" s="403">
        <v>3350</v>
      </c>
      <c r="AE108" s="402" t="s">
        <v>5262</v>
      </c>
      <c r="AF108" s="402" t="s">
        <v>5260</v>
      </c>
    </row>
    <row r="109" spans="1:32" ht="12.75" customHeight="1">
      <c r="A109" s="152">
        <v>48</v>
      </c>
      <c r="B109" s="153" t="s">
        <v>321</v>
      </c>
      <c r="C109" s="153" t="s">
        <v>282</v>
      </c>
      <c r="D109" s="250">
        <v>34.840000000000003</v>
      </c>
      <c r="E109" s="251">
        <v>0</v>
      </c>
      <c r="F109" s="250">
        <v>9.6777777777777789</v>
      </c>
      <c r="G109" s="250">
        <v>33030.255555555559</v>
      </c>
      <c r="H109" s="218" t="s">
        <v>299</v>
      </c>
      <c r="I109" s="218" t="s">
        <v>280</v>
      </c>
      <c r="J109" s="153" t="s">
        <v>280</v>
      </c>
      <c r="K109" s="250">
        <v>2348</v>
      </c>
      <c r="L109" s="250">
        <v>0</v>
      </c>
      <c r="M109" s="250">
        <v>0</v>
      </c>
      <c r="N109" s="251">
        <v>2348</v>
      </c>
      <c r="O109" s="218" t="s">
        <v>280</v>
      </c>
      <c r="P109" s="251">
        <v>2</v>
      </c>
      <c r="Q109" s="218" t="s">
        <v>280</v>
      </c>
      <c r="R109" s="218" t="s">
        <v>280</v>
      </c>
      <c r="S109" s="218" t="s">
        <v>280</v>
      </c>
      <c r="T109" s="218" t="s">
        <v>280</v>
      </c>
      <c r="U109" s="218" t="s">
        <v>280</v>
      </c>
      <c r="V109" s="218" t="s">
        <v>280</v>
      </c>
      <c r="W109" s="252">
        <v>0</v>
      </c>
      <c r="X109" s="250">
        <v>0</v>
      </c>
      <c r="Y109" s="28"/>
      <c r="Z109" s="401">
        <v>276</v>
      </c>
      <c r="AA109" s="402" t="s">
        <v>347</v>
      </c>
      <c r="AB109" s="402" t="s">
        <v>288</v>
      </c>
      <c r="AC109" s="402" t="s">
        <v>350</v>
      </c>
      <c r="AD109" s="403">
        <v>12400</v>
      </c>
      <c r="AE109" s="402" t="s">
        <v>5262</v>
      </c>
      <c r="AF109" s="402" t="s">
        <v>5260</v>
      </c>
    </row>
    <row r="110" spans="1:32" ht="12.75" customHeight="1">
      <c r="A110" s="152">
        <v>49</v>
      </c>
      <c r="B110" s="153" t="s">
        <v>322</v>
      </c>
      <c r="C110" s="153" t="s">
        <v>282</v>
      </c>
      <c r="D110" s="250">
        <v>33.44</v>
      </c>
      <c r="E110" s="251">
        <v>0</v>
      </c>
      <c r="F110" s="250">
        <v>9.2888888888888879</v>
      </c>
      <c r="G110" s="250">
        <v>31702.977777777774</v>
      </c>
      <c r="H110" s="218" t="s">
        <v>299</v>
      </c>
      <c r="I110" s="218" t="s">
        <v>280</v>
      </c>
      <c r="J110" s="153" t="s">
        <v>280</v>
      </c>
      <c r="K110" s="250">
        <v>2585</v>
      </c>
      <c r="L110" s="250">
        <v>0</v>
      </c>
      <c r="M110" s="250">
        <v>0</v>
      </c>
      <c r="N110" s="251">
        <v>2585</v>
      </c>
      <c r="O110" s="218" t="s">
        <v>280</v>
      </c>
      <c r="P110" s="251">
        <v>2</v>
      </c>
      <c r="Q110" s="218" t="s">
        <v>280</v>
      </c>
      <c r="R110" s="218" t="s">
        <v>280</v>
      </c>
      <c r="S110" s="218" t="s">
        <v>280</v>
      </c>
      <c r="T110" s="218" t="s">
        <v>280</v>
      </c>
      <c r="U110" s="218" t="s">
        <v>280</v>
      </c>
      <c r="V110" s="218" t="s">
        <v>280</v>
      </c>
      <c r="W110" s="252">
        <v>0</v>
      </c>
      <c r="X110" s="250">
        <v>0</v>
      </c>
      <c r="Y110" s="28"/>
      <c r="Z110" s="401">
        <v>188</v>
      </c>
      <c r="AA110" s="402" t="s">
        <v>405</v>
      </c>
      <c r="AB110" s="402" t="s">
        <v>288</v>
      </c>
      <c r="AC110" s="402" t="s">
        <v>5340</v>
      </c>
      <c r="AD110" s="403">
        <v>1210</v>
      </c>
      <c r="AE110" s="402" t="s">
        <v>5262</v>
      </c>
      <c r="AF110" s="402" t="s">
        <v>5260</v>
      </c>
    </row>
    <row r="111" spans="1:32" ht="12.75" customHeight="1">
      <c r="A111" s="152">
        <v>50</v>
      </c>
      <c r="B111" s="153" t="s">
        <v>323</v>
      </c>
      <c r="C111" s="153" t="s">
        <v>288</v>
      </c>
      <c r="D111" s="250">
        <v>29.82</v>
      </c>
      <c r="E111" s="251">
        <v>2346.83</v>
      </c>
      <c r="F111" s="250">
        <v>8.2833333333333332</v>
      </c>
      <c r="G111" s="250">
        <v>28271.016666666666</v>
      </c>
      <c r="H111" s="218" t="s">
        <v>544</v>
      </c>
      <c r="I111" s="218" t="s">
        <v>280</v>
      </c>
      <c r="J111" s="153" t="s">
        <v>280</v>
      </c>
      <c r="K111" s="250">
        <v>2340</v>
      </c>
      <c r="L111" s="250">
        <v>0.03</v>
      </c>
      <c r="M111" s="250">
        <v>0.02</v>
      </c>
      <c r="N111" s="251">
        <v>2346.83</v>
      </c>
      <c r="O111" s="218" t="s">
        <v>280</v>
      </c>
      <c r="P111" s="251">
        <v>1</v>
      </c>
      <c r="Q111" s="218" t="s">
        <v>280</v>
      </c>
      <c r="R111" s="218" t="s">
        <v>280</v>
      </c>
      <c r="S111" s="218" t="s">
        <v>280</v>
      </c>
      <c r="T111" s="218" t="s">
        <v>280</v>
      </c>
      <c r="U111" s="218" t="s">
        <v>280</v>
      </c>
      <c r="V111" s="218" t="s">
        <v>280</v>
      </c>
      <c r="W111" s="252">
        <v>0.08</v>
      </c>
      <c r="X111" s="250">
        <v>187.74639999999999</v>
      </c>
      <c r="Y111" s="28"/>
      <c r="Z111" s="401">
        <v>194</v>
      </c>
      <c r="AA111" s="402" t="s">
        <v>5401</v>
      </c>
      <c r="AB111" s="402" t="s">
        <v>288</v>
      </c>
      <c r="AC111" s="402" t="s">
        <v>5402</v>
      </c>
      <c r="AD111" s="403">
        <v>1330</v>
      </c>
      <c r="AE111" s="402" t="s">
        <v>5262</v>
      </c>
      <c r="AF111" s="402" t="s">
        <v>5260</v>
      </c>
    </row>
    <row r="112" spans="1:32" ht="12.75" customHeight="1">
      <c r="A112" s="152">
        <v>51</v>
      </c>
      <c r="B112" s="153" t="s">
        <v>324</v>
      </c>
      <c r="C112" s="153" t="s">
        <v>288</v>
      </c>
      <c r="D112" s="250">
        <v>11.57</v>
      </c>
      <c r="E112" s="251">
        <v>21.642099999999999</v>
      </c>
      <c r="F112" s="250">
        <v>3.213888888888889</v>
      </c>
      <c r="G112" s="250">
        <v>10969.002777777778</v>
      </c>
      <c r="H112" s="218" t="s">
        <v>325</v>
      </c>
      <c r="I112" s="218" t="s">
        <v>280</v>
      </c>
      <c r="J112" s="153" t="s">
        <v>280</v>
      </c>
      <c r="K112" s="250">
        <v>990.39200000000005</v>
      </c>
      <c r="L112" s="250">
        <v>0.34710000000000002</v>
      </c>
      <c r="M112" s="250">
        <v>4.6280000000000002E-2</v>
      </c>
      <c r="N112" s="251">
        <v>1012.034</v>
      </c>
      <c r="O112" s="218" t="s">
        <v>280</v>
      </c>
      <c r="P112" s="251">
        <v>2</v>
      </c>
      <c r="Q112" s="218" t="s">
        <v>280</v>
      </c>
      <c r="R112" s="218" t="s">
        <v>280</v>
      </c>
      <c r="S112" s="218" t="s">
        <v>280</v>
      </c>
      <c r="T112" s="218" t="s">
        <v>280</v>
      </c>
      <c r="U112" s="218" t="s">
        <v>280</v>
      </c>
      <c r="V112" s="218" t="s">
        <v>280</v>
      </c>
      <c r="W112" s="252">
        <v>0</v>
      </c>
      <c r="X112" s="250">
        <v>0</v>
      </c>
      <c r="Y112" s="28"/>
      <c r="Z112" s="401">
        <v>264</v>
      </c>
      <c r="AA112" s="402" t="s">
        <v>361</v>
      </c>
      <c r="AB112" s="402" t="s">
        <v>288</v>
      </c>
      <c r="AC112" s="402" t="s">
        <v>5363</v>
      </c>
      <c r="AD112" s="403">
        <v>8060</v>
      </c>
      <c r="AE112" s="402" t="s">
        <v>5262</v>
      </c>
      <c r="AF112" s="402" t="s">
        <v>5260</v>
      </c>
    </row>
    <row r="113" spans="1:32" ht="12.75" customHeight="1">
      <c r="A113" s="152">
        <v>52</v>
      </c>
      <c r="B113" s="153" t="s">
        <v>326</v>
      </c>
      <c r="C113" s="153" t="s">
        <v>288</v>
      </c>
      <c r="D113" s="250">
        <v>9.3000000000000007</v>
      </c>
      <c r="E113" s="251">
        <v>4.5198</v>
      </c>
      <c r="F113" s="250">
        <v>2.5833333333333335</v>
      </c>
      <c r="G113" s="250">
        <v>8816.9166666666679</v>
      </c>
      <c r="H113" s="218" t="s">
        <v>327</v>
      </c>
      <c r="I113" s="218" t="s">
        <v>280</v>
      </c>
      <c r="J113" s="153">
        <v>1</v>
      </c>
      <c r="K113" s="250">
        <v>957.9</v>
      </c>
      <c r="L113" s="250">
        <v>8.9999999999999993E-3</v>
      </c>
      <c r="M113" s="250">
        <v>1.3950000000000001E-2</v>
      </c>
      <c r="N113" s="251">
        <v>962.41980000000001</v>
      </c>
      <c r="O113" s="218" t="s">
        <v>280</v>
      </c>
      <c r="P113" s="251">
        <v>2</v>
      </c>
      <c r="Q113" s="218" t="s">
        <v>280</v>
      </c>
      <c r="R113" s="218" t="s">
        <v>280</v>
      </c>
      <c r="S113" s="218" t="s">
        <v>280</v>
      </c>
      <c r="T113" s="218" t="s">
        <v>280</v>
      </c>
      <c r="U113" s="218" t="s">
        <v>280</v>
      </c>
      <c r="V113" s="218" t="s">
        <v>280</v>
      </c>
      <c r="W113" s="252">
        <v>0</v>
      </c>
      <c r="X113" s="250">
        <v>0</v>
      </c>
      <c r="Y113" s="28"/>
      <c r="Z113" s="401">
        <v>172</v>
      </c>
      <c r="AA113" s="402" t="s">
        <v>362</v>
      </c>
      <c r="AB113" s="402" t="s">
        <v>288</v>
      </c>
      <c r="AC113" s="402" t="s">
        <v>5322</v>
      </c>
      <c r="AD113" s="403">
        <v>716</v>
      </c>
      <c r="AE113" s="402" t="s">
        <v>5262</v>
      </c>
      <c r="AF113" s="402" t="s">
        <v>5260</v>
      </c>
    </row>
    <row r="114" spans="1:32" ht="12.75" customHeight="1">
      <c r="A114" s="152">
        <v>53</v>
      </c>
      <c r="B114" s="153" t="s">
        <v>328</v>
      </c>
      <c r="C114" s="153" t="s">
        <v>288</v>
      </c>
      <c r="D114" s="250">
        <v>31.18</v>
      </c>
      <c r="E114" s="251">
        <v>2650</v>
      </c>
      <c r="F114" s="250">
        <v>8.6611111111111114</v>
      </c>
      <c r="G114" s="250">
        <v>29560.372222222224</v>
      </c>
      <c r="H114" s="218" t="s">
        <v>299</v>
      </c>
      <c r="I114" s="218" t="s">
        <v>280</v>
      </c>
      <c r="J114" s="153" t="s">
        <v>280</v>
      </c>
      <c r="K114" s="250">
        <v>2650</v>
      </c>
      <c r="L114" s="250">
        <v>0</v>
      </c>
      <c r="M114" s="250">
        <v>0</v>
      </c>
      <c r="N114" s="251">
        <v>2650</v>
      </c>
      <c r="O114" s="218" t="s">
        <v>280</v>
      </c>
      <c r="P114" s="251">
        <v>1</v>
      </c>
      <c r="Q114" s="218" t="s">
        <v>280</v>
      </c>
      <c r="R114" s="218" t="s">
        <v>280</v>
      </c>
      <c r="S114" s="218" t="s">
        <v>280</v>
      </c>
      <c r="T114" s="218" t="s">
        <v>280</v>
      </c>
      <c r="U114" s="218" t="s">
        <v>280</v>
      </c>
      <c r="V114" s="218" t="s">
        <v>280</v>
      </c>
      <c r="W114" s="252">
        <v>0</v>
      </c>
      <c r="X114" s="250">
        <v>0</v>
      </c>
      <c r="Y114" s="28"/>
      <c r="Z114" s="401">
        <v>179</v>
      </c>
      <c r="AA114" s="402" t="s">
        <v>406</v>
      </c>
      <c r="AB114" s="402" t="s">
        <v>288</v>
      </c>
      <c r="AC114" s="402" t="s">
        <v>5332</v>
      </c>
      <c r="AD114" s="403">
        <v>858</v>
      </c>
      <c r="AE114" s="402" t="s">
        <v>5262</v>
      </c>
      <c r="AF114" s="402" t="s">
        <v>5260</v>
      </c>
    </row>
    <row r="115" spans="1:32" ht="12.75" customHeight="1">
      <c r="A115" s="152">
        <v>54</v>
      </c>
      <c r="B115" s="153" t="s">
        <v>329</v>
      </c>
      <c r="C115" s="153" t="s">
        <v>288</v>
      </c>
      <c r="D115" s="250">
        <v>9.59</v>
      </c>
      <c r="E115" s="251">
        <v>0</v>
      </c>
      <c r="F115" s="250">
        <v>2.6638888888888888</v>
      </c>
      <c r="G115" s="250">
        <v>9091.8527777777781</v>
      </c>
      <c r="H115" s="218" t="s">
        <v>299</v>
      </c>
      <c r="I115" s="218" t="s">
        <v>280</v>
      </c>
      <c r="J115" s="153">
        <v>1</v>
      </c>
      <c r="K115" s="250">
        <v>1074</v>
      </c>
      <c r="L115" s="250">
        <v>0</v>
      </c>
      <c r="M115" s="250">
        <v>0</v>
      </c>
      <c r="N115" s="251">
        <v>1074</v>
      </c>
      <c r="O115" s="218" t="s">
        <v>280</v>
      </c>
      <c r="P115" s="251">
        <v>2</v>
      </c>
      <c r="Q115" s="218" t="s">
        <v>280</v>
      </c>
      <c r="R115" s="218" t="s">
        <v>280</v>
      </c>
      <c r="S115" s="218" t="s">
        <v>280</v>
      </c>
      <c r="T115" s="218" t="s">
        <v>280</v>
      </c>
      <c r="U115" s="218" t="s">
        <v>280</v>
      </c>
      <c r="V115" s="218" t="s">
        <v>280</v>
      </c>
      <c r="W115" s="252">
        <v>0</v>
      </c>
      <c r="X115" s="250">
        <v>0</v>
      </c>
      <c r="Y115" s="28"/>
      <c r="Z115" s="401">
        <v>180</v>
      </c>
      <c r="AA115" s="402" t="s">
        <v>406</v>
      </c>
      <c r="AB115" s="402" t="s">
        <v>288</v>
      </c>
      <c r="AC115" s="402" t="s">
        <v>5333</v>
      </c>
      <c r="AD115" s="403">
        <v>858</v>
      </c>
      <c r="AE115" s="402" t="s">
        <v>5262</v>
      </c>
      <c r="AF115" s="402" t="s">
        <v>5260</v>
      </c>
    </row>
    <row r="116" spans="1:32" ht="12.75" customHeight="1">
      <c r="A116" s="152">
        <v>55</v>
      </c>
      <c r="B116" s="153" t="s">
        <v>338</v>
      </c>
      <c r="C116" s="153" t="s">
        <v>288</v>
      </c>
      <c r="D116" s="250">
        <v>30.03</v>
      </c>
      <c r="E116" s="251">
        <v>0</v>
      </c>
      <c r="F116" s="250">
        <v>8.4166666666666661</v>
      </c>
      <c r="G116" s="250">
        <v>28726.083333333332</v>
      </c>
      <c r="H116" s="218" t="s">
        <v>299</v>
      </c>
      <c r="I116" s="218" t="s">
        <v>280</v>
      </c>
      <c r="J116" s="153">
        <v>1</v>
      </c>
      <c r="K116" s="250">
        <v>3000</v>
      </c>
      <c r="L116" s="250">
        <v>0</v>
      </c>
      <c r="M116" s="250">
        <v>0</v>
      </c>
      <c r="N116" s="251">
        <v>3000</v>
      </c>
      <c r="O116" s="218" t="s">
        <v>280</v>
      </c>
      <c r="P116" s="251">
        <v>2</v>
      </c>
      <c r="Q116" s="218" t="s">
        <v>280</v>
      </c>
      <c r="R116" s="218" t="s">
        <v>280</v>
      </c>
      <c r="S116" s="218" t="s">
        <v>280</v>
      </c>
      <c r="T116" s="218" t="s">
        <v>280</v>
      </c>
      <c r="U116" s="218" t="s">
        <v>280</v>
      </c>
      <c r="V116" s="218" t="s">
        <v>280</v>
      </c>
      <c r="W116" s="252">
        <v>0</v>
      </c>
      <c r="X116" s="250">
        <v>0</v>
      </c>
      <c r="Y116" s="28"/>
      <c r="Z116" s="401">
        <v>171</v>
      </c>
      <c r="AA116" s="402" t="s">
        <v>351</v>
      </c>
      <c r="AB116" s="402" t="s">
        <v>288</v>
      </c>
      <c r="AC116" s="402" t="s">
        <v>352</v>
      </c>
      <c r="AD116" s="403">
        <v>677</v>
      </c>
      <c r="AE116" s="402" t="s">
        <v>5262</v>
      </c>
      <c r="AF116" s="402" t="s">
        <v>5260</v>
      </c>
    </row>
    <row r="117" spans="1:32" ht="12.75" customHeight="1">
      <c r="A117" s="152">
        <v>56</v>
      </c>
      <c r="B117" s="153" t="s">
        <v>339</v>
      </c>
      <c r="C117" s="153" t="s">
        <v>281</v>
      </c>
      <c r="D117" s="250">
        <v>19.14</v>
      </c>
      <c r="E117" s="251">
        <v>890.62700000000007</v>
      </c>
      <c r="F117" s="250">
        <v>5.3166666666666664</v>
      </c>
      <c r="G117" s="250">
        <v>18145.783333333333</v>
      </c>
      <c r="H117" s="218" t="s">
        <v>299</v>
      </c>
      <c r="I117" s="218" t="s">
        <v>280</v>
      </c>
      <c r="J117" s="153" t="s">
        <v>280</v>
      </c>
      <c r="K117" s="250">
        <v>879</v>
      </c>
      <c r="L117" s="250">
        <v>3.6999999999999998E-2</v>
      </c>
      <c r="M117" s="250">
        <v>3.5000000000000003E-2</v>
      </c>
      <c r="N117" s="251">
        <v>890.62700000000007</v>
      </c>
      <c r="O117" s="218" t="s">
        <v>280</v>
      </c>
      <c r="P117" s="251">
        <v>1</v>
      </c>
      <c r="Q117" s="218" t="s">
        <v>280</v>
      </c>
      <c r="R117" s="218" t="s">
        <v>280</v>
      </c>
      <c r="S117" s="218" t="s">
        <v>280</v>
      </c>
      <c r="T117" s="218" t="s">
        <v>280</v>
      </c>
      <c r="U117" s="218" t="s">
        <v>280</v>
      </c>
      <c r="V117" s="218" t="s">
        <v>280</v>
      </c>
      <c r="W117" s="252">
        <v>0.188</v>
      </c>
      <c r="X117" s="250">
        <v>167.43787599999999</v>
      </c>
      <c r="Y117" s="28"/>
      <c r="Z117" s="401">
        <v>175</v>
      </c>
      <c r="AA117" s="402" t="s">
        <v>407</v>
      </c>
      <c r="AB117" s="402" t="s">
        <v>288</v>
      </c>
      <c r="AC117" s="402" t="s">
        <v>5325</v>
      </c>
      <c r="AD117" s="403">
        <v>804</v>
      </c>
      <c r="AE117" s="402" t="s">
        <v>5262</v>
      </c>
      <c r="AF117" s="402" t="s">
        <v>5260</v>
      </c>
    </row>
    <row r="118" spans="1:32" ht="12.75" customHeight="1">
      <c r="A118" s="152">
        <v>57</v>
      </c>
      <c r="B118" s="153" t="s">
        <v>340</v>
      </c>
      <c r="C118" s="153" t="s">
        <v>281</v>
      </c>
      <c r="D118" s="250">
        <v>38.32</v>
      </c>
      <c r="E118" s="251">
        <v>11.317</v>
      </c>
      <c r="F118" s="250">
        <v>10.64</v>
      </c>
      <c r="G118" s="250">
        <v>36361.42</v>
      </c>
      <c r="H118" s="218" t="s">
        <v>299</v>
      </c>
      <c r="I118" s="218" t="s">
        <v>280</v>
      </c>
      <c r="J118" s="153">
        <v>1</v>
      </c>
      <c r="K118" s="250">
        <v>1878</v>
      </c>
      <c r="L118" s="250">
        <v>3.6999999999999998E-2</v>
      </c>
      <c r="M118" s="250">
        <v>3.4000000000000002E-2</v>
      </c>
      <c r="N118" s="251">
        <v>1889.32</v>
      </c>
      <c r="O118" s="218" t="s">
        <v>280</v>
      </c>
      <c r="P118" s="251">
        <v>2</v>
      </c>
      <c r="Q118" s="218" t="s">
        <v>280</v>
      </c>
      <c r="R118" s="218" t="s">
        <v>280</v>
      </c>
      <c r="S118" s="218" t="s">
        <v>280</v>
      </c>
      <c r="T118" s="218" t="s">
        <v>280</v>
      </c>
      <c r="U118" s="218" t="s">
        <v>280</v>
      </c>
      <c r="V118" s="218" t="s">
        <v>280</v>
      </c>
      <c r="W118" s="252">
        <v>0</v>
      </c>
      <c r="X118" s="250">
        <v>0</v>
      </c>
      <c r="Y118" s="28"/>
      <c r="Z118" s="401">
        <v>149</v>
      </c>
      <c r="AA118" s="402" t="s">
        <v>353</v>
      </c>
      <c r="AB118" s="402" t="s">
        <v>288</v>
      </c>
      <c r="AC118" s="402" t="s">
        <v>354</v>
      </c>
      <c r="AD118" s="403">
        <v>116</v>
      </c>
      <c r="AE118" s="402" t="s">
        <v>5262</v>
      </c>
      <c r="AF118" s="402" t="s">
        <v>5260</v>
      </c>
    </row>
    <row r="119" spans="1:32" ht="12.75" customHeight="1">
      <c r="A119" s="152">
        <v>58</v>
      </c>
      <c r="B119" s="153" t="s">
        <v>341</v>
      </c>
      <c r="C119" s="153" t="s">
        <v>281</v>
      </c>
      <c r="D119" s="250">
        <v>38.32</v>
      </c>
      <c r="E119" s="251">
        <v>11.317</v>
      </c>
      <c r="F119" s="250">
        <v>10.64</v>
      </c>
      <c r="G119" s="250">
        <v>36361.42</v>
      </c>
      <c r="H119" s="218" t="s">
        <v>299</v>
      </c>
      <c r="I119" s="218" t="s">
        <v>280</v>
      </c>
      <c r="J119" s="153">
        <v>1</v>
      </c>
      <c r="K119" s="250">
        <v>1878</v>
      </c>
      <c r="L119" s="250">
        <v>3.6999999999999998E-2</v>
      </c>
      <c r="M119" s="250">
        <v>3.4000000000000002E-2</v>
      </c>
      <c r="N119" s="251">
        <v>1889.32</v>
      </c>
      <c r="O119" s="218" t="s">
        <v>280</v>
      </c>
      <c r="P119" s="251">
        <v>2</v>
      </c>
      <c r="Q119" s="218" t="s">
        <v>280</v>
      </c>
      <c r="R119" s="218" t="s">
        <v>280</v>
      </c>
      <c r="S119" s="218" t="s">
        <v>280</v>
      </c>
      <c r="T119" s="218" t="s">
        <v>280</v>
      </c>
      <c r="U119" s="218" t="s">
        <v>280</v>
      </c>
      <c r="V119" s="218" t="s">
        <v>280</v>
      </c>
      <c r="W119" s="252">
        <v>0</v>
      </c>
      <c r="X119" s="250">
        <v>0</v>
      </c>
      <c r="Z119" s="401">
        <v>207</v>
      </c>
      <c r="AA119" s="402" t="s">
        <v>5427</v>
      </c>
      <c r="AB119" s="402" t="s">
        <v>288</v>
      </c>
      <c r="AC119" s="402" t="s">
        <v>5428</v>
      </c>
      <c r="AD119" s="403">
        <v>1650</v>
      </c>
      <c r="AE119" s="402" t="s">
        <v>5262</v>
      </c>
      <c r="AF119" s="402" t="s">
        <v>5260</v>
      </c>
    </row>
    <row r="120" spans="1:32" ht="12.75" customHeight="1">
      <c r="A120" s="152">
        <v>61</v>
      </c>
      <c r="B120" s="153" t="s">
        <v>861</v>
      </c>
      <c r="C120" s="153" t="s">
        <v>288</v>
      </c>
      <c r="D120" s="250">
        <v>27.6</v>
      </c>
      <c r="E120" s="251">
        <v>35.966000000000001</v>
      </c>
      <c r="F120" s="250">
        <v>7.67</v>
      </c>
      <c r="G120" s="250">
        <v>16166.25</v>
      </c>
      <c r="H120" s="218" t="s">
        <v>299</v>
      </c>
      <c r="I120" s="218" t="s">
        <v>280</v>
      </c>
      <c r="J120" s="153">
        <v>1</v>
      </c>
      <c r="K120" s="250">
        <v>3190</v>
      </c>
      <c r="L120" s="250">
        <v>0.57599999999999996</v>
      </c>
      <c r="M120" s="250">
        <v>7.6999999999999999E-2</v>
      </c>
      <c r="N120" s="251">
        <v>3225.9659999999999</v>
      </c>
      <c r="O120" s="218" t="s">
        <v>280</v>
      </c>
      <c r="P120" s="251">
        <v>1</v>
      </c>
      <c r="Q120" s="218" t="s">
        <v>280</v>
      </c>
      <c r="R120" s="218" t="s">
        <v>280</v>
      </c>
      <c r="S120" s="218" t="s">
        <v>280</v>
      </c>
      <c r="T120" s="218" t="s">
        <v>280</v>
      </c>
      <c r="U120" s="218" t="s">
        <v>280</v>
      </c>
      <c r="V120" s="218" t="s">
        <v>280</v>
      </c>
      <c r="W120" s="252">
        <v>0</v>
      </c>
      <c r="X120" s="250">
        <v>0</v>
      </c>
      <c r="Z120" s="401">
        <v>277</v>
      </c>
      <c r="AA120" s="402" t="s">
        <v>5369</v>
      </c>
      <c r="AB120" s="402" t="s">
        <v>288</v>
      </c>
      <c r="AC120" s="402" t="s">
        <v>5370</v>
      </c>
      <c r="AD120" s="403">
        <v>12400</v>
      </c>
      <c r="AE120" s="402" t="s">
        <v>5262</v>
      </c>
      <c r="AF120" s="402" t="s">
        <v>5260</v>
      </c>
    </row>
    <row r="121" spans="1:32" ht="12.75" customHeight="1">
      <c r="A121" s="152"/>
      <c r="B121" s="153"/>
      <c r="C121" s="153"/>
      <c r="D121" s="250"/>
      <c r="E121" s="251"/>
      <c r="F121" s="250"/>
      <c r="G121" s="250"/>
      <c r="H121" s="218"/>
      <c r="I121" s="218"/>
      <c r="J121" s="153"/>
      <c r="K121" s="250"/>
      <c r="L121" s="250"/>
      <c r="M121" s="250"/>
      <c r="N121" s="251"/>
      <c r="O121" s="218"/>
      <c r="P121" s="251"/>
      <c r="Q121" s="218"/>
      <c r="R121" s="218"/>
      <c r="S121" s="218"/>
      <c r="T121" s="218"/>
      <c r="U121" s="218"/>
      <c r="V121" s="218"/>
      <c r="W121" s="252"/>
      <c r="X121" s="250"/>
      <c r="Z121" s="401">
        <v>253</v>
      </c>
      <c r="AA121" s="402" t="s">
        <v>5357</v>
      </c>
      <c r="AB121" s="402" t="s">
        <v>288</v>
      </c>
      <c r="AC121" s="402" t="s">
        <v>5358</v>
      </c>
      <c r="AD121" s="403">
        <v>5560</v>
      </c>
      <c r="AE121" s="402" t="s">
        <v>5262</v>
      </c>
      <c r="AF121" s="402" t="s">
        <v>5260</v>
      </c>
    </row>
    <row r="122" spans="1:32" ht="12.75" customHeight="1">
      <c r="B122" s="415"/>
      <c r="Z122" s="401">
        <v>162</v>
      </c>
      <c r="AA122" s="402" t="s">
        <v>5310</v>
      </c>
      <c r="AB122" s="402" t="s">
        <v>288</v>
      </c>
      <c r="AC122" s="402" t="s">
        <v>5311</v>
      </c>
      <c r="AD122" s="403">
        <v>523</v>
      </c>
      <c r="AE122" s="402" t="s">
        <v>5262</v>
      </c>
      <c r="AF122" s="402" t="s">
        <v>5260</v>
      </c>
    </row>
    <row r="123" spans="1:32" ht="12.75" customHeight="1">
      <c r="B123" s="416"/>
      <c r="Z123" s="401">
        <v>257</v>
      </c>
      <c r="AA123" s="402" t="s">
        <v>5359</v>
      </c>
      <c r="AB123" s="402" t="s">
        <v>288</v>
      </c>
      <c r="AC123" s="402" t="s">
        <v>5360</v>
      </c>
      <c r="AD123" s="403">
        <v>6450</v>
      </c>
      <c r="AE123" s="402" t="s">
        <v>5262</v>
      </c>
      <c r="AF123" s="402" t="s">
        <v>5260</v>
      </c>
    </row>
    <row r="124" spans="1:32" ht="12.75" customHeight="1">
      <c r="B124" s="416"/>
      <c r="Z124" s="401">
        <v>252</v>
      </c>
      <c r="AA124" s="402" t="s">
        <v>5355</v>
      </c>
      <c r="AB124" s="402" t="s">
        <v>288</v>
      </c>
      <c r="AC124" s="402" t="s">
        <v>5356</v>
      </c>
      <c r="AD124" s="403">
        <v>5350</v>
      </c>
      <c r="AE124" s="402" t="s">
        <v>5262</v>
      </c>
      <c r="AF124" s="402" t="s">
        <v>5260</v>
      </c>
    </row>
    <row r="125" spans="1:32" ht="12.75" customHeight="1">
      <c r="B125" s="416"/>
      <c r="Z125" s="401">
        <v>214</v>
      </c>
      <c r="AA125" s="402" t="s">
        <v>5441</v>
      </c>
      <c r="AB125" s="402" t="s">
        <v>288</v>
      </c>
      <c r="AC125" s="402" t="s">
        <v>5442</v>
      </c>
      <c r="AD125" s="403">
        <v>1790</v>
      </c>
      <c r="AE125" s="402" t="s">
        <v>5262</v>
      </c>
      <c r="AF125" s="402" t="s">
        <v>5260</v>
      </c>
    </row>
    <row r="126" spans="1:32" ht="12.75" customHeight="1">
      <c r="Z126" s="401">
        <v>184</v>
      </c>
      <c r="AA126" s="402" t="s">
        <v>5338</v>
      </c>
      <c r="AB126" s="402" t="s">
        <v>288</v>
      </c>
      <c r="AC126" s="402" t="s">
        <v>5339</v>
      </c>
      <c r="AD126" s="403">
        <v>979</v>
      </c>
      <c r="AE126" s="402" t="s">
        <v>5262</v>
      </c>
      <c r="AF126" s="402" t="s">
        <v>5260</v>
      </c>
    </row>
    <row r="127" spans="1:32" ht="12.75" customHeight="1">
      <c r="Z127" s="401">
        <v>170</v>
      </c>
      <c r="AA127" s="402" t="s">
        <v>5320</v>
      </c>
      <c r="AB127" s="402" t="s">
        <v>288</v>
      </c>
      <c r="AC127" s="402" t="s">
        <v>5321</v>
      </c>
      <c r="AD127" s="403">
        <v>654</v>
      </c>
      <c r="AE127" s="402" t="s">
        <v>5262</v>
      </c>
      <c r="AF127" s="402" t="s">
        <v>5260</v>
      </c>
    </row>
    <row r="128" spans="1:32" ht="12.75" customHeight="1">
      <c r="Z128" s="401">
        <v>177</v>
      </c>
      <c r="AA128" s="402" t="s">
        <v>5328</v>
      </c>
      <c r="AB128" s="402" t="s">
        <v>288</v>
      </c>
      <c r="AC128" s="402" t="s">
        <v>5329</v>
      </c>
      <c r="AD128" s="403">
        <v>828</v>
      </c>
      <c r="AE128" s="402" t="s">
        <v>5262</v>
      </c>
      <c r="AF128" s="402" t="s">
        <v>5260</v>
      </c>
    </row>
    <row r="129" spans="1:32" ht="12.75" customHeight="1">
      <c r="Z129" s="401">
        <v>176</v>
      </c>
      <c r="AA129" s="402" t="s">
        <v>5326</v>
      </c>
      <c r="AB129" s="402" t="s">
        <v>288</v>
      </c>
      <c r="AC129" s="402" t="s">
        <v>5327</v>
      </c>
      <c r="AD129" s="403">
        <v>812</v>
      </c>
      <c r="AE129" s="402" t="s">
        <v>5262</v>
      </c>
      <c r="AF129" s="402" t="s">
        <v>5260</v>
      </c>
    </row>
    <row r="130" spans="1:32" ht="12.75" customHeight="1">
      <c r="Z130" s="401">
        <v>131</v>
      </c>
      <c r="AA130" s="402" t="s">
        <v>5263</v>
      </c>
      <c r="AB130" s="402" t="s">
        <v>288</v>
      </c>
      <c r="AC130" s="402" t="s">
        <v>5264</v>
      </c>
      <c r="AD130" s="403">
        <v>1</v>
      </c>
      <c r="AE130" s="402" t="s">
        <v>5262</v>
      </c>
      <c r="AF130" s="402" t="s">
        <v>5260</v>
      </c>
    </row>
    <row r="131" spans="1:32" ht="12.75" customHeight="1">
      <c r="Z131" s="401">
        <v>238</v>
      </c>
      <c r="AA131" s="402" t="s">
        <v>5348</v>
      </c>
      <c r="AB131" s="402" t="s">
        <v>288</v>
      </c>
      <c r="AC131" s="402" t="s">
        <v>5349</v>
      </c>
      <c r="AD131" s="403">
        <v>3070</v>
      </c>
      <c r="AE131" s="402" t="s">
        <v>5262</v>
      </c>
      <c r="AF131" s="402" t="s">
        <v>5260</v>
      </c>
    </row>
    <row r="132" spans="1:32" ht="12.75" customHeight="1">
      <c r="Z132" s="401">
        <v>183</v>
      </c>
      <c r="AA132" s="402" t="s">
        <v>5336</v>
      </c>
      <c r="AB132" s="402" t="s">
        <v>288</v>
      </c>
      <c r="AC132" s="402" t="s">
        <v>5337</v>
      </c>
      <c r="AD132" s="403">
        <v>929</v>
      </c>
      <c r="AE132" s="402" t="s">
        <v>5262</v>
      </c>
      <c r="AF132" s="402" t="s">
        <v>5260</v>
      </c>
    </row>
    <row r="133" spans="1:32" ht="12.75" customHeight="1">
      <c r="Z133" s="401">
        <v>237</v>
      </c>
      <c r="AA133" s="402" t="s">
        <v>5346</v>
      </c>
      <c r="AB133" s="402" t="s">
        <v>288</v>
      </c>
      <c r="AC133" s="402" t="s">
        <v>5347</v>
      </c>
      <c r="AD133" s="403">
        <v>2910</v>
      </c>
      <c r="AE133" s="402" t="s">
        <v>5262</v>
      </c>
      <c r="AF133" s="402" t="s">
        <v>5260</v>
      </c>
    </row>
    <row r="134" spans="1:32" ht="12.75" customHeight="1">
      <c r="Z134" s="401">
        <v>165</v>
      </c>
      <c r="AA134" s="402" t="s">
        <v>5312</v>
      </c>
      <c r="AB134" s="402" t="s">
        <v>288</v>
      </c>
      <c r="AC134" s="402" t="s">
        <v>5313</v>
      </c>
      <c r="AD134" s="403">
        <v>530</v>
      </c>
      <c r="AE134" s="402" t="s">
        <v>5262</v>
      </c>
      <c r="AF134" s="402" t="s">
        <v>5260</v>
      </c>
    </row>
    <row r="135" spans="1:32" ht="12.75" customHeight="1">
      <c r="A135" t="s">
        <v>331</v>
      </c>
      <c r="B135" t="s">
        <v>330</v>
      </c>
      <c r="C135" t="s">
        <v>55</v>
      </c>
      <c r="D135" t="s">
        <v>56</v>
      </c>
      <c r="E135" t="s">
        <v>77</v>
      </c>
      <c r="F135" t="s">
        <v>677</v>
      </c>
      <c r="G135" t="s">
        <v>57</v>
      </c>
      <c r="H135" t="s">
        <v>58</v>
      </c>
      <c r="I135" t="s">
        <v>240</v>
      </c>
      <c r="J135" s="187" t="s">
        <v>59</v>
      </c>
      <c r="K135" t="s">
        <v>74</v>
      </c>
      <c r="L135" t="s">
        <v>73</v>
      </c>
      <c r="Z135" s="401">
        <v>178</v>
      </c>
      <c r="AA135" s="402" t="s">
        <v>5330</v>
      </c>
      <c r="AB135" s="402" t="s">
        <v>288</v>
      </c>
      <c r="AC135" s="402" t="s">
        <v>5331</v>
      </c>
      <c r="AD135" s="403">
        <v>854</v>
      </c>
      <c r="AE135" s="402" t="s">
        <v>5262</v>
      </c>
      <c r="AF135" s="402" t="s">
        <v>5260</v>
      </c>
    </row>
    <row r="136" spans="1:32" ht="12.75" customHeight="1">
      <c r="A136" t="str">
        <f>DQ$2</f>
        <v>115120150</v>
      </c>
      <c r="B136" t="str">
        <f>IF(B63=TRUE,"8","2")</f>
        <v>2</v>
      </c>
      <c r="C136" t="str">
        <f>IF(B63=TRUE,"81",IF(B59=TRUE,"21",IF(B60=TRUE,"221",IF(B61=TRUE,"23","222"))))</f>
        <v>222</v>
      </c>
      <c r="D136" t="str">
        <f>IF(B63=TRUE,"Recommissioning",IF(B59=TRUE,"Études",IF(B60=TRUE,"Études IP",IF(B61=TRUE,"Études approvisionnement","Études IP préliminaires"))))</f>
        <v>Études IP préliminaires</v>
      </c>
      <c r="E136" t="b">
        <f>DV2</f>
        <v>0</v>
      </c>
      <c r="F136" t="str">
        <f ca="1">IF(DP2="Agricole","Agricole",IF(DP2="Transport","Transport","Affaires"))</f>
        <v>Affaires</v>
      </c>
      <c r="G136" s="216">
        <f>'1. Demande'!S164</f>
        <v>0</v>
      </c>
      <c r="H136" s="216">
        <f>'1. Demande'!W164</f>
        <v>0</v>
      </c>
      <c r="I136" s="216">
        <f>'1. Demande'!AB164</f>
        <v>0</v>
      </c>
      <c r="J136" s="216">
        <f>'1. Demande'!AO178</f>
        <v>0</v>
      </c>
      <c r="K136">
        <v>50</v>
      </c>
      <c r="L136" t="str">
        <f>IF(B63=TRUE,"50.20",IF(B59=TRUE,"50.8",IF(B60=TRUE,"50.9",IF(B61=TRUE,"50.10","50.11"))))</f>
        <v>50.11</v>
      </c>
      <c r="Z136" s="401">
        <v>182</v>
      </c>
      <c r="AA136" s="402" t="s">
        <v>5334</v>
      </c>
      <c r="AB136" s="402" t="s">
        <v>288</v>
      </c>
      <c r="AC136" s="402" t="s">
        <v>5335</v>
      </c>
      <c r="AD136" s="403">
        <v>889</v>
      </c>
      <c r="AE136" s="402" t="s">
        <v>5262</v>
      </c>
      <c r="AF136" s="402" t="s">
        <v>5260</v>
      </c>
    </row>
    <row r="137" spans="1:32" ht="12.75" customHeight="1">
      <c r="Z137" s="401">
        <v>156</v>
      </c>
      <c r="AA137" s="402" t="s">
        <v>5297</v>
      </c>
      <c r="AB137" s="402" t="s">
        <v>288</v>
      </c>
      <c r="AC137" s="402" t="s">
        <v>5298</v>
      </c>
      <c r="AD137" s="403">
        <v>387</v>
      </c>
      <c r="AE137" s="402" t="s">
        <v>5262</v>
      </c>
      <c r="AF137" s="402" t="s">
        <v>5260</v>
      </c>
    </row>
    <row r="138" spans="1:32" ht="12.75" customHeight="1">
      <c r="Z138" s="401">
        <v>157</v>
      </c>
      <c r="AA138" s="402" t="s">
        <v>5299</v>
      </c>
      <c r="AB138" s="402" t="s">
        <v>288</v>
      </c>
      <c r="AC138" s="402" t="s">
        <v>5300</v>
      </c>
      <c r="AD138" s="403">
        <v>413</v>
      </c>
      <c r="AE138" s="402" t="s">
        <v>5262</v>
      </c>
      <c r="AF138" s="402" t="s">
        <v>5260</v>
      </c>
    </row>
    <row r="139" spans="1:32" ht="12.75" customHeight="1">
      <c r="Z139" s="401">
        <v>173</v>
      </c>
      <c r="AA139" s="402" t="s">
        <v>5323</v>
      </c>
      <c r="AB139" s="402" t="s">
        <v>288</v>
      </c>
      <c r="AC139" s="402" t="s">
        <v>5324</v>
      </c>
      <c r="AD139" s="403">
        <v>719</v>
      </c>
      <c r="AE139" s="402" t="s">
        <v>5262</v>
      </c>
      <c r="AF139" s="402" t="s">
        <v>5260</v>
      </c>
    </row>
    <row r="140" spans="1:32" ht="12.75" customHeight="1">
      <c r="Z140" s="401">
        <v>159</v>
      </c>
      <c r="AA140" s="402" t="s">
        <v>5303</v>
      </c>
      <c r="AB140" s="402" t="s">
        <v>288</v>
      </c>
      <c r="AC140" s="402" t="s">
        <v>5304</v>
      </c>
      <c r="AD140" s="403">
        <v>446</v>
      </c>
      <c r="AE140" s="402" t="s">
        <v>5262</v>
      </c>
      <c r="AF140" s="402" t="s">
        <v>5260</v>
      </c>
    </row>
    <row r="141" spans="1:32" ht="12.75" customHeight="1">
      <c r="Z141" s="401">
        <v>132</v>
      </c>
      <c r="AA141" s="402" t="s">
        <v>5265</v>
      </c>
      <c r="AB141" s="402" t="s">
        <v>288</v>
      </c>
      <c r="AC141" s="402" t="s">
        <v>5266</v>
      </c>
      <c r="AD141" s="403">
        <v>1</v>
      </c>
      <c r="AE141" s="402" t="s">
        <v>5262</v>
      </c>
      <c r="AF141" s="402" t="s">
        <v>5260</v>
      </c>
    </row>
    <row r="142" spans="1:32" ht="12.75" customHeight="1">
      <c r="Z142" s="401">
        <v>169</v>
      </c>
      <c r="AA142" s="402" t="s">
        <v>5318</v>
      </c>
      <c r="AB142" s="402" t="s">
        <v>288</v>
      </c>
      <c r="AC142" s="402" t="s">
        <v>5319</v>
      </c>
      <c r="AD142" s="403">
        <v>627</v>
      </c>
      <c r="AE142" s="402" t="s">
        <v>5262</v>
      </c>
      <c r="AF142" s="402" t="s">
        <v>5260</v>
      </c>
    </row>
    <row r="143" spans="1:32" ht="12.75" customHeight="1">
      <c r="Z143" s="401">
        <v>234</v>
      </c>
      <c r="AA143" s="402" t="s">
        <v>5344</v>
      </c>
      <c r="AB143" s="402" t="s">
        <v>288</v>
      </c>
      <c r="AC143" s="402" t="s">
        <v>5345</v>
      </c>
      <c r="AD143" s="403">
        <v>2820</v>
      </c>
      <c r="AE143" s="402" t="s">
        <v>5262</v>
      </c>
      <c r="AF143" s="402" t="s">
        <v>5260</v>
      </c>
    </row>
    <row r="144" spans="1:32" ht="12.75" customHeight="1">
      <c r="Z144" s="401">
        <v>158</v>
      </c>
      <c r="AA144" s="402" t="s">
        <v>5301</v>
      </c>
      <c r="AB144" s="402" t="s">
        <v>288</v>
      </c>
      <c r="AC144" s="402" t="s">
        <v>5302</v>
      </c>
      <c r="AD144" s="403">
        <v>421</v>
      </c>
      <c r="AE144" s="402" t="s">
        <v>5262</v>
      </c>
      <c r="AF144" s="402" t="s">
        <v>5260</v>
      </c>
    </row>
    <row r="145" spans="1:32" ht="12.75" customHeight="1">
      <c r="Z145" s="401">
        <v>147</v>
      </c>
      <c r="AA145" s="402" t="s">
        <v>5290</v>
      </c>
      <c r="AB145" s="402" t="s">
        <v>288</v>
      </c>
      <c r="AC145" s="402" t="s">
        <v>5291</v>
      </c>
      <c r="AD145" s="403">
        <v>57</v>
      </c>
      <c r="AE145" s="402" t="s">
        <v>5262</v>
      </c>
      <c r="AF145" s="402" t="s">
        <v>5260</v>
      </c>
    </row>
    <row r="146" spans="1:32" ht="12.75" customHeight="1">
      <c r="Z146" s="401">
        <v>146</v>
      </c>
      <c r="AA146" s="402" t="s">
        <v>812</v>
      </c>
      <c r="AB146" s="402" t="s">
        <v>288</v>
      </c>
      <c r="AC146" s="402" t="s">
        <v>266</v>
      </c>
      <c r="AD146" s="403">
        <v>28</v>
      </c>
      <c r="AE146" s="402" t="s">
        <v>5262</v>
      </c>
      <c r="AF146" s="402" t="s">
        <v>5260</v>
      </c>
    </row>
    <row r="147" spans="1:32" ht="12.75" customHeight="1">
      <c r="Z147" s="401">
        <v>152</v>
      </c>
      <c r="AA147" s="402" t="s">
        <v>5293</v>
      </c>
      <c r="AB147" s="402" t="s">
        <v>288</v>
      </c>
      <c r="AC147" s="402" t="s">
        <v>813</v>
      </c>
      <c r="AD147" s="403">
        <v>160</v>
      </c>
      <c r="AE147" s="402" t="s">
        <v>5262</v>
      </c>
      <c r="AF147" s="402" t="s">
        <v>5260</v>
      </c>
    </row>
    <row r="148" spans="1:32" ht="12.75" customHeight="1">
      <c r="Z148" s="401">
        <v>153</v>
      </c>
      <c r="AA148" s="402" t="s">
        <v>814</v>
      </c>
      <c r="AB148" s="402" t="s">
        <v>288</v>
      </c>
      <c r="AC148" s="402" t="s">
        <v>267</v>
      </c>
      <c r="AD148" s="403">
        <v>265</v>
      </c>
      <c r="AE148" s="402" t="s">
        <v>5262</v>
      </c>
      <c r="AF148" s="402" t="s">
        <v>5260</v>
      </c>
    </row>
    <row r="149" spans="1:32" ht="12.75" customHeight="1">
      <c r="Z149" s="401">
        <v>260</v>
      </c>
      <c r="AA149" s="402" t="s">
        <v>402</v>
      </c>
      <c r="AB149" s="402" t="s">
        <v>288</v>
      </c>
      <c r="AC149" s="402" t="s">
        <v>815</v>
      </c>
      <c r="AD149" s="403">
        <v>7480</v>
      </c>
      <c r="AE149" s="402" t="s">
        <v>816</v>
      </c>
      <c r="AF149" s="402" t="s">
        <v>5260</v>
      </c>
    </row>
    <row r="150" spans="1:32" ht="12.75" customHeight="1">
      <c r="Z150" s="401">
        <v>268</v>
      </c>
      <c r="AA150" s="402" t="s">
        <v>5366</v>
      </c>
      <c r="AB150" s="402" t="s">
        <v>288</v>
      </c>
      <c r="AC150" s="402" t="s">
        <v>366</v>
      </c>
      <c r="AD150" s="403">
        <v>9200</v>
      </c>
      <c r="AE150" s="402" t="s">
        <v>5262</v>
      </c>
      <c r="AF150" s="402" t="s">
        <v>5260</v>
      </c>
    </row>
    <row r="151" spans="1:32" ht="12.75" customHeight="1">
      <c r="A151" t="s">
        <v>331</v>
      </c>
      <c r="B151" t="s">
        <v>768</v>
      </c>
      <c r="C151" t="s">
        <v>762</v>
      </c>
      <c r="D151" t="s">
        <v>766</v>
      </c>
      <c r="E151" t="s">
        <v>767</v>
      </c>
      <c r="F151" t="s">
        <v>436</v>
      </c>
      <c r="G151" t="s">
        <v>761</v>
      </c>
      <c r="Z151" s="401">
        <v>270</v>
      </c>
      <c r="AA151" s="402" t="s">
        <v>817</v>
      </c>
      <c r="AB151" s="402" t="s">
        <v>288</v>
      </c>
      <c r="AC151" s="402" t="s">
        <v>367</v>
      </c>
      <c r="AD151" s="403">
        <v>9540</v>
      </c>
      <c r="AE151" s="402" t="s">
        <v>5262</v>
      </c>
      <c r="AF151" s="402" t="s">
        <v>5260</v>
      </c>
    </row>
    <row r="152" spans="1:32" ht="12.75" customHeight="1">
      <c r="A152" t="str">
        <f t="shared" ref="A152:A157" si="1">DQ$2</f>
        <v>115120150</v>
      </c>
      <c r="B152">
        <f ca="1">'1. Demande'!D180</f>
        <v>1</v>
      </c>
      <c r="C152" t="str">
        <f>'1. Demande'!E180</f>
        <v>MELCCFP</v>
      </c>
      <c r="D152" t="str">
        <f>IF('1. Demande'!I180="","",'1. Demande'!I180)</f>
        <v>Ministère de l’Environnement, de la Lutte contre les changements climatiques, de la Faune et des Parcs</v>
      </c>
      <c r="E152" t="str">
        <f>'1. Demande'!W180</f>
        <v>Subvention</v>
      </c>
      <c r="F152" s="216">
        <f ca="1">'1. Demande'!AF180</f>
        <v>0</v>
      </c>
      <c r="G152" s="204">
        <f ca="1">'1. Demande'!AO180</f>
        <v>0</v>
      </c>
      <c r="Z152" s="401">
        <v>273</v>
      </c>
      <c r="AA152" s="402" t="s">
        <v>818</v>
      </c>
      <c r="AB152" s="402" t="s">
        <v>288</v>
      </c>
      <c r="AC152" s="402" t="s">
        <v>364</v>
      </c>
      <c r="AD152" s="403">
        <v>11100</v>
      </c>
      <c r="AE152" s="402" t="s">
        <v>5262</v>
      </c>
      <c r="AF152" s="402" t="s">
        <v>5260</v>
      </c>
    </row>
    <row r="153" spans="1:32" ht="12.75" customHeight="1">
      <c r="A153" t="str">
        <f t="shared" si="1"/>
        <v>115120150</v>
      </c>
      <c r="B153">
        <f ca="1">'1. Demande'!D181</f>
        <v>16</v>
      </c>
      <c r="C153" t="s">
        <v>420</v>
      </c>
      <c r="D153" t="str">
        <f>IF('1. Demande'!I181="","",'1. Demande'!I181)</f>
        <v/>
      </c>
      <c r="E153" t="str">
        <f>'1. Demande'!W181</f>
        <v>Équité</v>
      </c>
      <c r="F153" s="216">
        <f ca="1">'1. Demande'!AF181</f>
        <v>0</v>
      </c>
      <c r="G153" s="204">
        <f ca="1">'1. Demande'!AO181</f>
        <v>0</v>
      </c>
      <c r="Z153" s="401">
        <v>263</v>
      </c>
      <c r="AA153" s="402" t="s">
        <v>5361</v>
      </c>
      <c r="AB153" s="402" t="s">
        <v>288</v>
      </c>
      <c r="AC153" s="402" t="s">
        <v>5362</v>
      </c>
      <c r="AD153" s="403">
        <v>7910</v>
      </c>
      <c r="AE153" s="402" t="s">
        <v>5262</v>
      </c>
      <c r="AF153" s="402" t="s">
        <v>5260</v>
      </c>
    </row>
    <row r="154" spans="1:32" ht="12.75" customHeight="1">
      <c r="A154" t="str">
        <f t="shared" si="1"/>
        <v>115120150</v>
      </c>
      <c r="B154">
        <f ca="1">'1. Demande'!D182</f>
        <v>2</v>
      </c>
      <c r="C154" t="str">
        <f>'1. Demande'!E182</f>
        <v>HQ</v>
      </c>
      <c r="D154" t="str">
        <f>IF('1. Demande'!I182="","",'1. Demande'!I182)</f>
        <v>Hydro-Québec</v>
      </c>
      <c r="E154" t="str">
        <f>'1. Demande'!W182</f>
        <v>Subvention</v>
      </c>
      <c r="F154" s="216">
        <f>'1. Demande'!AF182</f>
        <v>0</v>
      </c>
      <c r="G154" s="204">
        <f>'1. Demande'!AO182</f>
        <v>0</v>
      </c>
      <c r="Z154" s="401">
        <v>258</v>
      </c>
      <c r="AA154" s="402" t="s">
        <v>819</v>
      </c>
      <c r="AB154" s="402" t="s">
        <v>288</v>
      </c>
      <c r="AC154" s="402" t="s">
        <v>363</v>
      </c>
      <c r="AD154" s="403">
        <v>6630</v>
      </c>
      <c r="AE154" s="402" t="s">
        <v>5262</v>
      </c>
      <c r="AF154" s="402" t="s">
        <v>5260</v>
      </c>
    </row>
    <row r="155" spans="1:32" ht="12.75" customHeight="1">
      <c r="A155" t="str">
        <f t="shared" si="1"/>
        <v>115120150</v>
      </c>
      <c r="B155">
        <f ca="1">'1. Demande'!D183</f>
        <v>3</v>
      </c>
      <c r="C155" t="str">
        <f>'1. Demande'!E183</f>
        <v>Énergir</v>
      </c>
      <c r="D155" t="str">
        <f>IF('1. Demande'!I183="","",'1. Demande'!I183)</f>
        <v>Énergir</v>
      </c>
      <c r="E155" t="str">
        <f>'1. Demande'!W183</f>
        <v>Subvention</v>
      </c>
      <c r="F155" s="216">
        <f>'1. Demande'!AF183</f>
        <v>0</v>
      </c>
      <c r="G155" s="204">
        <f>'1. Demande'!AO183</f>
        <v>0</v>
      </c>
      <c r="Z155" s="401">
        <v>265</v>
      </c>
      <c r="AA155" s="402" t="s">
        <v>5364</v>
      </c>
      <c r="AB155" s="402" t="s">
        <v>288</v>
      </c>
      <c r="AC155" s="402" t="s">
        <v>5365</v>
      </c>
      <c r="AD155" s="403">
        <v>8550</v>
      </c>
      <c r="AE155" s="402" t="s">
        <v>5262</v>
      </c>
      <c r="AF155" s="402" t="s">
        <v>5260</v>
      </c>
    </row>
    <row r="156" spans="1:32" ht="12.75" customHeight="1">
      <c r="A156" t="str">
        <f t="shared" si="1"/>
        <v>115120150</v>
      </c>
      <c r="B156">
        <f ca="1">'1. Demande'!D184</f>
        <v>45</v>
      </c>
      <c r="C156" t="str">
        <f>'1. Demande'!E184</f>
        <v>Crédit fédéral</v>
      </c>
      <c r="D156" t="str">
        <f>IF('1. Demande'!I184="","",'1. Demande'!I184)</f>
        <v>Crédit d'impôt du fédéral</v>
      </c>
      <c r="E156" t="str">
        <f>'1. Demande'!W184</f>
        <v>Subvention</v>
      </c>
      <c r="F156" s="216">
        <f>'1. Demande'!AF184</f>
        <v>0</v>
      </c>
      <c r="G156" s="204">
        <f>'1. Demande'!AO184</f>
        <v>0</v>
      </c>
      <c r="Z156" s="401">
        <v>267</v>
      </c>
      <c r="AA156" s="402" t="s">
        <v>821</v>
      </c>
      <c r="AB156" s="402" t="s">
        <v>288</v>
      </c>
      <c r="AC156" s="402" t="s">
        <v>365</v>
      </c>
      <c r="AD156" s="403">
        <v>8900</v>
      </c>
      <c r="AE156" s="402" t="s">
        <v>5262</v>
      </c>
      <c r="AF156" s="402" t="s">
        <v>5260</v>
      </c>
    </row>
    <row r="157" spans="1:32" ht="12.75" customHeight="1">
      <c r="A157" t="str">
        <f t="shared" si="1"/>
        <v>115120150</v>
      </c>
      <c r="B157">
        <f ca="1">'1. Demande'!D185</f>
        <v>46</v>
      </c>
      <c r="C157" t="str">
        <f>'1. Demande'!E185</f>
        <v>Crédit provincial</v>
      </c>
      <c r="D157" t="str">
        <f>IF('1. Demande'!I185="","",'1. Demande'!I185)</f>
        <v>Crédit d'impôt du provincial</v>
      </c>
      <c r="E157" t="str">
        <f>'1. Demande'!W185</f>
        <v>Subvention</v>
      </c>
      <c r="F157" s="216">
        <f>'1. Demande'!AF185</f>
        <v>0</v>
      </c>
      <c r="G157" s="204">
        <f>'1. Demande'!AO185</f>
        <v>0</v>
      </c>
      <c r="Z157" s="401">
        <v>271</v>
      </c>
      <c r="AA157" s="402" t="s">
        <v>5367</v>
      </c>
      <c r="AB157" s="402" t="s">
        <v>288</v>
      </c>
      <c r="AC157" s="402" t="s">
        <v>5368</v>
      </c>
      <c r="AD157" s="403">
        <v>9710</v>
      </c>
      <c r="AE157" s="402" t="s">
        <v>5262</v>
      </c>
      <c r="AF157" s="402" t="s">
        <v>5260</v>
      </c>
    </row>
    <row r="158" spans="1:32" ht="12.75" customHeight="1">
      <c r="B158" t="str">
        <f ca="1">'1. Demande'!D186</f>
        <v/>
      </c>
      <c r="C158" t="str">
        <f>'1. Demande'!E186</f>
        <v>Choisir…</v>
      </c>
      <c r="D158" t="str">
        <f>IF('1. Demande'!I186="","",'1. Demande'!I186)</f>
        <v/>
      </c>
      <c r="E158" t="str">
        <f>'1. Demande'!W186</f>
        <v>Choisir…</v>
      </c>
      <c r="F158" s="216">
        <f>'1. Demande'!AF186</f>
        <v>0</v>
      </c>
      <c r="G158" s="204">
        <f>'1. Demande'!AO186</f>
        <v>0</v>
      </c>
      <c r="Z158" s="401">
        <v>133</v>
      </c>
      <c r="AA158" s="402" t="s">
        <v>5267</v>
      </c>
      <c r="AB158" s="402" t="s">
        <v>288</v>
      </c>
      <c r="AC158" s="402" t="s">
        <v>5268</v>
      </c>
      <c r="AD158" s="403">
        <v>1</v>
      </c>
      <c r="AE158" s="402" t="s">
        <v>5262</v>
      </c>
      <c r="AF158" s="402" t="s">
        <v>5260</v>
      </c>
    </row>
    <row r="159" spans="1:32" ht="12.75" customHeight="1">
      <c r="Z159" s="401">
        <v>134</v>
      </c>
      <c r="AA159" s="402" t="s">
        <v>5269</v>
      </c>
      <c r="AB159" s="402" t="s">
        <v>288</v>
      </c>
      <c r="AC159" s="402" t="s">
        <v>5270</v>
      </c>
      <c r="AD159" s="403">
        <v>1</v>
      </c>
      <c r="AE159" s="402" t="s">
        <v>5262</v>
      </c>
      <c r="AF159" s="402" t="s">
        <v>5260</v>
      </c>
    </row>
    <row r="160" spans="1:32" ht="12.75" customHeight="1">
      <c r="A160" t="s">
        <v>331</v>
      </c>
      <c r="B160" t="s">
        <v>769</v>
      </c>
      <c r="C160" s="53" t="s">
        <v>246</v>
      </c>
      <c r="D160" s="53" t="s">
        <v>106</v>
      </c>
      <c r="E160" s="53" t="s">
        <v>238</v>
      </c>
      <c r="F160" s="53" t="s">
        <v>239</v>
      </c>
      <c r="G160" s="53" t="s">
        <v>240</v>
      </c>
      <c r="H160" s="53" t="s">
        <v>241</v>
      </c>
      <c r="I160" s="53" t="s">
        <v>242</v>
      </c>
      <c r="J160" s="53" t="s">
        <v>243</v>
      </c>
      <c r="K160" s="53" t="s">
        <v>244</v>
      </c>
      <c r="Z160" s="401">
        <v>136</v>
      </c>
      <c r="AA160" s="402" t="s">
        <v>5271</v>
      </c>
      <c r="AB160" s="402" t="s">
        <v>288</v>
      </c>
      <c r="AC160" s="402" t="s">
        <v>5272</v>
      </c>
      <c r="AD160" s="403">
        <v>2</v>
      </c>
      <c r="AE160" s="402" t="s">
        <v>5273</v>
      </c>
      <c r="AF160" s="402" t="s">
        <v>5260</v>
      </c>
    </row>
    <row r="161" spans="1:32" ht="12.75" customHeight="1">
      <c r="A161" t="str">
        <f t="shared" ref="A161:A166" si="2">DQ$2</f>
        <v>115120150</v>
      </c>
      <c r="B161">
        <f ca="1">'1. Demande'!D76</f>
        <v>1</v>
      </c>
      <c r="C161" t="str">
        <f>'1. Demande'!E76</f>
        <v>Électricité</v>
      </c>
      <c r="D161" t="str">
        <f ca="1">'1. Demande'!K76</f>
        <v>kWh</v>
      </c>
      <c r="E161">
        <f>'1. Demande'!O76</f>
        <v>0</v>
      </c>
      <c r="F161">
        <f>'1. Demande'!S76</f>
        <v>0</v>
      </c>
      <c r="G161" s="216">
        <f>'1. Demande'!W76</f>
        <v>0</v>
      </c>
      <c r="H161" s="191">
        <f ca="1">'1. Demande'!AB76</f>
        <v>0</v>
      </c>
      <c r="I161" s="191">
        <f ca="1">'1. Demande'!AF76</f>
        <v>0</v>
      </c>
      <c r="J161" s="216">
        <f ca="1">'1. Demande'!AK76</f>
        <v>0</v>
      </c>
      <c r="K161">
        <f>'1. Demande'!AO76</f>
        <v>0</v>
      </c>
      <c r="Z161" s="401">
        <v>138</v>
      </c>
      <c r="AA161" s="402" t="s">
        <v>864</v>
      </c>
      <c r="AB161" s="402" t="s">
        <v>288</v>
      </c>
      <c r="AC161" s="402" t="s">
        <v>5277</v>
      </c>
      <c r="AD161" s="403">
        <v>3.3</v>
      </c>
      <c r="AE161" s="402" t="s">
        <v>5276</v>
      </c>
      <c r="AF161" s="402" t="s">
        <v>5260</v>
      </c>
    </row>
    <row r="162" spans="1:32" ht="12.75" customHeight="1">
      <c r="A162" t="str">
        <f t="shared" si="2"/>
        <v>115120150</v>
      </c>
      <c r="B162">
        <f ca="1">'1. Demande'!D77</f>
        <v>2</v>
      </c>
      <c r="C162" t="str">
        <f>'1. Demande'!E77</f>
        <v>Gaz naturel</v>
      </c>
      <c r="D162" t="str">
        <f ca="1">'1. Demande'!K77</f>
        <v>m³</v>
      </c>
      <c r="E162">
        <f>'1. Demande'!O77</f>
        <v>0</v>
      </c>
      <c r="F162">
        <f>'1. Demande'!S77</f>
        <v>0</v>
      </c>
      <c r="G162" s="216">
        <f>'1. Demande'!W77</f>
        <v>0</v>
      </c>
      <c r="H162" s="191">
        <f ca="1">'1. Demande'!AB77</f>
        <v>0</v>
      </c>
      <c r="I162" s="191">
        <f ca="1">'1. Demande'!AF77</f>
        <v>0</v>
      </c>
      <c r="J162" s="216">
        <f ca="1">'1. Demande'!AK77</f>
        <v>0</v>
      </c>
      <c r="K162">
        <f>'1. Demande'!AO77</f>
        <v>0</v>
      </c>
      <c r="Z162" s="401">
        <v>269</v>
      </c>
      <c r="AA162" s="402" t="s">
        <v>822</v>
      </c>
      <c r="AB162" s="402" t="s">
        <v>288</v>
      </c>
      <c r="AC162" s="402" t="s">
        <v>823</v>
      </c>
      <c r="AD162" s="403">
        <v>9395</v>
      </c>
      <c r="AE162" s="402" t="s">
        <v>5307</v>
      </c>
      <c r="AF162" s="402" t="s">
        <v>5260</v>
      </c>
    </row>
    <row r="163" spans="1:32" ht="12.75" customHeight="1">
      <c r="A163" t="str">
        <f t="shared" si="2"/>
        <v>115120150</v>
      </c>
      <c r="B163" t="e">
        <f ca="1">'1. Demande'!D78</f>
        <v>#N/A</v>
      </c>
      <c r="C163">
        <f>'1. Demande'!E78</f>
        <v>0</v>
      </c>
      <c r="D163" t="str">
        <f ca="1">'1. Demande'!K78</f>
        <v/>
      </c>
      <c r="E163">
        <f>'1. Demande'!O78</f>
        <v>0</v>
      </c>
      <c r="F163">
        <f>'1. Demande'!S78</f>
        <v>0</v>
      </c>
      <c r="G163" s="216">
        <f>'1. Demande'!W78</f>
        <v>0</v>
      </c>
      <c r="H163" s="191">
        <f ca="1">'1. Demande'!AB78</f>
        <v>0</v>
      </c>
      <c r="I163" s="191">
        <f ca="1">'1. Demande'!AF78</f>
        <v>0</v>
      </c>
      <c r="J163" s="216">
        <f ca="1">'1. Demande'!AK78</f>
        <v>0</v>
      </c>
      <c r="K163">
        <f>'1. Demande'!AO78</f>
        <v>0</v>
      </c>
      <c r="Z163" s="401">
        <v>187</v>
      </c>
      <c r="AA163" s="402" t="s">
        <v>383</v>
      </c>
      <c r="AB163" s="402" t="s">
        <v>288</v>
      </c>
      <c r="AC163" s="402" t="s">
        <v>824</v>
      </c>
      <c r="AD163" s="403">
        <v>1129.92</v>
      </c>
      <c r="AE163" s="402" t="s">
        <v>5307</v>
      </c>
      <c r="AF163" s="402" t="s">
        <v>5260</v>
      </c>
    </row>
    <row r="164" spans="1:32" ht="12.75" customHeight="1">
      <c r="A164" t="str">
        <f t="shared" si="2"/>
        <v>115120150</v>
      </c>
      <c r="B164" t="e">
        <f ca="1">'1. Demande'!D79</f>
        <v>#N/A</v>
      </c>
      <c r="C164">
        <f>'1. Demande'!E79</f>
        <v>0</v>
      </c>
      <c r="D164" t="str">
        <f ca="1">'1. Demande'!K79</f>
        <v/>
      </c>
      <c r="E164">
        <f>'1. Demande'!O79</f>
        <v>0</v>
      </c>
      <c r="F164">
        <f>'1. Demande'!S79</f>
        <v>0</v>
      </c>
      <c r="G164" s="216">
        <f>'1. Demande'!W79</f>
        <v>0</v>
      </c>
      <c r="H164" s="191">
        <f ca="1">'1. Demande'!AB79</f>
        <v>0</v>
      </c>
      <c r="I164" s="191">
        <f ca="1">'1. Demande'!AF79</f>
        <v>0</v>
      </c>
      <c r="J164" s="216">
        <f ca="1">'1. Demande'!AK79</f>
        <v>0</v>
      </c>
      <c r="K164">
        <f>'1. Demande'!AO79</f>
        <v>0</v>
      </c>
      <c r="Z164" s="401">
        <v>189</v>
      </c>
      <c r="AA164" s="402" t="s">
        <v>384</v>
      </c>
      <c r="AB164" s="402" t="s">
        <v>288</v>
      </c>
      <c r="AC164" s="402" t="s">
        <v>825</v>
      </c>
      <c r="AD164" s="403">
        <v>1236.3399999999999</v>
      </c>
      <c r="AE164" s="402" t="s">
        <v>5307</v>
      </c>
      <c r="AF164" s="402" t="s">
        <v>5260</v>
      </c>
    </row>
    <row r="165" spans="1:32" ht="12.75" customHeight="1">
      <c r="A165" t="str">
        <f t="shared" si="2"/>
        <v>115120150</v>
      </c>
      <c r="B165" t="e">
        <f ca="1">'1. Demande'!D80</f>
        <v>#N/A</v>
      </c>
      <c r="C165">
        <f>'1. Demande'!E80</f>
        <v>0</v>
      </c>
      <c r="D165" t="str">
        <f ca="1">'1. Demande'!K80</f>
        <v/>
      </c>
      <c r="E165">
        <f>'1. Demande'!O80</f>
        <v>0</v>
      </c>
      <c r="F165">
        <f>'1. Demande'!S80</f>
        <v>0</v>
      </c>
      <c r="G165" s="216">
        <f>'1. Demande'!W80</f>
        <v>0</v>
      </c>
      <c r="H165" s="191">
        <f ca="1">'1. Demande'!AB80</f>
        <v>0</v>
      </c>
      <c r="I165" s="191">
        <f ca="1">'1. Demande'!AF80</f>
        <v>0</v>
      </c>
      <c r="J165" s="216">
        <f ca="1">'1. Demande'!AK80</f>
        <v>0</v>
      </c>
      <c r="K165">
        <f>'1. Demande'!AO80</f>
        <v>0</v>
      </c>
      <c r="Z165" s="401">
        <v>181</v>
      </c>
      <c r="AA165" s="402" t="s">
        <v>385</v>
      </c>
      <c r="AB165" s="402" t="s">
        <v>288</v>
      </c>
      <c r="AC165" s="402" t="s">
        <v>826</v>
      </c>
      <c r="AD165" s="403">
        <v>875.54000000000019</v>
      </c>
      <c r="AE165" s="402" t="s">
        <v>5307</v>
      </c>
      <c r="AF165" s="402" t="s">
        <v>5260</v>
      </c>
    </row>
    <row r="166" spans="1:32" ht="12.75" customHeight="1">
      <c r="A166" t="str">
        <f t="shared" si="2"/>
        <v>115120150</v>
      </c>
      <c r="B166" t="e">
        <f ca="1">'1. Demande'!D81</f>
        <v>#N/A</v>
      </c>
      <c r="C166">
        <f>'1. Demande'!E81</f>
        <v>0</v>
      </c>
      <c r="D166" t="str">
        <f ca="1">'1. Demande'!K81</f>
        <v/>
      </c>
      <c r="E166">
        <f>'1. Demande'!O81</f>
        <v>0</v>
      </c>
      <c r="F166">
        <f>'1. Demande'!S81</f>
        <v>0</v>
      </c>
      <c r="G166" s="216">
        <f>'1. Demande'!W81</f>
        <v>0</v>
      </c>
      <c r="H166" s="191">
        <f ca="1">'1. Demande'!AB81</f>
        <v>0</v>
      </c>
      <c r="I166" s="191">
        <f ca="1">'1. Demande'!AF81</f>
        <v>0</v>
      </c>
      <c r="J166" s="216">
        <f ca="1">'1. Demande'!AK81</f>
        <v>0</v>
      </c>
      <c r="K166">
        <f>'1. Demande'!AO81</f>
        <v>0</v>
      </c>
      <c r="Z166" s="401">
        <v>231</v>
      </c>
      <c r="AA166" s="402" t="s">
        <v>386</v>
      </c>
      <c r="AB166" s="402" t="s">
        <v>288</v>
      </c>
      <c r="AC166" s="402" t="s">
        <v>827</v>
      </c>
      <c r="AD166" s="403">
        <v>2570.866</v>
      </c>
      <c r="AE166" s="402" t="s">
        <v>5307</v>
      </c>
      <c r="AF166" s="402" t="s">
        <v>5260</v>
      </c>
    </row>
    <row r="167" spans="1:32" ht="12.75" customHeight="1">
      <c r="Z167" s="401">
        <v>225</v>
      </c>
      <c r="AA167" s="402" t="s">
        <v>387</v>
      </c>
      <c r="AB167" s="402" t="s">
        <v>288</v>
      </c>
      <c r="AC167" s="402" t="s">
        <v>828</v>
      </c>
      <c r="AD167" s="403">
        <v>2260.6659999999997</v>
      </c>
      <c r="AE167" s="402" t="s">
        <v>5307</v>
      </c>
      <c r="AF167" s="402" t="s">
        <v>5260</v>
      </c>
    </row>
    <row r="168" spans="1:32" ht="12.75" customHeight="1">
      <c r="A168" t="s">
        <v>331</v>
      </c>
      <c r="B168" t="s">
        <v>60</v>
      </c>
      <c r="C168" t="s">
        <v>61</v>
      </c>
      <c r="D168" t="s">
        <v>81</v>
      </c>
      <c r="E168" t="s">
        <v>427</v>
      </c>
      <c r="F168" t="s">
        <v>82</v>
      </c>
      <c r="G168" t="s">
        <v>426</v>
      </c>
      <c r="H168" t="s">
        <v>83</v>
      </c>
      <c r="I168" t="s">
        <v>84</v>
      </c>
      <c r="J168" t="s">
        <v>428</v>
      </c>
      <c r="K168" t="s">
        <v>85</v>
      </c>
      <c r="L168" t="s">
        <v>429</v>
      </c>
      <c r="M168" t="s">
        <v>910</v>
      </c>
      <c r="N168" t="s">
        <v>86</v>
      </c>
      <c r="O168" t="s">
        <v>87</v>
      </c>
      <c r="P168" t="s">
        <v>430</v>
      </c>
      <c r="Q168" t="s">
        <v>88</v>
      </c>
      <c r="R168" t="s">
        <v>431</v>
      </c>
      <c r="S168" t="s">
        <v>89</v>
      </c>
      <c r="T168" t="s">
        <v>90</v>
      </c>
      <c r="U168" t="s">
        <v>432</v>
      </c>
      <c r="V168" t="s">
        <v>91</v>
      </c>
      <c r="W168" t="s">
        <v>911</v>
      </c>
      <c r="X168" t="s">
        <v>92</v>
      </c>
      <c r="Z168" s="401">
        <v>239</v>
      </c>
      <c r="AA168" s="402" t="s">
        <v>388</v>
      </c>
      <c r="AB168" s="402" t="s">
        <v>288</v>
      </c>
      <c r="AC168" s="402" t="s">
        <v>5350</v>
      </c>
      <c r="AD168" s="403">
        <v>3100.165</v>
      </c>
      <c r="AE168" s="402" t="s">
        <v>5307</v>
      </c>
      <c r="AF168" s="402" t="s">
        <v>5260</v>
      </c>
    </row>
    <row r="169" spans="1:32" ht="12.75" customHeight="1">
      <c r="A169" t="str">
        <f t="shared" ref="A169:A174" si="3">DQ$2</f>
        <v>115120150</v>
      </c>
      <c r="B169">
        <f>'1. Demande'!E88</f>
        <v>1</v>
      </c>
      <c r="C169" t="str">
        <f>IF('1. Demande'!F88="","",'1. Demande'!F88)</f>
        <v/>
      </c>
      <c r="D169">
        <f>'1. Demande'!H88</f>
        <v>0</v>
      </c>
      <c r="E169">
        <f t="shared" ref="E169:E174" ca="1" si="4">IF(F169="",0,INDEX(OFFSET(PRP,,-1,,),MATCH(F169,PRP,0)))</f>
        <v>0</v>
      </c>
      <c r="F169" t="str">
        <f>IF('1. Demande'!K88="","",'1. Demande'!K88)</f>
        <v/>
      </c>
      <c r="G169" t="str">
        <f ca="1">IF(F169="","",INDEX(OFFSET(PRP,,2,,),MATCH(F169,PRP,0)))</f>
        <v/>
      </c>
      <c r="H169" t="str">
        <f ca="1">'1. Demande'!Q88</f>
        <v/>
      </c>
      <c r="I169" s="52">
        <f>'1. Demande'!S88</f>
        <v>0</v>
      </c>
      <c r="J169">
        <f t="shared" ref="J169:J174" ca="1" si="5">INDEX(OFFSET(Unite,,-1,,),MATCH(K169,Unite,0))</f>
        <v>0</v>
      </c>
      <c r="K169" t="str">
        <f>'1. Demande'!V88</f>
        <v>Choisir…</v>
      </c>
      <c r="L169" s="205">
        <f>'1. Demande'!AB$85</f>
        <v>0.15</v>
      </c>
      <c r="M169" s="154">
        <f>'1. Demande'!AB$85*'1. Demande'!S88</f>
        <v>0</v>
      </c>
      <c r="N169">
        <f ca="1">'1. Demande'!Y88</f>
        <v>0</v>
      </c>
      <c r="O169">
        <f>'1. Demande'!AA88</f>
        <v>0</v>
      </c>
      <c r="P169">
        <f t="shared" ref="P169:P174" ca="1" si="6">IF(Q169="",0,INDEX(OFFSET(PRP,,-1,,),MATCH(Q169,PRP,0)))</f>
        <v>0</v>
      </c>
      <c r="Q169" t="str">
        <f>IF('1. Demande'!AD88="","",'1. Demande'!AD88)</f>
        <v/>
      </c>
      <c r="R169" t="str">
        <f t="shared" ref="R169:R174" ca="1" si="7">IF(Q169="","",INDEX(OFFSET(PRP,,2,,),MATCH(Q169,PRP,0)))</f>
        <v/>
      </c>
      <c r="S169" t="str">
        <f ca="1">'1. Demande'!AJ88</f>
        <v/>
      </c>
      <c r="T169">
        <f>'1. Demande'!AL88</f>
        <v>0</v>
      </c>
      <c r="U169">
        <f t="shared" ref="U169:U174" ca="1" si="8">INDEX(OFFSET(Unite,,-1,,),MATCH(V169,Unite,0))</f>
        <v>0</v>
      </c>
      <c r="V169" t="str">
        <f>'1. Demande'!AO88</f>
        <v>Choisir…</v>
      </c>
      <c r="W169">
        <f>'1. Demande'!AB$85*'1. Demande'!AL88</f>
        <v>0</v>
      </c>
      <c r="X169">
        <f ca="1">'1. Demande'!AQ88</f>
        <v>0</v>
      </c>
      <c r="Z169" s="401">
        <v>259</v>
      </c>
      <c r="AA169" s="402" t="s">
        <v>389</v>
      </c>
      <c r="AB169" s="402" t="s">
        <v>288</v>
      </c>
      <c r="AC169" s="402" t="s">
        <v>829</v>
      </c>
      <c r="AD169" s="403">
        <v>7264.7650000000003</v>
      </c>
      <c r="AE169" s="402" t="s">
        <v>5307</v>
      </c>
      <c r="AF169" s="402" t="s">
        <v>5260</v>
      </c>
    </row>
    <row r="170" spans="1:32" ht="12.75" customHeight="1">
      <c r="A170" t="str">
        <f t="shared" si="3"/>
        <v>115120150</v>
      </c>
      <c r="B170">
        <f>'1. Demande'!E89</f>
        <v>2</v>
      </c>
      <c r="C170" t="str">
        <f>IF('1. Demande'!F89="","",'1. Demande'!F89)</f>
        <v/>
      </c>
      <c r="D170">
        <f>'1. Demande'!H89</f>
        <v>0</v>
      </c>
      <c r="E170">
        <f t="shared" ca="1" si="4"/>
        <v>0</v>
      </c>
      <c r="F170" t="str">
        <f>IF('1. Demande'!K89="","",'1. Demande'!K89)</f>
        <v/>
      </c>
      <c r="H170" t="str">
        <f ca="1">'1. Demande'!Q89</f>
        <v/>
      </c>
      <c r="I170" s="52">
        <f>'1. Demande'!S89</f>
        <v>0</v>
      </c>
      <c r="J170">
        <f t="shared" ca="1" si="5"/>
        <v>0</v>
      </c>
      <c r="K170" t="str">
        <f>'1. Demande'!V89</f>
        <v>Choisir…</v>
      </c>
      <c r="L170" s="205">
        <f>'1. Demande'!AB$85</f>
        <v>0.15</v>
      </c>
      <c r="M170" s="154">
        <f>'1. Demande'!AB$85*'1. Demande'!S89</f>
        <v>0</v>
      </c>
      <c r="N170">
        <f ca="1">'1. Demande'!Y89</f>
        <v>0</v>
      </c>
      <c r="O170">
        <f>'1. Demande'!AA89</f>
        <v>0</v>
      </c>
      <c r="P170">
        <f t="shared" ca="1" si="6"/>
        <v>0</v>
      </c>
      <c r="Q170" t="str">
        <f>IF('1. Demande'!AD89="","",'1. Demande'!AD89)</f>
        <v/>
      </c>
      <c r="R170" t="str">
        <f t="shared" ca="1" si="7"/>
        <v/>
      </c>
      <c r="S170" t="str">
        <f ca="1">'1. Demande'!AJ89</f>
        <v/>
      </c>
      <c r="T170">
        <f>'1. Demande'!AL89</f>
        <v>0</v>
      </c>
      <c r="U170">
        <f t="shared" ca="1" si="8"/>
        <v>0</v>
      </c>
      <c r="V170" t="str">
        <f>'1. Demande'!AO89</f>
        <v>Choisir…</v>
      </c>
      <c r="W170">
        <f>'1. Demande'!AB$85*'1. Demande'!AL89</f>
        <v>0</v>
      </c>
      <c r="X170">
        <f ca="1">'1. Demande'!AQ89</f>
        <v>0</v>
      </c>
      <c r="Z170" s="401">
        <v>245</v>
      </c>
      <c r="AA170" s="402" t="s">
        <v>390</v>
      </c>
      <c r="AB170" s="402" t="s">
        <v>288</v>
      </c>
      <c r="AC170" s="402" t="s">
        <v>790</v>
      </c>
      <c r="AD170" s="403">
        <v>3942.8</v>
      </c>
      <c r="AE170" s="402" t="s">
        <v>5307</v>
      </c>
      <c r="AF170" s="402" t="s">
        <v>5260</v>
      </c>
    </row>
    <row r="171" spans="1:32" ht="12.75" customHeight="1">
      <c r="A171" t="str">
        <f t="shared" si="3"/>
        <v>115120150</v>
      </c>
      <c r="B171">
        <f>'1. Demande'!E90</f>
        <v>3</v>
      </c>
      <c r="C171" t="str">
        <f>IF('1. Demande'!F90="","",'1. Demande'!F90)</f>
        <v/>
      </c>
      <c r="D171">
        <f>'1. Demande'!H90</f>
        <v>0</v>
      </c>
      <c r="E171">
        <f t="shared" ca="1" si="4"/>
        <v>0</v>
      </c>
      <c r="F171" t="str">
        <f>IF('1. Demande'!K90="","",'1. Demande'!K90)</f>
        <v/>
      </c>
      <c r="H171" t="str">
        <f ca="1">'1. Demande'!Q90</f>
        <v/>
      </c>
      <c r="I171" s="52">
        <f>'1. Demande'!S90</f>
        <v>0</v>
      </c>
      <c r="J171">
        <f t="shared" ca="1" si="5"/>
        <v>0</v>
      </c>
      <c r="K171" t="str">
        <f>'1. Demande'!V90</f>
        <v>Choisir…</v>
      </c>
      <c r="L171" s="205">
        <f>'1. Demande'!AB$85</f>
        <v>0.15</v>
      </c>
      <c r="M171" s="154">
        <f>'1. Demande'!AB$85*'1. Demande'!S90</f>
        <v>0</v>
      </c>
      <c r="N171">
        <f ca="1">'1. Demande'!Y90</f>
        <v>0</v>
      </c>
      <c r="O171">
        <f>'1. Demande'!AA90</f>
        <v>0</v>
      </c>
      <c r="P171">
        <f t="shared" ca="1" si="6"/>
        <v>0</v>
      </c>
      <c r="Q171" t="str">
        <f>IF('1. Demande'!AD90="","",'1. Demande'!AD90)</f>
        <v/>
      </c>
      <c r="R171" t="str">
        <f t="shared" ca="1" si="7"/>
        <v/>
      </c>
      <c r="S171" t="str">
        <f ca="1">'1. Demande'!AJ90</f>
        <v/>
      </c>
      <c r="T171">
        <f>'1. Demande'!AL90</f>
        <v>0</v>
      </c>
      <c r="U171">
        <f t="shared" ca="1" si="8"/>
        <v>0</v>
      </c>
      <c r="V171" t="str">
        <f>'1. Demande'!AO90</f>
        <v>Choisir…</v>
      </c>
      <c r="W171">
        <f>'1. Demande'!AB$85*'1. Demande'!AL90</f>
        <v>0</v>
      </c>
      <c r="X171">
        <f ca="1">'1. Demande'!AQ90</f>
        <v>0</v>
      </c>
      <c r="Z171" s="401">
        <v>248</v>
      </c>
      <c r="AA171" s="402" t="s">
        <v>391</v>
      </c>
      <c r="AB171" s="402" t="s">
        <v>288</v>
      </c>
      <c r="AC171" s="402" t="s">
        <v>5353</v>
      </c>
      <c r="AD171" s="403">
        <v>4584.16</v>
      </c>
      <c r="AE171" s="402" t="s">
        <v>5307</v>
      </c>
      <c r="AF171" s="402" t="s">
        <v>5260</v>
      </c>
    </row>
    <row r="172" spans="1:32" ht="12.75" customHeight="1">
      <c r="A172" t="str">
        <f t="shared" si="3"/>
        <v>115120150</v>
      </c>
      <c r="B172">
        <f>'1. Demande'!E91</f>
        <v>4</v>
      </c>
      <c r="C172" t="str">
        <f>IF('1. Demande'!F91="","",'1. Demande'!F91)</f>
        <v/>
      </c>
      <c r="D172">
        <f>'1. Demande'!H91</f>
        <v>0</v>
      </c>
      <c r="E172">
        <f t="shared" ca="1" si="4"/>
        <v>0</v>
      </c>
      <c r="F172" t="str">
        <f>IF('1. Demande'!K91="","",'1. Demande'!K91)</f>
        <v/>
      </c>
      <c r="H172" t="str">
        <f ca="1">'1. Demande'!Q91</f>
        <v/>
      </c>
      <c r="I172" s="52">
        <f>'1. Demande'!S91</f>
        <v>0</v>
      </c>
      <c r="J172">
        <f t="shared" ca="1" si="5"/>
        <v>0</v>
      </c>
      <c r="K172" t="str">
        <f>'1. Demande'!V91</f>
        <v>Choisir…</v>
      </c>
      <c r="L172" s="205">
        <f>'1. Demande'!AB$85</f>
        <v>0.15</v>
      </c>
      <c r="M172" s="154">
        <f>'1. Demande'!AB$85*'1. Demande'!S91</f>
        <v>0</v>
      </c>
      <c r="N172">
        <f ca="1">'1. Demande'!Y91</f>
        <v>0</v>
      </c>
      <c r="O172">
        <f>'1. Demande'!AA91</f>
        <v>0</v>
      </c>
      <c r="P172">
        <f t="shared" ca="1" si="6"/>
        <v>0</v>
      </c>
      <c r="Q172" t="str">
        <f>IF('1. Demande'!AD91="","",'1. Demande'!AD91)</f>
        <v/>
      </c>
      <c r="R172" t="str">
        <f t="shared" ca="1" si="7"/>
        <v/>
      </c>
      <c r="S172" t="str">
        <f ca="1">'1. Demande'!AJ91</f>
        <v/>
      </c>
      <c r="T172">
        <f>'1. Demande'!AL91</f>
        <v>0</v>
      </c>
      <c r="U172">
        <f t="shared" ca="1" si="8"/>
        <v>0</v>
      </c>
      <c r="V172" t="str">
        <f>'1. Demande'!AO91</f>
        <v>Choisir…</v>
      </c>
      <c r="W172">
        <f>'1. Demande'!AB$85*'1. Demande'!AL91</f>
        <v>0</v>
      </c>
      <c r="X172">
        <f ca="1">'1. Demande'!AQ91</f>
        <v>0</v>
      </c>
      <c r="Z172" s="401">
        <v>213</v>
      </c>
      <c r="AA172" s="402" t="s">
        <v>5439</v>
      </c>
      <c r="AB172" s="402" t="s">
        <v>288</v>
      </c>
      <c r="AC172" s="402" t="s">
        <v>5440</v>
      </c>
      <c r="AD172" s="403">
        <v>1779.92</v>
      </c>
      <c r="AE172" s="402" t="s">
        <v>5307</v>
      </c>
      <c r="AF172" s="402" t="s">
        <v>5260</v>
      </c>
    </row>
    <row r="173" spans="1:32" ht="12.75" customHeight="1">
      <c r="A173" t="str">
        <f t="shared" si="3"/>
        <v>115120150</v>
      </c>
      <c r="B173">
        <f>'1. Demande'!E92</f>
        <v>5</v>
      </c>
      <c r="C173" t="str">
        <f>IF('1. Demande'!F92="","",'1. Demande'!F92)</f>
        <v/>
      </c>
      <c r="D173">
        <f>'1. Demande'!H92</f>
        <v>0</v>
      </c>
      <c r="E173">
        <f t="shared" ca="1" si="4"/>
        <v>0</v>
      </c>
      <c r="F173" t="str">
        <f>IF('1. Demande'!K92="","",'1. Demande'!K92)</f>
        <v/>
      </c>
      <c r="H173" t="str">
        <f ca="1">'1. Demande'!Q92</f>
        <v/>
      </c>
      <c r="I173" s="52">
        <f>'1. Demande'!S92</f>
        <v>0</v>
      </c>
      <c r="J173">
        <f t="shared" ca="1" si="5"/>
        <v>0</v>
      </c>
      <c r="K173" t="str">
        <f>'1. Demande'!V92</f>
        <v>Choisir…</v>
      </c>
      <c r="L173" s="205">
        <f>'1. Demande'!AB$85</f>
        <v>0.15</v>
      </c>
      <c r="M173" s="154">
        <f>'1. Demande'!AB$85*'1. Demande'!S92</f>
        <v>0</v>
      </c>
      <c r="N173">
        <f ca="1">'1. Demande'!Y92</f>
        <v>0</v>
      </c>
      <c r="O173">
        <f>'1. Demande'!AA92</f>
        <v>0</v>
      </c>
      <c r="P173">
        <f t="shared" ca="1" si="6"/>
        <v>0</v>
      </c>
      <c r="Q173" t="str">
        <f>IF('1. Demande'!AD92="","",'1. Demande'!AD92)</f>
        <v/>
      </c>
      <c r="R173" t="str">
        <f t="shared" ca="1" si="7"/>
        <v/>
      </c>
      <c r="S173" t="str">
        <f ca="1">'1. Demande'!AJ92</f>
        <v/>
      </c>
      <c r="T173">
        <f>'1. Demande'!AL92</f>
        <v>0</v>
      </c>
      <c r="U173">
        <f t="shared" ca="1" si="8"/>
        <v>0</v>
      </c>
      <c r="V173" t="str">
        <f>'1. Demande'!AO92</f>
        <v>Choisir…</v>
      </c>
      <c r="W173">
        <f>'1. Demande'!AB$85*'1. Demande'!AL92</f>
        <v>0</v>
      </c>
      <c r="X173">
        <f ca="1">'1. Demande'!AQ92</f>
        <v>0</v>
      </c>
      <c r="Z173" s="401">
        <v>216</v>
      </c>
      <c r="AA173" s="402" t="s">
        <v>5445</v>
      </c>
      <c r="AB173" s="402" t="s">
        <v>288</v>
      </c>
      <c r="AC173" s="402" t="s">
        <v>5446</v>
      </c>
      <c r="AD173" s="403">
        <v>1923.4</v>
      </c>
      <c r="AE173" s="402" t="s">
        <v>5307</v>
      </c>
      <c r="AF173" s="402" t="s">
        <v>5260</v>
      </c>
    </row>
    <row r="174" spans="1:32" ht="12.75" customHeight="1">
      <c r="A174" t="str">
        <f t="shared" si="3"/>
        <v>115120150</v>
      </c>
      <c r="B174">
        <f>'1. Demande'!E93</f>
        <v>6</v>
      </c>
      <c r="C174" t="str">
        <f>IF('1. Demande'!F93="","",'1. Demande'!F93)</f>
        <v/>
      </c>
      <c r="D174">
        <f>'1. Demande'!H93</f>
        <v>0</v>
      </c>
      <c r="E174">
        <f t="shared" ca="1" si="4"/>
        <v>0</v>
      </c>
      <c r="F174" t="str">
        <f>IF('1. Demande'!K93="","",'1. Demande'!K93)</f>
        <v/>
      </c>
      <c r="H174" t="str">
        <f ca="1">'1. Demande'!Q93</f>
        <v/>
      </c>
      <c r="I174" s="52">
        <f>'1. Demande'!S93</f>
        <v>0</v>
      </c>
      <c r="J174">
        <f t="shared" ca="1" si="5"/>
        <v>0</v>
      </c>
      <c r="K174" t="str">
        <f>'1. Demande'!V93</f>
        <v>Choisir…</v>
      </c>
      <c r="L174" s="205">
        <f>'1. Demande'!AB$85</f>
        <v>0.15</v>
      </c>
      <c r="M174" s="154">
        <f>'1. Demande'!AB$85*'1. Demande'!S93</f>
        <v>0</v>
      </c>
      <c r="N174">
        <f ca="1">'1. Demande'!Y93</f>
        <v>0</v>
      </c>
      <c r="O174">
        <f>'1. Demande'!AA93</f>
        <v>0</v>
      </c>
      <c r="P174">
        <f t="shared" ca="1" si="6"/>
        <v>0</v>
      </c>
      <c r="Q174" t="str">
        <f>IF('1. Demande'!AD93="","",'1. Demande'!AD93)</f>
        <v/>
      </c>
      <c r="R174" t="str">
        <f t="shared" ca="1" si="7"/>
        <v/>
      </c>
      <c r="S174" t="str">
        <f ca="1">'1. Demande'!AJ93</f>
        <v/>
      </c>
      <c r="T174">
        <f>'1. Demande'!AL93</f>
        <v>0</v>
      </c>
      <c r="U174">
        <f t="shared" ca="1" si="8"/>
        <v>0</v>
      </c>
      <c r="V174" t="str">
        <f>'1. Demande'!AO93</f>
        <v>Choisir…</v>
      </c>
      <c r="W174">
        <f>'1. Demande'!AB$85*'1. Demande'!AL93</f>
        <v>0</v>
      </c>
      <c r="X174">
        <f ca="1">'1. Demande'!AQ93</f>
        <v>0</v>
      </c>
      <c r="Z174" s="401">
        <v>230</v>
      </c>
      <c r="AA174" s="402" t="s">
        <v>392</v>
      </c>
      <c r="AB174" s="402" t="s">
        <v>288</v>
      </c>
      <c r="AC174" s="402" t="s">
        <v>830</v>
      </c>
      <c r="AD174" s="403">
        <v>2546.6999999999998</v>
      </c>
      <c r="AE174" s="402" t="s">
        <v>5307</v>
      </c>
      <c r="AF174" s="402" t="s">
        <v>5260</v>
      </c>
    </row>
    <row r="175" spans="1:32" ht="12.75" customHeight="1">
      <c r="F175" s="187"/>
      <c r="H175" s="205"/>
      <c r="Z175" s="401">
        <v>206</v>
      </c>
      <c r="AA175" s="402" t="s">
        <v>5425</v>
      </c>
      <c r="AB175" s="402" t="s">
        <v>288</v>
      </c>
      <c r="AC175" s="402" t="s">
        <v>5426</v>
      </c>
      <c r="AD175" s="403">
        <v>1624.21</v>
      </c>
      <c r="AE175" s="402" t="s">
        <v>5307</v>
      </c>
      <c r="AF175" s="402" t="s">
        <v>5260</v>
      </c>
    </row>
    <row r="176" spans="1:32" ht="12.75" customHeight="1">
      <c r="A176" t="s">
        <v>331</v>
      </c>
      <c r="B176" t="s">
        <v>751</v>
      </c>
      <c r="C176" t="s">
        <v>752</v>
      </c>
      <c r="D176" t="s">
        <v>56</v>
      </c>
      <c r="E176" t="s">
        <v>77</v>
      </c>
      <c r="F176" t="s">
        <v>677</v>
      </c>
      <c r="G176" t="s">
        <v>57</v>
      </c>
      <c r="H176" t="s">
        <v>58</v>
      </c>
      <c r="I176" t="s">
        <v>240</v>
      </c>
      <c r="J176" s="187" t="s">
        <v>59</v>
      </c>
      <c r="K176" t="s">
        <v>76</v>
      </c>
      <c r="L176" t="s">
        <v>74</v>
      </c>
      <c r="M176" t="s">
        <v>73</v>
      </c>
      <c r="Z176" s="401">
        <v>204</v>
      </c>
      <c r="AA176" s="402" t="s">
        <v>5421</v>
      </c>
      <c r="AB176" s="402" t="s">
        <v>288</v>
      </c>
      <c r="AC176" s="402" t="s">
        <v>5422</v>
      </c>
      <c r="AD176" s="403">
        <v>1487.05</v>
      </c>
      <c r="AE176" s="402" t="s">
        <v>5307</v>
      </c>
      <c r="AF176" s="402" t="s">
        <v>5260</v>
      </c>
    </row>
    <row r="177" spans="1:32" ht="12.75" customHeight="1">
      <c r="A177" t="str">
        <f t="shared" ref="A177:A182" si="9">DQ$2</f>
        <v>115120150</v>
      </c>
      <c r="B177">
        <f t="shared" ref="B177:B182" si="10">IF(E$58=TRUE,5,IF(F$58=TRUE,6,0))</f>
        <v>0</v>
      </c>
      <c r="C177" t="str">
        <f ca="1">'1. Demande'!D169</f>
        <v/>
      </c>
      <c r="D177" t="str">
        <f>'1. Demande'!E169</f>
        <v>Choisir…</v>
      </c>
      <c r="E177" t="b">
        <v>0</v>
      </c>
      <c r="F177" t="str">
        <f t="shared" ref="F177:F182" ca="1" si="11">IF(AND(DP$2="Agricole",LEFT(C177,2)="52"),"Agricole","Affaires")</f>
        <v>Affaires</v>
      </c>
      <c r="G177">
        <f>'1. Demande'!W169</f>
        <v>0</v>
      </c>
      <c r="H177">
        <f>'1. Demande'!AB169</f>
        <v>0</v>
      </c>
      <c r="I177">
        <f>'1. Demande'!AF169</f>
        <v>0</v>
      </c>
      <c r="J177" s="187">
        <f>'1. Demande'!AK169</f>
        <v>0</v>
      </c>
      <c r="K177" s="46">
        <f>'1. Demande'!S169</f>
        <v>0</v>
      </c>
      <c r="L177" s="3" t="str">
        <f t="shared" ref="L177:L182" ca="1" si="12">IF(D177&lt;&gt;"Choisir…",INDEX(OFFSET(INDIRECT(AD$30),,1,,),MATCH(D177,INDIRECT(AD$30),0)),"")</f>
        <v/>
      </c>
      <c r="M177" s="3" t="str">
        <f t="shared" ref="M177:M182" ca="1" si="13">IF(D177&lt;&gt;"Choisir…",INDEX(OFFSET(INDIRECT(AD$30),,2,,),MATCH(D177,INDIRECT(AD$30),0)),"")</f>
        <v/>
      </c>
      <c r="Z177" s="401">
        <v>198</v>
      </c>
      <c r="AA177" s="402" t="s">
        <v>5409</v>
      </c>
      <c r="AB177" s="402" t="s">
        <v>288</v>
      </c>
      <c r="AC177" s="402" t="s">
        <v>5410</v>
      </c>
      <c r="AD177" s="403">
        <v>1424.75</v>
      </c>
      <c r="AE177" s="402" t="s">
        <v>5307</v>
      </c>
      <c r="AF177" s="402" t="s">
        <v>5260</v>
      </c>
    </row>
    <row r="178" spans="1:32" ht="12.75" customHeight="1">
      <c r="A178" t="str">
        <f t="shared" si="9"/>
        <v>115120150</v>
      </c>
      <c r="B178">
        <f t="shared" si="10"/>
        <v>0</v>
      </c>
      <c r="C178" t="str">
        <f ca="1">'1. Demande'!D170</f>
        <v/>
      </c>
      <c r="D178" t="str">
        <f>'1. Demande'!E170</f>
        <v>Choisir…</v>
      </c>
      <c r="E178" t="b">
        <v>0</v>
      </c>
      <c r="F178" t="str">
        <f t="shared" ca="1" si="11"/>
        <v>Affaires</v>
      </c>
      <c r="G178">
        <f>'1. Demande'!W170</f>
        <v>0</v>
      </c>
      <c r="H178">
        <f>'1. Demande'!AB170</f>
        <v>0</v>
      </c>
      <c r="I178">
        <f>'1. Demande'!AF170</f>
        <v>0</v>
      </c>
      <c r="J178" s="187">
        <f>'1. Demande'!AK170</f>
        <v>0</v>
      </c>
      <c r="K178" s="46">
        <f>'1. Demande'!S170</f>
        <v>0</v>
      </c>
      <c r="L178" s="3" t="str">
        <f t="shared" ca="1" si="12"/>
        <v/>
      </c>
      <c r="M178" s="3" t="str">
        <f t="shared" ca="1" si="13"/>
        <v/>
      </c>
      <c r="Z178" s="401">
        <v>241</v>
      </c>
      <c r="AA178" s="402" t="s">
        <v>393</v>
      </c>
      <c r="AB178" s="402" t="s">
        <v>288</v>
      </c>
      <c r="AC178" s="402" t="s">
        <v>831</v>
      </c>
      <c r="AD178" s="403">
        <v>3257.1</v>
      </c>
      <c r="AE178" s="402" t="s">
        <v>5307</v>
      </c>
      <c r="AF178" s="402" t="s">
        <v>5260</v>
      </c>
    </row>
    <row r="179" spans="1:32" ht="12.75" customHeight="1">
      <c r="A179" t="str">
        <f t="shared" si="9"/>
        <v>115120150</v>
      </c>
      <c r="B179">
        <f t="shared" si="10"/>
        <v>0</v>
      </c>
      <c r="C179" t="str">
        <f ca="1">'1. Demande'!D171</f>
        <v/>
      </c>
      <c r="D179" t="str">
        <f>'1. Demande'!E171</f>
        <v>Choisir…</v>
      </c>
      <c r="E179" t="b">
        <v>0</v>
      </c>
      <c r="F179" t="str">
        <f t="shared" ca="1" si="11"/>
        <v>Affaires</v>
      </c>
      <c r="G179">
        <f>'1. Demande'!W171</f>
        <v>0</v>
      </c>
      <c r="H179">
        <f>'1. Demande'!AB171</f>
        <v>0</v>
      </c>
      <c r="I179">
        <f>'1. Demande'!AF171</f>
        <v>0</v>
      </c>
      <c r="J179" s="187">
        <f>'1. Demande'!AK171</f>
        <v>0</v>
      </c>
      <c r="K179" s="46">
        <f>'1. Demande'!S171</f>
        <v>0</v>
      </c>
      <c r="L179" s="3" t="str">
        <f t="shared" ca="1" si="12"/>
        <v/>
      </c>
      <c r="M179" s="3" t="str">
        <f t="shared" ca="1" si="13"/>
        <v/>
      </c>
      <c r="Z179" s="401">
        <v>203</v>
      </c>
      <c r="AA179" s="402" t="s">
        <v>5419</v>
      </c>
      <c r="AB179" s="402" t="s">
        <v>288</v>
      </c>
      <c r="AC179" s="402" t="s">
        <v>5420</v>
      </c>
      <c r="AD179" s="403">
        <v>1484.75</v>
      </c>
      <c r="AE179" s="402" t="s">
        <v>5307</v>
      </c>
      <c r="AF179" s="402" t="s">
        <v>5260</v>
      </c>
    </row>
    <row r="180" spans="1:32" ht="12.75" customHeight="1">
      <c r="A180" t="str">
        <f t="shared" si="9"/>
        <v>115120150</v>
      </c>
      <c r="B180">
        <f t="shared" si="10"/>
        <v>0</v>
      </c>
      <c r="C180" t="str">
        <f ca="1">'1. Demande'!D172</f>
        <v/>
      </c>
      <c r="D180" t="str">
        <f>'1. Demande'!E172</f>
        <v>Choisir…</v>
      </c>
      <c r="E180" t="b">
        <v>0</v>
      </c>
      <c r="F180" t="str">
        <f t="shared" ca="1" si="11"/>
        <v>Affaires</v>
      </c>
      <c r="G180">
        <f>'1. Demande'!W172</f>
        <v>0</v>
      </c>
      <c r="H180">
        <f>'1. Demande'!AB172</f>
        <v>0</v>
      </c>
      <c r="I180">
        <f>'1. Demande'!AF172</f>
        <v>0</v>
      </c>
      <c r="J180" s="187">
        <f>'1. Demande'!AK172</f>
        <v>0</v>
      </c>
      <c r="K180" s="46">
        <f>'1. Demande'!S172</f>
        <v>0</v>
      </c>
      <c r="L180" s="3" t="str">
        <f t="shared" ca="1" si="12"/>
        <v/>
      </c>
      <c r="M180" s="3" t="str">
        <f t="shared" ca="1" si="13"/>
        <v/>
      </c>
      <c r="Z180" s="401">
        <v>202</v>
      </c>
      <c r="AA180" s="402" t="s">
        <v>5417</v>
      </c>
      <c r="AB180" s="402" t="s">
        <v>288</v>
      </c>
      <c r="AC180" s="402" t="s">
        <v>5418</v>
      </c>
      <c r="AD180" s="403">
        <v>1473.75</v>
      </c>
      <c r="AE180" s="402" t="s">
        <v>5307</v>
      </c>
      <c r="AF180" s="402" t="s">
        <v>5260</v>
      </c>
    </row>
    <row r="181" spans="1:32" ht="12.75" customHeight="1">
      <c r="A181" t="str">
        <f t="shared" si="9"/>
        <v>115120150</v>
      </c>
      <c r="B181">
        <f t="shared" si="10"/>
        <v>0</v>
      </c>
      <c r="C181" t="str">
        <f ca="1">'1. Demande'!D173</f>
        <v/>
      </c>
      <c r="D181" t="str">
        <f>'1. Demande'!E173</f>
        <v>Choisir…</v>
      </c>
      <c r="E181" t="b">
        <v>0</v>
      </c>
      <c r="F181" t="str">
        <f t="shared" ca="1" si="11"/>
        <v>Affaires</v>
      </c>
      <c r="G181">
        <f>'1. Demande'!W173</f>
        <v>0</v>
      </c>
      <c r="H181">
        <f>'1. Demande'!AB173</f>
        <v>0</v>
      </c>
      <c r="I181">
        <f>'1. Demande'!AF173</f>
        <v>0</v>
      </c>
      <c r="J181" s="187">
        <f>'1. Demande'!AK173</f>
        <v>0</v>
      </c>
      <c r="K181" s="46">
        <f>'1. Demande'!S173</f>
        <v>0</v>
      </c>
      <c r="L181" s="3" t="str">
        <f t="shared" ca="1" si="12"/>
        <v/>
      </c>
      <c r="M181" s="3" t="str">
        <f t="shared" ca="1" si="13"/>
        <v/>
      </c>
      <c r="Z181" s="401">
        <v>217</v>
      </c>
      <c r="AA181" s="402" t="s">
        <v>5447</v>
      </c>
      <c r="AB181" s="402" t="s">
        <v>288</v>
      </c>
      <c r="AC181" s="402" t="s">
        <v>5448</v>
      </c>
      <c r="AD181" s="403">
        <v>1923.5</v>
      </c>
      <c r="AE181" s="402" t="s">
        <v>5307</v>
      </c>
      <c r="AF181" s="402" t="s">
        <v>5260</v>
      </c>
    </row>
    <row r="182" spans="1:32" ht="12.75" customHeight="1">
      <c r="A182" t="str">
        <f t="shared" si="9"/>
        <v>115120150</v>
      </c>
      <c r="B182">
        <f t="shared" si="10"/>
        <v>0</v>
      </c>
      <c r="C182" t="str">
        <f ca="1">'1. Demande'!D174</f>
        <v/>
      </c>
      <c r="D182" t="str">
        <f>'1. Demande'!E174</f>
        <v>Choisir…</v>
      </c>
      <c r="E182" t="b">
        <v>0</v>
      </c>
      <c r="F182" t="str">
        <f t="shared" ca="1" si="11"/>
        <v>Affaires</v>
      </c>
      <c r="G182">
        <f>'1. Demande'!W174</f>
        <v>0</v>
      </c>
      <c r="H182">
        <f>'1. Demande'!AB174</f>
        <v>0</v>
      </c>
      <c r="I182">
        <f>'1. Demande'!AF174</f>
        <v>0</v>
      </c>
      <c r="J182" s="187">
        <f>'1. Demande'!AK174</f>
        <v>0</v>
      </c>
      <c r="K182" s="46">
        <f>'1. Demande'!S174</f>
        <v>0</v>
      </c>
      <c r="L182" s="3" t="str">
        <f t="shared" ca="1" si="12"/>
        <v/>
      </c>
      <c r="M182" s="3" t="str">
        <f t="shared" ca="1" si="13"/>
        <v/>
      </c>
      <c r="Z182" s="401">
        <v>215</v>
      </c>
      <c r="AA182" s="402" t="s">
        <v>5443</v>
      </c>
      <c r="AB182" s="402" t="s">
        <v>288</v>
      </c>
      <c r="AC182" s="402" t="s">
        <v>5444</v>
      </c>
      <c r="AD182" s="403">
        <v>1798.85</v>
      </c>
      <c r="AE182" s="402" t="s">
        <v>5307</v>
      </c>
      <c r="AF182" s="402" t="s">
        <v>5260</v>
      </c>
    </row>
    <row r="183" spans="1:32" ht="12.75" customHeight="1">
      <c r="I183" s="187"/>
      <c r="K183" s="205"/>
      <c r="Z183" s="401">
        <v>205</v>
      </c>
      <c r="AA183" s="402" t="s">
        <v>5423</v>
      </c>
      <c r="AB183" s="402" t="s">
        <v>288</v>
      </c>
      <c r="AC183" s="402" t="s">
        <v>5424</v>
      </c>
      <c r="AD183" s="403">
        <v>1555.21</v>
      </c>
      <c r="AE183" s="402" t="s">
        <v>5307</v>
      </c>
      <c r="AF183" s="402" t="s">
        <v>5260</v>
      </c>
    </row>
    <row r="184" spans="1:32" ht="12.75" customHeight="1">
      <c r="F184" s="187"/>
      <c r="H184" s="205"/>
      <c r="Z184" s="401">
        <v>208</v>
      </c>
      <c r="AA184" s="402" t="s">
        <v>5429</v>
      </c>
      <c r="AB184" s="402" t="s">
        <v>288</v>
      </c>
      <c r="AC184" s="402" t="s">
        <v>5430</v>
      </c>
      <c r="AD184" s="403">
        <v>1658.6</v>
      </c>
      <c r="AE184" s="402" t="s">
        <v>5307</v>
      </c>
      <c r="AF184" s="402" t="s">
        <v>5260</v>
      </c>
    </row>
    <row r="185" spans="1:32" ht="12.75" customHeight="1">
      <c r="Z185" s="401">
        <v>223</v>
      </c>
      <c r="AA185" s="402" t="s">
        <v>394</v>
      </c>
      <c r="AB185" s="402" t="s">
        <v>288</v>
      </c>
      <c r="AC185" s="402" t="s">
        <v>834</v>
      </c>
      <c r="AD185" s="403">
        <v>2172</v>
      </c>
      <c r="AE185" s="402" t="s">
        <v>5307</v>
      </c>
      <c r="AF185" s="402" t="s">
        <v>5260</v>
      </c>
    </row>
    <row r="186" spans="1:32" ht="12.75" customHeight="1">
      <c r="Z186" s="401">
        <v>218</v>
      </c>
      <c r="AA186" s="402" t="s">
        <v>5449</v>
      </c>
      <c r="AB186" s="402" t="s">
        <v>288</v>
      </c>
      <c r="AC186" s="402" t="s">
        <v>5450</v>
      </c>
      <c r="AD186" s="403">
        <v>1945.09</v>
      </c>
      <c r="AE186" s="402" t="s">
        <v>5307</v>
      </c>
      <c r="AF186" s="402" t="s">
        <v>5260</v>
      </c>
    </row>
    <row r="187" spans="1:32" ht="12.75" customHeight="1">
      <c r="P187" s="206" t="s">
        <v>772</v>
      </c>
      <c r="Z187" s="401">
        <v>196</v>
      </c>
      <c r="AA187" s="402" t="s">
        <v>5405</v>
      </c>
      <c r="AB187" s="402" t="s">
        <v>288</v>
      </c>
      <c r="AC187" s="402" t="s">
        <v>5406</v>
      </c>
      <c r="AD187" s="403">
        <v>1374.615</v>
      </c>
      <c r="AE187" s="402" t="s">
        <v>5307</v>
      </c>
      <c r="AF187" s="402" t="s">
        <v>5260</v>
      </c>
    </row>
    <row r="188" spans="1:32" ht="12.75" customHeight="1">
      <c r="Z188" s="401">
        <v>191</v>
      </c>
      <c r="AA188" s="402" t="s">
        <v>5397</v>
      </c>
      <c r="AB188" s="402" t="s">
        <v>288</v>
      </c>
      <c r="AC188" s="402" t="s">
        <v>5398</v>
      </c>
      <c r="AD188" s="403">
        <v>1274.08</v>
      </c>
      <c r="AE188" s="402" t="s">
        <v>5307</v>
      </c>
      <c r="AF188" s="402" t="s">
        <v>5260</v>
      </c>
    </row>
    <row r="189" spans="1:32" ht="12.75" customHeight="1">
      <c r="Z189" s="401">
        <v>200</v>
      </c>
      <c r="AA189" s="402" t="s">
        <v>5413</v>
      </c>
      <c r="AB189" s="402" t="s">
        <v>288</v>
      </c>
      <c r="AC189" s="402" t="s">
        <v>5414</v>
      </c>
      <c r="AD189" s="403">
        <v>1468.0399999999997</v>
      </c>
      <c r="AE189" s="402" t="s">
        <v>5307</v>
      </c>
      <c r="AF189" s="402" t="s">
        <v>5260</v>
      </c>
    </row>
    <row r="190" spans="1:32" ht="12.75" customHeight="1">
      <c r="Z190" s="401">
        <v>166</v>
      </c>
      <c r="AA190" s="402" t="s">
        <v>0</v>
      </c>
      <c r="AB190" s="402" t="s">
        <v>288</v>
      </c>
      <c r="AC190" s="402" t="s">
        <v>1</v>
      </c>
      <c r="AD190" s="403">
        <v>543.5</v>
      </c>
      <c r="AE190" s="402" t="s">
        <v>5307</v>
      </c>
      <c r="AF190" s="402" t="s">
        <v>5260</v>
      </c>
    </row>
    <row r="191" spans="1:32" ht="12.75" customHeight="1">
      <c r="Z191" s="401">
        <v>185</v>
      </c>
      <c r="AA191" s="402" t="s">
        <v>2</v>
      </c>
      <c r="AB191" s="402" t="s">
        <v>288</v>
      </c>
      <c r="AC191" s="402" t="s">
        <v>3</v>
      </c>
      <c r="AD191" s="403">
        <v>1075.9499999999998</v>
      </c>
      <c r="AE191" s="402" t="s">
        <v>5307</v>
      </c>
      <c r="AF191" s="402" t="s">
        <v>5260</v>
      </c>
    </row>
    <row r="192" spans="1:32" ht="12.75" customHeight="1">
      <c r="Z192" s="401">
        <v>222</v>
      </c>
      <c r="AA192" s="402" t="s">
        <v>4</v>
      </c>
      <c r="AB192" s="402" t="s">
        <v>288</v>
      </c>
      <c r="AC192" s="402" t="s">
        <v>5341</v>
      </c>
      <c r="AD192" s="403">
        <v>2127.3560000000002</v>
      </c>
      <c r="AE192" s="402" t="s">
        <v>5307</v>
      </c>
      <c r="AF192" s="402" t="s">
        <v>5260</v>
      </c>
    </row>
    <row r="193" spans="7:32" ht="12.75" customHeight="1">
      <c r="Z193" s="401">
        <v>209</v>
      </c>
      <c r="AA193" s="402" t="s">
        <v>5431</v>
      </c>
      <c r="AB193" s="402" t="s">
        <v>288</v>
      </c>
      <c r="AC193" s="402" t="s">
        <v>5432</v>
      </c>
      <c r="AD193" s="403">
        <v>1693.0995</v>
      </c>
      <c r="AE193" s="402" t="s">
        <v>5307</v>
      </c>
      <c r="AF193" s="402" t="s">
        <v>5260</v>
      </c>
    </row>
    <row r="194" spans="7:32" ht="12.75" customHeight="1">
      <c r="Z194" s="401">
        <v>232</v>
      </c>
      <c r="AA194" s="402" t="s">
        <v>5</v>
      </c>
      <c r="AB194" s="402" t="s">
        <v>288</v>
      </c>
      <c r="AC194" s="402" t="s">
        <v>5342</v>
      </c>
      <c r="AD194" s="403">
        <v>2687.9004</v>
      </c>
      <c r="AE194" s="402" t="s">
        <v>5343</v>
      </c>
      <c r="AF194" s="402" t="s">
        <v>5260</v>
      </c>
    </row>
    <row r="195" spans="7:32" ht="12.75" customHeight="1">
      <c r="G195" t="s">
        <v>331</v>
      </c>
      <c r="H195" s="149" t="s">
        <v>214</v>
      </c>
      <c r="I195" s="149" t="s">
        <v>149</v>
      </c>
      <c r="J195" s="150" t="s">
        <v>174</v>
      </c>
      <c r="K195" s="151" t="s">
        <v>237</v>
      </c>
      <c r="L195" s="151" t="s">
        <v>100</v>
      </c>
      <c r="M195" s="151" t="s">
        <v>160</v>
      </c>
      <c r="N195" s="149" t="s">
        <v>774</v>
      </c>
      <c r="O195" t="s">
        <v>132</v>
      </c>
      <c r="P195" s="203" t="s">
        <v>758</v>
      </c>
      <c r="Q195" s="203" t="s">
        <v>759</v>
      </c>
      <c r="R195" s="203" t="s">
        <v>773</v>
      </c>
      <c r="Z195" s="401">
        <v>197</v>
      </c>
      <c r="AA195" s="402" t="s">
        <v>5407</v>
      </c>
      <c r="AB195" s="402" t="s">
        <v>288</v>
      </c>
      <c r="AC195" s="402" t="s">
        <v>5408</v>
      </c>
      <c r="AD195" s="403">
        <v>1381.6</v>
      </c>
      <c r="AE195" s="402" t="s">
        <v>5307</v>
      </c>
      <c r="AF195" s="402" t="s">
        <v>5260</v>
      </c>
    </row>
    <row r="196" spans="7:32" ht="12.75" customHeight="1">
      <c r="G196" t="str">
        <f t="shared" ref="G196:G224" si="14">DQ$2</f>
        <v>115120150</v>
      </c>
      <c r="H196" t="e">
        <f>IF(#REF!="","",#REF!)</f>
        <v>#REF!</v>
      </c>
      <c r="I196" t="e">
        <f>IF(#REF!="","",#REF!)</f>
        <v>#REF!</v>
      </c>
      <c r="J196" t="e">
        <f>IF(#REF!="","",#REF!)</f>
        <v>#REF!</v>
      </c>
      <c r="K196" t="e">
        <f>IF(#REF!="","",#REF!)</f>
        <v>#REF!</v>
      </c>
      <c r="L196" t="e">
        <f>IF(#REF!="","",#REF!)</f>
        <v>#REF!</v>
      </c>
      <c r="M196" t="e">
        <f>IF(#REF!="","",#REF!)</f>
        <v>#REF!</v>
      </c>
      <c r="N196" t="e">
        <f>IF(#REF!="","",#REF!)</f>
        <v>#REF!</v>
      </c>
      <c r="O196" t="e">
        <f>IF(#REF!="","",#REF!)</f>
        <v>#REF!</v>
      </c>
      <c r="P196" t="e">
        <f>IF(#REF!="","",#REF!)</f>
        <v>#REF!</v>
      </c>
      <c r="Q196" t="e">
        <f>IF(#REF!="","",#REF!)</f>
        <v>#REF!</v>
      </c>
      <c r="R196" t="e">
        <f>IF(#REF!="","",#REF!)</f>
        <v>#REF!</v>
      </c>
      <c r="Z196" s="401">
        <v>228</v>
      </c>
      <c r="AA196" s="402" t="s">
        <v>6</v>
      </c>
      <c r="AB196" s="402" t="s">
        <v>288</v>
      </c>
      <c r="AC196" s="402" t="s">
        <v>7</v>
      </c>
      <c r="AD196" s="403">
        <v>2384.6</v>
      </c>
      <c r="AE196" s="402" t="s">
        <v>5307</v>
      </c>
      <c r="AF196" s="402" t="s">
        <v>5260</v>
      </c>
    </row>
    <row r="197" spans="7:32" ht="14.5">
      <c r="G197" t="str">
        <f t="shared" si="14"/>
        <v>115120150</v>
      </c>
      <c r="H197" t="e">
        <f>IF(#REF!="","",#REF!)</f>
        <v>#REF!</v>
      </c>
      <c r="I197" t="e">
        <f>IF(#REF!="","",#REF!)</f>
        <v>#REF!</v>
      </c>
      <c r="J197" t="e">
        <f>IF(#REF!="","",#REF!)</f>
        <v>#REF!</v>
      </c>
      <c r="K197" t="e">
        <f>IF(#REF!="","",#REF!)</f>
        <v>#REF!</v>
      </c>
      <c r="L197" t="e">
        <f>IF(#REF!="","",#REF!)</f>
        <v>#REF!</v>
      </c>
      <c r="M197" t="e">
        <f>IF(#REF!="","",#REF!)</f>
        <v>#REF!</v>
      </c>
      <c r="N197" t="e">
        <f>IF(#REF!="","",#REF!)</f>
        <v>#REF!</v>
      </c>
      <c r="O197" t="e">
        <f>IF(#REF!="","",#REF!)</f>
        <v>#REF!</v>
      </c>
      <c r="P197" t="e">
        <f>IF(#REF!="","",#REF!)</f>
        <v>#REF!</v>
      </c>
      <c r="Q197" t="e">
        <f>IF(#REF!="","",#REF!)</f>
        <v>#REF!</v>
      </c>
      <c r="R197" t="e">
        <f>IF(#REF!="","",#REF!)</f>
        <v>#REF!</v>
      </c>
      <c r="Z197" s="401">
        <v>236</v>
      </c>
      <c r="AA197" s="402" t="s">
        <v>8</v>
      </c>
      <c r="AB197" s="402" t="s">
        <v>288</v>
      </c>
      <c r="AC197" s="413" t="s">
        <v>9</v>
      </c>
      <c r="AD197" s="414">
        <v>2889.5</v>
      </c>
      <c r="AE197" s="413" t="s">
        <v>5307</v>
      </c>
      <c r="AF197" s="413" t="s">
        <v>5260</v>
      </c>
    </row>
    <row r="198" spans="7:32" ht="14.5">
      <c r="G198" t="str">
        <f t="shared" si="14"/>
        <v>115120150</v>
      </c>
      <c r="H198" t="e">
        <f>IF(#REF!="","",#REF!)</f>
        <v>#REF!</v>
      </c>
      <c r="I198" t="e">
        <f>IF(#REF!="","",#REF!)</f>
        <v>#REF!</v>
      </c>
      <c r="J198" t="e">
        <f>IF(#REF!="","",#REF!)</f>
        <v>#REF!</v>
      </c>
      <c r="K198" t="e">
        <f>IF(#REF!="","",#REF!)</f>
        <v>#REF!</v>
      </c>
      <c r="L198" t="e">
        <f>IF(#REF!="","",#REF!)</f>
        <v>#REF!</v>
      </c>
      <c r="M198" t="e">
        <f>IF(#REF!="","",#REF!)</f>
        <v>#REF!</v>
      </c>
      <c r="N198" t="e">
        <f>IF(#REF!="","",#REF!)</f>
        <v>#REF!</v>
      </c>
      <c r="O198" t="e">
        <f>IF(#REF!="","",#REF!)</f>
        <v>#REF!</v>
      </c>
      <c r="P198" t="e">
        <f>IF(#REF!="","",#REF!)</f>
        <v>#REF!</v>
      </c>
      <c r="Q198" t="e">
        <f>IF(#REF!="","",#REF!)</f>
        <v>#REF!</v>
      </c>
      <c r="R198" t="e">
        <f>IF(#REF!="","",#REF!)</f>
        <v>#REF!</v>
      </c>
      <c r="Z198" s="401">
        <v>235</v>
      </c>
      <c r="AA198" s="402" t="s">
        <v>10</v>
      </c>
      <c r="AB198" s="402" t="s">
        <v>288</v>
      </c>
      <c r="AC198" s="413" t="s">
        <v>11</v>
      </c>
      <c r="AD198" s="414">
        <v>2847.2719999999999</v>
      </c>
      <c r="AE198" s="413" t="s">
        <v>5307</v>
      </c>
      <c r="AF198" s="413" t="s">
        <v>5260</v>
      </c>
    </row>
    <row r="199" spans="7:32" ht="14.5">
      <c r="G199" t="str">
        <f t="shared" si="14"/>
        <v>115120150</v>
      </c>
      <c r="H199" t="e">
        <f>IF(#REF!="","",#REF!)</f>
        <v>#REF!</v>
      </c>
      <c r="I199" t="e">
        <f>IF(#REF!="","",#REF!)</f>
        <v>#REF!</v>
      </c>
      <c r="J199" t="e">
        <f>IF(#REF!="","",#REF!)</f>
        <v>#REF!</v>
      </c>
      <c r="K199" t="e">
        <f>IF(#REF!="","",#REF!)</f>
        <v>#REF!</v>
      </c>
      <c r="L199" t="e">
        <f>IF(#REF!="","",#REF!)</f>
        <v>#REF!</v>
      </c>
      <c r="M199" t="e">
        <f>IF(#REF!="","",#REF!)</f>
        <v>#REF!</v>
      </c>
      <c r="N199" t="e">
        <f>IF(#REF!="","",#REF!)</f>
        <v>#REF!</v>
      </c>
      <c r="O199" t="e">
        <f>IF(#REF!="","",#REF!)</f>
        <v>#REF!</v>
      </c>
      <c r="P199" t="e">
        <f>IF(#REF!="","",#REF!)</f>
        <v>#REF!</v>
      </c>
      <c r="Q199" t="e">
        <f>IF(#REF!="","",#REF!)</f>
        <v>#REF!</v>
      </c>
      <c r="R199" t="e">
        <f>IF(#REF!="","",#REF!)</f>
        <v>#REF!</v>
      </c>
      <c r="Z199" s="401">
        <v>227</v>
      </c>
      <c r="AA199" s="402" t="s">
        <v>12</v>
      </c>
      <c r="AB199" s="402" t="s">
        <v>288</v>
      </c>
      <c r="AC199" s="413" t="s">
        <v>13</v>
      </c>
      <c r="AD199" s="414">
        <v>2289.59</v>
      </c>
      <c r="AE199" s="413" t="s">
        <v>5307</v>
      </c>
      <c r="AF199" s="413" t="s">
        <v>5260</v>
      </c>
    </row>
    <row r="200" spans="7:32" ht="14.5">
      <c r="G200" t="str">
        <f t="shared" si="14"/>
        <v>115120150</v>
      </c>
      <c r="H200" t="e">
        <f>IF(#REF!="","",#REF!)</f>
        <v>#REF!</v>
      </c>
      <c r="I200" t="e">
        <f>IF(#REF!="","",#REF!)</f>
        <v>#REF!</v>
      </c>
      <c r="J200" t="e">
        <f>IF(#REF!="","",#REF!)</f>
        <v>#REF!</v>
      </c>
      <c r="K200" t="e">
        <f>IF(#REF!="","",#REF!)</f>
        <v>#REF!</v>
      </c>
      <c r="L200" t="e">
        <f>IF(#REF!="","",#REF!)</f>
        <v>#REF!</v>
      </c>
      <c r="M200" t="e">
        <f>IF(#REF!="","",#REF!)</f>
        <v>#REF!</v>
      </c>
      <c r="N200" t="e">
        <f>IF(#REF!="","",#REF!)</f>
        <v>#REF!</v>
      </c>
      <c r="O200" t="e">
        <f>IF(#REF!="","",#REF!)</f>
        <v>#REF!</v>
      </c>
      <c r="P200" t="e">
        <f>IF(#REF!="","",#REF!)</f>
        <v>#REF!</v>
      </c>
      <c r="Q200" t="e">
        <f>IF(#REF!="","",#REF!)</f>
        <v>#REF!</v>
      </c>
      <c r="R200" t="e">
        <f>IF(#REF!="","",#REF!)</f>
        <v>#REF!</v>
      </c>
      <c r="Z200" s="401">
        <v>233</v>
      </c>
      <c r="AA200" s="402" t="s">
        <v>14</v>
      </c>
      <c r="AB200" s="402" t="s">
        <v>288</v>
      </c>
      <c r="AC200" s="413" t="s">
        <v>15</v>
      </c>
      <c r="AD200" s="414">
        <v>2794.49</v>
      </c>
      <c r="AE200" s="413" t="s">
        <v>5307</v>
      </c>
      <c r="AF200" s="413" t="s">
        <v>5260</v>
      </c>
    </row>
    <row r="201" spans="7:32" ht="14.5">
      <c r="G201" t="str">
        <f t="shared" si="14"/>
        <v>115120150</v>
      </c>
      <c r="H201" t="e">
        <f>IF(#REF!="","",#REF!)</f>
        <v>#REF!</v>
      </c>
      <c r="I201" t="e">
        <f>IF(#REF!="","",#REF!)</f>
        <v>#REF!</v>
      </c>
      <c r="J201" t="e">
        <f>IF(#REF!="","",#REF!)</f>
        <v>#REF!</v>
      </c>
      <c r="K201" t="e">
        <f>IF(#REF!="","",#REF!)</f>
        <v>#REF!</v>
      </c>
      <c r="L201" t="e">
        <f>IF(#REF!="","",#REF!)</f>
        <v>#REF!</v>
      </c>
      <c r="M201" t="e">
        <f>IF(#REF!="","",#REF!)</f>
        <v>#REF!</v>
      </c>
      <c r="N201" t="e">
        <f>IF(#REF!="","",#REF!)</f>
        <v>#REF!</v>
      </c>
      <c r="O201" t="e">
        <f>IF(#REF!="","",#REF!)</f>
        <v>#REF!</v>
      </c>
      <c r="P201" t="e">
        <f>IF(#REF!="","",#REF!)</f>
        <v>#REF!</v>
      </c>
      <c r="Q201" t="e">
        <f>IF(#REF!="","",#REF!)</f>
        <v>#REF!</v>
      </c>
      <c r="R201" t="e">
        <f>IF(#REF!="","",#REF!)</f>
        <v>#REF!</v>
      </c>
      <c r="Z201" s="401">
        <v>229</v>
      </c>
      <c r="AA201" s="402" t="s">
        <v>795</v>
      </c>
      <c r="AB201" s="402" t="s">
        <v>288</v>
      </c>
      <c r="AC201" s="413" t="s">
        <v>796</v>
      </c>
      <c r="AD201" s="414">
        <v>2473.2719999999999</v>
      </c>
      <c r="AE201" s="413" t="s">
        <v>5307</v>
      </c>
      <c r="AF201" s="413" t="s">
        <v>5260</v>
      </c>
    </row>
    <row r="202" spans="7:32" ht="14.5">
      <c r="G202" t="str">
        <f t="shared" si="14"/>
        <v>115120150</v>
      </c>
      <c r="H202" t="e">
        <f>IF(#REF!="","",#REF!)</f>
        <v>#REF!</v>
      </c>
      <c r="I202" t="e">
        <f>IF(#REF!="","",#REF!)</f>
        <v>#REF!</v>
      </c>
      <c r="J202" t="e">
        <f>IF(#REF!="","",#REF!)</f>
        <v>#REF!</v>
      </c>
      <c r="K202" t="e">
        <f>IF(#REF!="","",#REF!)</f>
        <v>#REF!</v>
      </c>
      <c r="L202" t="e">
        <f>IF(#REF!="","",#REF!)</f>
        <v>#REF!</v>
      </c>
      <c r="M202" t="e">
        <f>IF(#REF!="","",#REF!)</f>
        <v>#REF!</v>
      </c>
      <c r="N202" t="e">
        <f>IF(#REF!="","",#REF!)</f>
        <v>#REF!</v>
      </c>
      <c r="O202" t="e">
        <f>IF(#REF!="","",#REF!)</f>
        <v>#REF!</v>
      </c>
      <c r="P202" t="e">
        <f>IF(#REF!="","",#REF!)</f>
        <v>#REF!</v>
      </c>
      <c r="Q202" t="e">
        <f>IF(#REF!="","",#REF!)</f>
        <v>#REF!</v>
      </c>
      <c r="R202" t="e">
        <f>IF(#REF!="","",#REF!)</f>
        <v>#REF!</v>
      </c>
      <c r="Z202" s="401">
        <v>226</v>
      </c>
      <c r="AA202" s="402" t="s">
        <v>16</v>
      </c>
      <c r="AB202" s="402" t="s">
        <v>288</v>
      </c>
      <c r="AC202" s="413" t="s">
        <v>17</v>
      </c>
      <c r="AD202" s="414">
        <v>2273.75</v>
      </c>
      <c r="AE202" s="413" t="s">
        <v>5307</v>
      </c>
      <c r="AF202" s="413" t="s">
        <v>5260</v>
      </c>
    </row>
    <row r="203" spans="7:32" ht="14.5">
      <c r="G203" t="str">
        <f t="shared" si="14"/>
        <v>115120150</v>
      </c>
      <c r="H203" t="e">
        <f>IF(#REF!="","",#REF!)</f>
        <v>#REF!</v>
      </c>
      <c r="I203" t="e">
        <f>IF(#REF!="","",#REF!)</f>
        <v>#REF!</v>
      </c>
      <c r="J203" t="e">
        <f>IF(#REF!="","",#REF!)</f>
        <v>#REF!</v>
      </c>
      <c r="K203" t="e">
        <f>IF(#REF!="","",#REF!)</f>
        <v>#REF!</v>
      </c>
      <c r="L203" t="e">
        <f>IF(#REF!="","",#REF!)</f>
        <v>#REF!</v>
      </c>
      <c r="M203" t="e">
        <f>IF(#REF!="","",#REF!)</f>
        <v>#REF!</v>
      </c>
      <c r="N203" t="e">
        <f>IF(#REF!="","",#REF!)</f>
        <v>#REF!</v>
      </c>
      <c r="O203" t="e">
        <f>IF(#REF!="","",#REF!)</f>
        <v>#REF!</v>
      </c>
      <c r="P203" t="e">
        <f>IF(#REF!="","",#REF!)</f>
        <v>#REF!</v>
      </c>
      <c r="Q203" t="e">
        <f>IF(#REF!="","",#REF!)</f>
        <v>#REF!</v>
      </c>
      <c r="R203" t="e">
        <f>IF(#REF!="","",#REF!)</f>
        <v>#REF!</v>
      </c>
      <c r="Z203" s="401">
        <v>224</v>
      </c>
      <c r="AA203" s="402" t="s">
        <v>18</v>
      </c>
      <c r="AB203" s="402" t="s">
        <v>288</v>
      </c>
      <c r="AC203" s="413" t="s">
        <v>19</v>
      </c>
      <c r="AD203" s="414">
        <v>2212.2259999999997</v>
      </c>
      <c r="AE203" s="413" t="s">
        <v>5307</v>
      </c>
      <c r="AF203" s="413" t="s">
        <v>5260</v>
      </c>
    </row>
    <row r="204" spans="7:32" ht="14.5">
      <c r="G204" t="str">
        <f t="shared" si="14"/>
        <v>115120150</v>
      </c>
      <c r="H204" t="e">
        <f>IF(#REF!="","",#REF!)</f>
        <v>#REF!</v>
      </c>
      <c r="I204" t="e">
        <f>IF(#REF!="","",#REF!)</f>
        <v>#REF!</v>
      </c>
      <c r="J204" t="e">
        <f>IF(#REF!="","",#REF!)</f>
        <v>#REF!</v>
      </c>
      <c r="K204" t="e">
        <f>IF(#REF!="","",#REF!)</f>
        <v>#REF!</v>
      </c>
      <c r="L204" t="e">
        <f>IF(#REF!="","",#REF!)</f>
        <v>#REF!</v>
      </c>
      <c r="M204" t="e">
        <f>IF(#REF!="","",#REF!)</f>
        <v>#REF!</v>
      </c>
      <c r="N204" t="e">
        <f>IF(#REF!="","",#REF!)</f>
        <v>#REF!</v>
      </c>
      <c r="O204" t="e">
        <f>IF(#REF!="","",#REF!)</f>
        <v>#REF!</v>
      </c>
      <c r="P204" t="e">
        <f>IF(#REF!="","",#REF!)</f>
        <v>#REF!</v>
      </c>
      <c r="Q204" t="e">
        <f>IF(#REF!="","",#REF!)</f>
        <v>#REF!</v>
      </c>
      <c r="R204" t="e">
        <f>IF(#REF!="","",#REF!)</f>
        <v>#REF!</v>
      </c>
      <c r="Z204" s="401">
        <v>199</v>
      </c>
      <c r="AA204" s="402" t="s">
        <v>5411</v>
      </c>
      <c r="AB204" s="402" t="s">
        <v>288</v>
      </c>
      <c r="AC204" s="413" t="s">
        <v>5412</v>
      </c>
      <c r="AD204" s="414">
        <v>1430.7449999999999</v>
      </c>
      <c r="AE204" s="413" t="s">
        <v>5307</v>
      </c>
      <c r="AF204" s="413" t="s">
        <v>5260</v>
      </c>
    </row>
    <row r="205" spans="7:32" ht="14.5">
      <c r="G205" t="str">
        <f t="shared" si="14"/>
        <v>115120150</v>
      </c>
      <c r="H205" t="e">
        <f>IF(#REF!="","",#REF!)</f>
        <v>#REF!</v>
      </c>
      <c r="I205" t="e">
        <f>IF(#REF!="","",#REF!)</f>
        <v>#REF!</v>
      </c>
      <c r="J205" t="e">
        <f>IF(#REF!="","",#REF!)</f>
        <v>#REF!</v>
      </c>
      <c r="K205" t="e">
        <f>IF(#REF!="","",#REF!)</f>
        <v>#REF!</v>
      </c>
      <c r="L205" t="e">
        <f>IF(#REF!="","",#REF!)</f>
        <v>#REF!</v>
      </c>
      <c r="M205" t="e">
        <f>IF(#REF!="","",#REF!)</f>
        <v>#REF!</v>
      </c>
      <c r="N205" t="e">
        <f>IF(#REF!="","",#REF!)</f>
        <v>#REF!</v>
      </c>
      <c r="O205" t="e">
        <f>IF(#REF!="","",#REF!)</f>
        <v>#REF!</v>
      </c>
      <c r="P205" t="e">
        <f>IF(#REF!="","",#REF!)</f>
        <v>#REF!</v>
      </c>
      <c r="Q205" t="e">
        <f>IF(#REF!="","",#REF!)</f>
        <v>#REF!</v>
      </c>
      <c r="R205" t="e">
        <f>IF(#REF!="","",#REF!)</f>
        <v>#REF!</v>
      </c>
      <c r="Z205" s="401">
        <v>195</v>
      </c>
      <c r="AA205" s="402" t="s">
        <v>5403</v>
      </c>
      <c r="AB205" s="402" t="s">
        <v>288</v>
      </c>
      <c r="AC205" s="413" t="s">
        <v>5404</v>
      </c>
      <c r="AD205" s="414">
        <v>1370.7750000000001</v>
      </c>
      <c r="AE205" s="413" t="s">
        <v>5307</v>
      </c>
      <c r="AF205" s="413" t="s">
        <v>5260</v>
      </c>
    </row>
    <row r="206" spans="7:32" ht="14.5">
      <c r="G206" t="str">
        <f t="shared" si="14"/>
        <v>115120150</v>
      </c>
      <c r="H206" t="e">
        <f>IF(#REF!="","",#REF!)</f>
        <v>#REF!</v>
      </c>
      <c r="I206" t="e">
        <f>IF(#REF!="","",#REF!)</f>
        <v>#REF!</v>
      </c>
      <c r="J206" t="e">
        <f>IF(#REF!="","",#REF!)</f>
        <v>#REF!</v>
      </c>
      <c r="K206" t="e">
        <f>IF(#REF!="","",#REF!)</f>
        <v>#REF!</v>
      </c>
      <c r="L206" t="e">
        <f>IF(#REF!="","",#REF!)</f>
        <v>#REF!</v>
      </c>
      <c r="M206" t="e">
        <f>IF(#REF!="","",#REF!)</f>
        <v>#REF!</v>
      </c>
      <c r="N206" t="e">
        <f>IF(#REF!="","",#REF!)</f>
        <v>#REF!</v>
      </c>
      <c r="O206" t="e">
        <f>IF(#REF!="","",#REF!)</f>
        <v>#REF!</v>
      </c>
      <c r="P206" t="e">
        <f>IF(#REF!="","",#REF!)</f>
        <v>#REF!</v>
      </c>
      <c r="Q206" t="e">
        <f>IF(#REF!="","",#REF!)</f>
        <v>#REF!</v>
      </c>
      <c r="R206" t="e">
        <f>IF(#REF!="","",#REF!)</f>
        <v>#REF!</v>
      </c>
      <c r="Z206" s="401">
        <v>220</v>
      </c>
      <c r="AA206" s="402" t="s">
        <v>34</v>
      </c>
      <c r="AB206" s="402" t="s">
        <v>288</v>
      </c>
      <c r="AC206" s="413" t="s">
        <v>35</v>
      </c>
      <c r="AD206" s="414">
        <v>2024.05</v>
      </c>
      <c r="AE206" s="413" t="s">
        <v>5307</v>
      </c>
      <c r="AF206" s="413" t="s">
        <v>5260</v>
      </c>
    </row>
    <row r="207" spans="7:32" ht="14.5">
      <c r="G207" t="str">
        <f t="shared" si="14"/>
        <v>115120150</v>
      </c>
      <c r="H207" t="e">
        <f>IF(#REF!="","",#REF!)</f>
        <v>#REF!</v>
      </c>
      <c r="I207" t="e">
        <f>IF(#REF!="","",#REF!)</f>
        <v>#REF!</v>
      </c>
      <c r="J207" t="e">
        <f>IF(#REF!="","",#REF!)</f>
        <v>#REF!</v>
      </c>
      <c r="K207" t="e">
        <f>IF(#REF!="","",#REF!)</f>
        <v>#REF!</v>
      </c>
      <c r="L207" t="e">
        <f>IF(#REF!="","",#REF!)</f>
        <v>#REF!</v>
      </c>
      <c r="M207" t="e">
        <f>IF(#REF!="","",#REF!)</f>
        <v>#REF!</v>
      </c>
      <c r="N207" t="e">
        <f>IF(#REF!="","",#REF!)</f>
        <v>#REF!</v>
      </c>
      <c r="O207" t="e">
        <f>IF(#REF!="","",#REF!)</f>
        <v>#REF!</v>
      </c>
      <c r="P207" t="e">
        <f>IF(#REF!="","",#REF!)</f>
        <v>#REF!</v>
      </c>
      <c r="Q207" t="e">
        <f>IF(#REF!="","",#REF!)</f>
        <v>#REF!</v>
      </c>
      <c r="R207" t="e">
        <f>IF(#REF!="","",#REF!)</f>
        <v>#REF!</v>
      </c>
      <c r="Z207" s="401">
        <v>221</v>
      </c>
      <c r="AA207" s="402" t="s">
        <v>36</v>
      </c>
      <c r="AB207" s="402" t="s">
        <v>288</v>
      </c>
      <c r="AC207" s="413" t="s">
        <v>37</v>
      </c>
      <c r="AD207" s="414">
        <v>2058.779</v>
      </c>
      <c r="AE207" s="413" t="s">
        <v>5307</v>
      </c>
      <c r="AF207" s="413" t="s">
        <v>5260</v>
      </c>
    </row>
    <row r="208" spans="7:32" ht="14.5">
      <c r="G208" t="str">
        <f t="shared" si="14"/>
        <v>115120150</v>
      </c>
      <c r="H208" t="e">
        <f>IF(#REF!="","",#REF!)</f>
        <v>#REF!</v>
      </c>
      <c r="I208" t="e">
        <f>IF(#REF!="","",#REF!)</f>
        <v>#REF!</v>
      </c>
      <c r="J208" t="e">
        <f>IF(#REF!="","",#REF!)</f>
        <v>#REF!</v>
      </c>
      <c r="K208" t="e">
        <f>IF(#REF!="","",#REF!)</f>
        <v>#REF!</v>
      </c>
      <c r="L208" t="e">
        <f>IF(#REF!="","",#REF!)</f>
        <v>#REF!</v>
      </c>
      <c r="M208" t="e">
        <f>IF(#REF!="","",#REF!)</f>
        <v>#REF!</v>
      </c>
      <c r="N208" t="e">
        <f>IF(#REF!="","",#REF!)</f>
        <v>#REF!</v>
      </c>
      <c r="O208" t="e">
        <f>IF(#REF!="","",#REF!)</f>
        <v>#REF!</v>
      </c>
      <c r="P208" t="e">
        <f>IF(#REF!="","",#REF!)</f>
        <v>#REF!</v>
      </c>
      <c r="Q208" t="e">
        <f>IF(#REF!="","",#REF!)</f>
        <v>#REF!</v>
      </c>
      <c r="R208" t="e">
        <f>IF(#REF!="","",#REF!)</f>
        <v>#REF!</v>
      </c>
      <c r="Z208" s="401">
        <v>167</v>
      </c>
      <c r="AA208" s="402" t="s">
        <v>5314</v>
      </c>
      <c r="AB208" s="402" t="s">
        <v>288</v>
      </c>
      <c r="AC208" s="413" t="s">
        <v>5315</v>
      </c>
      <c r="AD208" s="414">
        <v>546.58000000000004</v>
      </c>
      <c r="AE208" s="413" t="s">
        <v>5307</v>
      </c>
      <c r="AF208" s="413" t="s">
        <v>5260</v>
      </c>
    </row>
    <row r="209" spans="7:32" ht="14.5">
      <c r="G209" t="str">
        <f t="shared" si="14"/>
        <v>115120150</v>
      </c>
      <c r="H209" t="e">
        <f>IF(#REF!="","",#REF!)</f>
        <v>#REF!</v>
      </c>
      <c r="I209" t="e">
        <f>IF(#REF!="","",#REF!)</f>
        <v>#REF!</v>
      </c>
      <c r="J209" t="e">
        <f>IF(#REF!="","",#REF!)</f>
        <v>#REF!</v>
      </c>
      <c r="K209" t="e">
        <f>IF(#REF!="","",#REF!)</f>
        <v>#REF!</v>
      </c>
      <c r="L209" t="e">
        <f>IF(#REF!="","",#REF!)</f>
        <v>#REF!</v>
      </c>
      <c r="M209" t="e">
        <f>IF(#REF!="","",#REF!)</f>
        <v>#REF!</v>
      </c>
      <c r="N209" t="e">
        <f>IF(#REF!="","",#REF!)</f>
        <v>#REF!</v>
      </c>
      <c r="O209" t="e">
        <f>IF(#REF!="","",#REF!)</f>
        <v>#REF!</v>
      </c>
      <c r="P209" t="e">
        <f>IF(#REF!="","",#REF!)</f>
        <v>#REF!</v>
      </c>
      <c r="Q209" t="e">
        <f>IF(#REF!="","",#REF!)</f>
        <v>#REF!</v>
      </c>
      <c r="R209" t="e">
        <f>IF(#REF!="","",#REF!)</f>
        <v>#REF!</v>
      </c>
      <c r="Z209" s="401">
        <v>160</v>
      </c>
      <c r="AA209" s="402" t="s">
        <v>5305</v>
      </c>
      <c r="AB209" s="402" t="s">
        <v>288</v>
      </c>
      <c r="AC209" s="413" t="s">
        <v>5306</v>
      </c>
      <c r="AD209" s="414">
        <v>466.76400000000001</v>
      </c>
      <c r="AE209" s="413" t="s">
        <v>5307</v>
      </c>
      <c r="AF209" s="413" t="s">
        <v>5260</v>
      </c>
    </row>
    <row r="210" spans="7:32" ht="14.5">
      <c r="G210" t="str">
        <f t="shared" si="14"/>
        <v>115120150</v>
      </c>
      <c r="H210" t="e">
        <f>IF(#REF!="","",#REF!)</f>
        <v>#REF!</v>
      </c>
      <c r="I210" t="e">
        <f>IF(#REF!="","",#REF!)</f>
        <v>#REF!</v>
      </c>
      <c r="J210" t="e">
        <f>IF(#REF!="","",#REF!)</f>
        <v>#REF!</v>
      </c>
      <c r="K210" t="e">
        <f>IF(#REF!="","",#REF!)</f>
        <v>#REF!</v>
      </c>
      <c r="L210" t="e">
        <f>IF(#REF!="","",#REF!)</f>
        <v>#REF!</v>
      </c>
      <c r="M210" t="e">
        <f>IF(#REF!="","",#REF!)</f>
        <v>#REF!</v>
      </c>
      <c r="N210" t="e">
        <f>IF(#REF!="","",#REF!)</f>
        <v>#REF!</v>
      </c>
      <c r="O210" t="e">
        <f>IF(#REF!="","",#REF!)</f>
        <v>#REF!</v>
      </c>
      <c r="P210" t="e">
        <f>IF(#REF!="","",#REF!)</f>
        <v>#REF!</v>
      </c>
      <c r="Q210" t="e">
        <f>IF(#REF!="","",#REF!)</f>
        <v>#REF!</v>
      </c>
      <c r="R210" t="e">
        <f>IF(#REF!="","",#REF!)</f>
        <v>#REF!</v>
      </c>
      <c r="Z210" s="401">
        <v>261</v>
      </c>
      <c r="AA210" s="402" t="s">
        <v>395</v>
      </c>
      <c r="AB210" s="402" t="s">
        <v>288</v>
      </c>
      <c r="AC210" s="413" t="s">
        <v>38</v>
      </c>
      <c r="AD210" s="414">
        <v>7533.57</v>
      </c>
      <c r="AE210" s="413" t="s">
        <v>5307</v>
      </c>
      <c r="AF210" s="413" t="s">
        <v>5260</v>
      </c>
    </row>
    <row r="211" spans="7:32" ht="14.5">
      <c r="G211" t="str">
        <f t="shared" si="14"/>
        <v>115120150</v>
      </c>
      <c r="H211" t="e">
        <f>IF(#REF!="","",#REF!)</f>
        <v>#REF!</v>
      </c>
      <c r="I211" t="e">
        <f>IF(#REF!="","",#REF!)</f>
        <v>#REF!</v>
      </c>
      <c r="J211" t="e">
        <f>IF(#REF!="","",#REF!)</f>
        <v>#REF!</v>
      </c>
      <c r="K211" t="e">
        <f>IF(#REF!="","",#REF!)</f>
        <v>#REF!</v>
      </c>
      <c r="L211" t="e">
        <f>IF(#REF!="","",#REF!)</f>
        <v>#REF!</v>
      </c>
      <c r="M211" t="e">
        <f>IF(#REF!="","",#REF!)</f>
        <v>#REF!</v>
      </c>
      <c r="N211" t="e">
        <f>IF(#REF!="","",#REF!)</f>
        <v>#REF!</v>
      </c>
      <c r="O211" t="e">
        <f>IF(#REF!="","",#REF!)</f>
        <v>#REF!</v>
      </c>
      <c r="P211" t="e">
        <f>IF(#REF!="","",#REF!)</f>
        <v>#REF!</v>
      </c>
      <c r="Q211" t="e">
        <f>IF(#REF!="","",#REF!)</f>
        <v>#REF!</v>
      </c>
      <c r="R211" t="e">
        <f>IF(#REF!="","",#REF!)</f>
        <v>#REF!</v>
      </c>
      <c r="Z211" s="401">
        <v>244</v>
      </c>
      <c r="AA211" s="402" t="s">
        <v>396</v>
      </c>
      <c r="AB211" s="402" t="s">
        <v>288</v>
      </c>
      <c r="AC211" s="413" t="s">
        <v>39</v>
      </c>
      <c r="AD211" s="414">
        <v>3870</v>
      </c>
      <c r="AE211" s="413" t="s">
        <v>5307</v>
      </c>
      <c r="AF211" s="413" t="s">
        <v>5260</v>
      </c>
    </row>
    <row r="212" spans="7:32" ht="14.5">
      <c r="G212" t="str">
        <f t="shared" si="14"/>
        <v>115120150</v>
      </c>
      <c r="H212" t="e">
        <f>IF(#REF!="","",#REF!)</f>
        <v>#REF!</v>
      </c>
      <c r="I212" t="e">
        <f>IF(#REF!="","",#REF!)</f>
        <v>#REF!</v>
      </c>
      <c r="J212" t="e">
        <f>IF(#REF!="","",#REF!)</f>
        <v>#REF!</v>
      </c>
      <c r="K212" t="e">
        <f>IF(#REF!="","",#REF!)</f>
        <v>#REF!</v>
      </c>
      <c r="L212" t="e">
        <f>IF(#REF!="","",#REF!)</f>
        <v>#REF!</v>
      </c>
      <c r="M212" t="e">
        <f>IF(#REF!="","",#REF!)</f>
        <v>#REF!</v>
      </c>
      <c r="N212" t="e">
        <f>IF(#REF!="","",#REF!)</f>
        <v>#REF!</v>
      </c>
      <c r="O212" t="e">
        <f>IF(#REF!="","",#REF!)</f>
        <v>#REF!</v>
      </c>
      <c r="P212" t="e">
        <f>IF(#REF!="","",#REF!)</f>
        <v>#REF!</v>
      </c>
      <c r="Q212" t="e">
        <f>IF(#REF!="","",#REF!)</f>
        <v>#REF!</v>
      </c>
      <c r="R212" t="e">
        <f>IF(#REF!="","",#REF!)</f>
        <v>#REF!</v>
      </c>
      <c r="Z212" s="401">
        <v>250</v>
      </c>
      <c r="AA212" s="402" t="s">
        <v>397</v>
      </c>
      <c r="AB212" s="402" t="s">
        <v>288</v>
      </c>
      <c r="AC212" s="413" t="s">
        <v>40</v>
      </c>
      <c r="AD212" s="414">
        <v>4785.92</v>
      </c>
      <c r="AE212" s="413" t="s">
        <v>5307</v>
      </c>
      <c r="AF212" s="413" t="s">
        <v>5260</v>
      </c>
    </row>
    <row r="213" spans="7:32" ht="14.5">
      <c r="G213" t="str">
        <f t="shared" si="14"/>
        <v>115120150</v>
      </c>
      <c r="H213" t="e">
        <f>IF(#REF!="","",#REF!)</f>
        <v>#REF!</v>
      </c>
      <c r="I213" t="e">
        <f>IF(#REF!="","",#REF!)</f>
        <v>#REF!</v>
      </c>
      <c r="J213" t="e">
        <f>IF(#REF!="","",#REF!)</f>
        <v>#REF!</v>
      </c>
      <c r="K213" t="e">
        <f>IF(#REF!="","",#REF!)</f>
        <v>#REF!</v>
      </c>
      <c r="L213" t="e">
        <f>IF(#REF!="","",#REF!)</f>
        <v>#REF!</v>
      </c>
      <c r="M213" t="e">
        <f>IF(#REF!="","",#REF!)</f>
        <v>#REF!</v>
      </c>
      <c r="N213" t="e">
        <f>IF(#REF!="","",#REF!)</f>
        <v>#REF!</v>
      </c>
      <c r="O213" t="e">
        <f>IF(#REF!="","",#REF!)</f>
        <v>#REF!</v>
      </c>
      <c r="P213" t="e">
        <f>IF(#REF!="","",#REF!)</f>
        <v>#REF!</v>
      </c>
      <c r="Q213" t="e">
        <f>IF(#REF!="","",#REF!)</f>
        <v>#REF!</v>
      </c>
      <c r="R213" t="e">
        <f>IF(#REF!="","",#REF!)</f>
        <v>#REF!</v>
      </c>
      <c r="Z213" s="401">
        <v>278</v>
      </c>
      <c r="AA213" s="402" t="s">
        <v>398</v>
      </c>
      <c r="AB213" s="402" t="s">
        <v>288</v>
      </c>
      <c r="AC213" s="413" t="s">
        <v>41</v>
      </c>
      <c r="AD213" s="414">
        <v>13298.5</v>
      </c>
      <c r="AE213" s="413" t="s">
        <v>5307</v>
      </c>
      <c r="AF213" s="413" t="s">
        <v>5260</v>
      </c>
    </row>
    <row r="214" spans="7:32" ht="14.5">
      <c r="G214" t="str">
        <f t="shared" si="14"/>
        <v>115120150</v>
      </c>
      <c r="H214" t="e">
        <f>IF(#REF!="","",#REF!)</f>
        <v>#REF!</v>
      </c>
      <c r="I214" t="e">
        <f>IF(#REF!="","",#REF!)</f>
        <v>#REF!</v>
      </c>
      <c r="J214" t="e">
        <f>IF(#REF!="","",#REF!)</f>
        <v>#REF!</v>
      </c>
      <c r="K214" t="e">
        <f>IF(#REF!="","",#REF!)</f>
        <v>#REF!</v>
      </c>
      <c r="L214" t="e">
        <f>IF(#REF!="","",#REF!)</f>
        <v>#REF!</v>
      </c>
      <c r="M214" t="e">
        <f>IF(#REF!="","",#REF!)</f>
        <v>#REF!</v>
      </c>
      <c r="N214" t="e">
        <f>IF(#REF!="","",#REF!)</f>
        <v>#REF!</v>
      </c>
      <c r="O214" t="e">
        <f>IF(#REF!="","",#REF!)</f>
        <v>#REF!</v>
      </c>
      <c r="P214" t="e">
        <f>IF(#REF!="","",#REF!)</f>
        <v>#REF!</v>
      </c>
      <c r="Q214" t="e">
        <f>IF(#REF!="","",#REF!)</f>
        <v>#REF!</v>
      </c>
      <c r="R214" t="e">
        <f>IF(#REF!="","",#REF!)</f>
        <v>#REF!</v>
      </c>
      <c r="Z214" s="401">
        <v>247</v>
      </c>
      <c r="AA214" s="402" t="s">
        <v>399</v>
      </c>
      <c r="AB214" s="402" t="s">
        <v>288</v>
      </c>
      <c r="AC214" s="413" t="s">
        <v>42</v>
      </c>
      <c r="AD214" s="414">
        <v>4299.3739999999998</v>
      </c>
      <c r="AE214" s="413" t="s">
        <v>5307</v>
      </c>
      <c r="AF214" s="413" t="s">
        <v>5260</v>
      </c>
    </row>
    <row r="215" spans="7:32" ht="14.5">
      <c r="G215" t="str">
        <f t="shared" si="14"/>
        <v>115120150</v>
      </c>
      <c r="H215" t="e">
        <f>IF(#REF!="","",#REF!)</f>
        <v>#REF!</v>
      </c>
      <c r="I215" t="e">
        <f>IF(#REF!="","",#REF!)</f>
        <v>#REF!</v>
      </c>
      <c r="J215" t="e">
        <f>IF(#REF!="","",#REF!)</f>
        <v>#REF!</v>
      </c>
      <c r="K215" t="e">
        <f>IF(#REF!="","",#REF!)</f>
        <v>#REF!</v>
      </c>
      <c r="L215" t="e">
        <f>IF(#REF!="","",#REF!)</f>
        <v>#REF!</v>
      </c>
      <c r="M215" t="e">
        <f>IF(#REF!="","",#REF!)</f>
        <v>#REF!</v>
      </c>
      <c r="N215" t="e">
        <f>IF(#REF!="","",#REF!)</f>
        <v>#REF!</v>
      </c>
      <c r="O215" t="e">
        <f>IF(#REF!="","",#REF!)</f>
        <v>#REF!</v>
      </c>
      <c r="P215" t="e">
        <f>IF(#REF!="","",#REF!)</f>
        <v>#REF!</v>
      </c>
      <c r="Q215" t="e">
        <f>IF(#REF!="","",#REF!)</f>
        <v>#REF!</v>
      </c>
      <c r="R215" t="e">
        <f>IF(#REF!="","",#REF!)</f>
        <v>#REF!</v>
      </c>
      <c r="Z215" s="401">
        <v>246</v>
      </c>
      <c r="AA215" s="402" t="s">
        <v>791</v>
      </c>
      <c r="AB215" s="402" t="s">
        <v>288</v>
      </c>
      <c r="AC215" s="413" t="s">
        <v>792</v>
      </c>
      <c r="AD215" s="414">
        <v>3985</v>
      </c>
      <c r="AE215" s="413" t="s">
        <v>5307</v>
      </c>
      <c r="AF215" s="413" t="s">
        <v>5260</v>
      </c>
    </row>
    <row r="216" spans="7:32" ht="14.5">
      <c r="G216" t="str">
        <f t="shared" si="14"/>
        <v>115120150</v>
      </c>
      <c r="H216" t="e">
        <f>IF(#REF!="","",#REF!)</f>
        <v>#REF!</v>
      </c>
      <c r="I216" t="e">
        <f>IF(#REF!="","",#REF!)</f>
        <v>#REF!</v>
      </c>
      <c r="J216" t="e">
        <f>IF(#REF!="","",#REF!)</f>
        <v>#REF!</v>
      </c>
      <c r="K216" t="e">
        <f>IF(#REF!="","",#REF!)</f>
        <v>#REF!</v>
      </c>
      <c r="L216" t="e">
        <f>IF(#REF!="","",#REF!)</f>
        <v>#REF!</v>
      </c>
      <c r="M216" t="e">
        <f>IF(#REF!="","",#REF!)</f>
        <v>#REF!</v>
      </c>
      <c r="N216" t="e">
        <f>IF(#REF!="","",#REF!)</f>
        <v>#REF!</v>
      </c>
      <c r="O216" t="e">
        <f>IF(#REF!="","",#REF!)</f>
        <v>#REF!</v>
      </c>
      <c r="P216" t="e">
        <f>IF(#REF!="","",#REF!)</f>
        <v>#REF!</v>
      </c>
      <c r="Q216" t="e">
        <f>IF(#REF!="","",#REF!)</f>
        <v>#REF!</v>
      </c>
      <c r="R216" t="e">
        <f>IF(#REF!="","",#REF!)</f>
        <v>#REF!</v>
      </c>
      <c r="Z216" s="401">
        <v>274</v>
      </c>
      <c r="AA216" s="402" t="s">
        <v>400</v>
      </c>
      <c r="AB216" s="402" t="s">
        <v>288</v>
      </c>
      <c r="AC216" s="413" t="s">
        <v>43</v>
      </c>
      <c r="AD216" s="414">
        <v>11607</v>
      </c>
      <c r="AE216" s="413" t="s">
        <v>5307</v>
      </c>
      <c r="AF216" s="413" t="s">
        <v>5260</v>
      </c>
    </row>
    <row r="217" spans="7:32" ht="14.5">
      <c r="G217" t="str">
        <f t="shared" si="14"/>
        <v>115120150</v>
      </c>
      <c r="H217" t="e">
        <f>IF(#REF!="","",#REF!)</f>
        <v>#REF!</v>
      </c>
      <c r="I217" t="e">
        <f>IF(#REF!="","",#REF!)</f>
        <v>#REF!</v>
      </c>
      <c r="J217" t="e">
        <f>IF(#REF!="","",#REF!)</f>
        <v>#REF!</v>
      </c>
      <c r="K217" t="e">
        <f>IF(#REF!="","",#REF!)</f>
        <v>#REF!</v>
      </c>
      <c r="L217" t="e">
        <f>IF(#REF!="","",#REF!)</f>
        <v>#REF!</v>
      </c>
      <c r="M217" t="e">
        <f>IF(#REF!="","",#REF!)</f>
        <v>#REF!</v>
      </c>
      <c r="N217" t="e">
        <f>IF(#REF!="","",#REF!)</f>
        <v>#REF!</v>
      </c>
      <c r="O217" t="e">
        <f>IF(#REF!="","",#REF!)</f>
        <v>#REF!</v>
      </c>
      <c r="P217" t="e">
        <f>IF(#REF!="","",#REF!)</f>
        <v>#REF!</v>
      </c>
      <c r="Q217" t="e">
        <f>IF(#REF!="","",#REF!)</f>
        <v>#REF!</v>
      </c>
      <c r="R217" t="e">
        <f>IF(#REF!="","",#REF!)</f>
        <v>#REF!</v>
      </c>
      <c r="Z217" s="401">
        <v>275</v>
      </c>
      <c r="AA217" s="402" t="s">
        <v>401</v>
      </c>
      <c r="AB217" s="402" t="s">
        <v>288</v>
      </c>
      <c r="AC217" s="413" t="s">
        <v>44</v>
      </c>
      <c r="AD217" s="414">
        <v>11698</v>
      </c>
      <c r="AE217" s="413" t="s">
        <v>5307</v>
      </c>
      <c r="AF217" s="413" t="s">
        <v>5260</v>
      </c>
    </row>
    <row r="218" spans="7:32" ht="14.5">
      <c r="G218" t="str">
        <f t="shared" si="14"/>
        <v>115120150</v>
      </c>
      <c r="H218" t="e">
        <f>IF(#REF!="","",#REF!)</f>
        <v>#REF!</v>
      </c>
      <c r="I218" t="e">
        <f>IF(#REF!="","",#REF!)</f>
        <v>#REF!</v>
      </c>
      <c r="J218" t="e">
        <f>IF(#REF!="","",#REF!)</f>
        <v>#REF!</v>
      </c>
      <c r="K218" t="e">
        <f>IF(#REF!="","",#REF!)</f>
        <v>#REF!</v>
      </c>
      <c r="L218" t="e">
        <f>IF(#REF!="","",#REF!)</f>
        <v>#REF!</v>
      </c>
      <c r="M218" t="e">
        <f>IF(#REF!="","",#REF!)</f>
        <v>#REF!</v>
      </c>
      <c r="N218" t="e">
        <f>IF(#REF!="","",#REF!)</f>
        <v>#REF!</v>
      </c>
      <c r="O218" t="e">
        <f>IF(#REF!="","",#REF!)</f>
        <v>#REF!</v>
      </c>
      <c r="P218" t="e">
        <f>IF(#REF!="","",#REF!)</f>
        <v>#REF!</v>
      </c>
      <c r="Q218" t="e">
        <f>IF(#REF!="","",#REF!)</f>
        <v>#REF!</v>
      </c>
      <c r="R218" t="e">
        <f>IF(#REF!="","",#REF!)</f>
        <v>#REF!</v>
      </c>
      <c r="Z218" s="401">
        <v>254</v>
      </c>
      <c r="AA218" s="402" t="s">
        <v>45</v>
      </c>
      <c r="AB218" s="402" t="s">
        <v>288</v>
      </c>
      <c r="AC218" s="413" t="s">
        <v>46</v>
      </c>
      <c r="AD218" s="414">
        <v>5758.4000000000005</v>
      </c>
      <c r="AE218" s="413" t="s">
        <v>5307</v>
      </c>
      <c r="AF218" s="413" t="s">
        <v>5260</v>
      </c>
    </row>
    <row r="219" spans="7:32" ht="14.5">
      <c r="G219" t="str">
        <f t="shared" si="14"/>
        <v>115120150</v>
      </c>
      <c r="H219" t="e">
        <f>IF(#REF!="","",#REF!)</f>
        <v>#REF!</v>
      </c>
      <c r="I219" t="e">
        <f>IF(#REF!="","",#REF!)</f>
        <v>#REF!</v>
      </c>
      <c r="J219" t="e">
        <f>IF(#REF!="","",#REF!)</f>
        <v>#REF!</v>
      </c>
      <c r="K219" t="e">
        <f>IF(#REF!="","",#REF!)</f>
        <v>#REF!</v>
      </c>
      <c r="L219" t="e">
        <f>IF(#REF!="","",#REF!)</f>
        <v>#REF!</v>
      </c>
      <c r="M219" t="e">
        <f>IF(#REF!="","",#REF!)</f>
        <v>#REF!</v>
      </c>
      <c r="N219" t="e">
        <f>IF(#REF!="","",#REF!)</f>
        <v>#REF!</v>
      </c>
      <c r="O219" t="e">
        <f>IF(#REF!="","",#REF!)</f>
        <v>#REF!</v>
      </c>
      <c r="P219" t="e">
        <f>IF(#REF!="","",#REF!)</f>
        <v>#REF!</v>
      </c>
      <c r="Q219" t="e">
        <f>IF(#REF!="","",#REF!)</f>
        <v>#REF!</v>
      </c>
      <c r="R219" t="e">
        <f>IF(#REF!="","",#REF!)</f>
        <v>#REF!</v>
      </c>
      <c r="Z219" s="401">
        <v>168</v>
      </c>
      <c r="AA219" s="402" t="s">
        <v>5316</v>
      </c>
      <c r="AB219" s="402" t="s">
        <v>288</v>
      </c>
      <c r="AC219" s="413" t="s">
        <v>5317</v>
      </c>
      <c r="AD219" s="414">
        <v>572.55999999999995</v>
      </c>
      <c r="AE219" s="413" t="s">
        <v>5307</v>
      </c>
      <c r="AF219" s="413" t="s">
        <v>5260</v>
      </c>
    </row>
    <row r="220" spans="7:32" ht="14.5">
      <c r="G220" t="str">
        <f t="shared" si="14"/>
        <v>115120150</v>
      </c>
      <c r="H220" t="e">
        <f>IF(#REF!="","",#REF!)</f>
        <v>#REF!</v>
      </c>
      <c r="I220" t="e">
        <f>IF(#REF!="","",#REF!)</f>
        <v>#REF!</v>
      </c>
      <c r="J220" t="e">
        <f>IF(#REF!="","",#REF!)</f>
        <v>#REF!</v>
      </c>
      <c r="K220" t="e">
        <f>IF(#REF!="","",#REF!)</f>
        <v>#REF!</v>
      </c>
      <c r="L220" t="e">
        <f>IF(#REF!="","",#REF!)</f>
        <v>#REF!</v>
      </c>
      <c r="M220" t="e">
        <f>IF(#REF!="","",#REF!)</f>
        <v>#REF!</v>
      </c>
      <c r="N220" t="e">
        <f>IF(#REF!="","",#REF!)</f>
        <v>#REF!</v>
      </c>
      <c r="O220" t="e">
        <f>IF(#REF!="","",#REF!)</f>
        <v>#REF!</v>
      </c>
      <c r="P220" t="e">
        <f>IF(#REF!="","",#REF!)</f>
        <v>#REF!</v>
      </c>
      <c r="Q220" t="e">
        <f>IF(#REF!="","",#REF!)</f>
        <v>#REF!</v>
      </c>
      <c r="R220" t="e">
        <f>IF(#REF!="","",#REF!)</f>
        <v>#REF!</v>
      </c>
      <c r="Z220" s="401">
        <v>140</v>
      </c>
      <c r="AA220" s="402" t="s">
        <v>5279</v>
      </c>
      <c r="AB220" s="402" t="s">
        <v>288</v>
      </c>
      <c r="AC220" s="413" t="s">
        <v>290</v>
      </c>
      <c r="AD220" s="414">
        <v>4</v>
      </c>
      <c r="AE220" s="413" t="s">
        <v>5276</v>
      </c>
      <c r="AF220" s="413" t="s">
        <v>5260</v>
      </c>
    </row>
    <row r="221" spans="7:32" ht="14.5">
      <c r="G221" t="str">
        <f t="shared" si="14"/>
        <v>115120150</v>
      </c>
      <c r="H221" t="e">
        <f>IF(#REF!="","",#REF!)</f>
        <v>#REF!</v>
      </c>
      <c r="I221" t="e">
        <f>IF(#REF!="","",#REF!)</f>
        <v>#REF!</v>
      </c>
      <c r="J221" t="e">
        <f>IF(#REF!="","",#REF!)</f>
        <v>#REF!</v>
      </c>
      <c r="K221" t="e">
        <f>IF(#REF!="","",#REF!)</f>
        <v>#REF!</v>
      </c>
      <c r="L221" t="e">
        <f>IF(#REF!="","",#REF!)</f>
        <v>#REF!</v>
      </c>
      <c r="M221" t="e">
        <f>IF(#REF!="","",#REF!)</f>
        <v>#REF!</v>
      </c>
      <c r="N221" t="e">
        <f>IF(#REF!="","",#REF!)</f>
        <v>#REF!</v>
      </c>
      <c r="O221" t="e">
        <f>IF(#REF!="","",#REF!)</f>
        <v>#REF!</v>
      </c>
      <c r="P221" t="e">
        <f>IF(#REF!="","",#REF!)</f>
        <v>#REF!</v>
      </c>
      <c r="Q221" t="e">
        <f>IF(#REF!="","",#REF!)</f>
        <v>#REF!</v>
      </c>
      <c r="R221" t="e">
        <f>IF(#REF!="","",#REF!)</f>
        <v>#REF!</v>
      </c>
      <c r="Z221" s="401">
        <v>137</v>
      </c>
      <c r="AA221" s="402" t="s">
        <v>5274</v>
      </c>
      <c r="AB221" s="402" t="s">
        <v>288</v>
      </c>
      <c r="AC221" s="413" t="s">
        <v>5275</v>
      </c>
      <c r="AD221" s="414">
        <v>3</v>
      </c>
      <c r="AE221" s="413" t="s">
        <v>5276</v>
      </c>
      <c r="AF221" s="413" t="s">
        <v>5260</v>
      </c>
    </row>
    <row r="222" spans="7:32" ht="14.5">
      <c r="G222" t="str">
        <f t="shared" si="14"/>
        <v>115120150</v>
      </c>
      <c r="H222" t="e">
        <f>IF(#REF!="","",#REF!)</f>
        <v>#REF!</v>
      </c>
      <c r="I222" t="e">
        <f>IF(#REF!="","",#REF!)</f>
        <v>#REF!</v>
      </c>
      <c r="J222" t="e">
        <f>IF(#REF!="","",#REF!)</f>
        <v>#REF!</v>
      </c>
      <c r="K222" t="e">
        <f>IF(#REF!="","",#REF!)</f>
        <v>#REF!</v>
      </c>
      <c r="L222" t="e">
        <f>IF(#REF!="","",#REF!)</f>
        <v>#REF!</v>
      </c>
      <c r="M222" t="e">
        <f>IF(#REF!="","",#REF!)</f>
        <v>#REF!</v>
      </c>
      <c r="N222" t="e">
        <f>IF(#REF!="","",#REF!)</f>
        <v>#REF!</v>
      </c>
      <c r="O222" t="e">
        <f>IF(#REF!="","",#REF!)</f>
        <v>#REF!</v>
      </c>
      <c r="P222" t="e">
        <f>IF(#REF!="","",#REF!)</f>
        <v>#REF!</v>
      </c>
      <c r="Q222" t="e">
        <f>IF(#REF!="","",#REF!)</f>
        <v>#REF!</v>
      </c>
      <c r="R222" t="e">
        <f>IF(#REF!="","",#REF!)</f>
        <v>#REF!</v>
      </c>
      <c r="Z222" s="401">
        <v>141</v>
      </c>
      <c r="AA222" s="402" t="s">
        <v>5280</v>
      </c>
      <c r="AB222" s="402" t="s">
        <v>288</v>
      </c>
      <c r="AC222" s="413" t="s">
        <v>5281</v>
      </c>
      <c r="AD222" s="414">
        <v>5</v>
      </c>
      <c r="AE222" s="413" t="s">
        <v>5276</v>
      </c>
      <c r="AF222" s="413" t="s">
        <v>5260</v>
      </c>
    </row>
    <row r="223" spans="7:32" ht="14.5">
      <c r="G223" t="str">
        <f t="shared" si="14"/>
        <v>115120150</v>
      </c>
      <c r="H223" t="e">
        <f>IF(#REF!="","",#REF!)</f>
        <v>#REF!</v>
      </c>
      <c r="I223" t="e">
        <f>IF(#REF!="","",#REF!)</f>
        <v>#REF!</v>
      </c>
      <c r="J223" t="e">
        <f>IF(#REF!="","",#REF!)</f>
        <v>#REF!</v>
      </c>
      <c r="K223" t="e">
        <f>IF(#REF!="","",#REF!)</f>
        <v>#REF!</v>
      </c>
      <c r="L223" t="e">
        <f>IF(#REF!="","",#REF!)</f>
        <v>#REF!</v>
      </c>
      <c r="M223" t="e">
        <f>IF(#REF!="","",#REF!)</f>
        <v>#REF!</v>
      </c>
      <c r="N223" t="e">
        <f>IF(#REF!="","",#REF!)</f>
        <v>#REF!</v>
      </c>
      <c r="O223" t="e">
        <f>IF(#REF!="","",#REF!)</f>
        <v>#REF!</v>
      </c>
      <c r="P223" t="e">
        <f>IF(#REF!="","",#REF!)</f>
        <v>#REF!</v>
      </c>
      <c r="Q223" t="e">
        <f>IF(#REF!="","",#REF!)</f>
        <v>#REF!</v>
      </c>
      <c r="R223" t="e">
        <f>IF(#REF!="","",#REF!)</f>
        <v>#REF!</v>
      </c>
      <c r="Z223" s="401">
        <v>143</v>
      </c>
      <c r="AA223" s="402" t="s">
        <v>5284</v>
      </c>
      <c r="AB223" s="402" t="s">
        <v>288</v>
      </c>
      <c r="AC223" s="413" t="s">
        <v>5285</v>
      </c>
      <c r="AD223" s="414">
        <v>11</v>
      </c>
      <c r="AE223" s="413" t="s">
        <v>5276</v>
      </c>
      <c r="AF223" s="413" t="s">
        <v>5260</v>
      </c>
    </row>
    <row r="224" spans="7:32" ht="14.5">
      <c r="G224" t="str">
        <f t="shared" si="14"/>
        <v>115120150</v>
      </c>
      <c r="H224" t="e">
        <f>IF(#REF!="","",#REF!)</f>
        <v>#REF!</v>
      </c>
      <c r="I224" t="e">
        <f>IF(#REF!="","",#REF!)</f>
        <v>#REF!</v>
      </c>
      <c r="J224" t="e">
        <f>IF(#REF!="","",#REF!)</f>
        <v>#REF!</v>
      </c>
      <c r="K224" t="e">
        <f>IF(#REF!="","",#REF!)</f>
        <v>#REF!</v>
      </c>
      <c r="L224" t="e">
        <f>IF(#REF!="","",#REF!)</f>
        <v>#REF!</v>
      </c>
      <c r="M224" t="e">
        <f>IF(#REF!="","",#REF!)</f>
        <v>#REF!</v>
      </c>
      <c r="N224" t="e">
        <f>IF(#REF!="","",#REF!)</f>
        <v>#REF!</v>
      </c>
      <c r="O224" t="e">
        <f>IF(#REF!="","",#REF!)</f>
        <v>#REF!</v>
      </c>
      <c r="P224" t="e">
        <f>IF(#REF!="","",#REF!)</f>
        <v>#REF!</v>
      </c>
      <c r="Q224" t="e">
        <f>IF(#REF!="","",#REF!)</f>
        <v>#REF!</v>
      </c>
      <c r="R224" t="e">
        <f>IF(#REF!="","",#REF!)</f>
        <v>#REF!</v>
      </c>
      <c r="Z224" s="401">
        <v>129</v>
      </c>
      <c r="AA224" s="402" t="s">
        <v>5259</v>
      </c>
      <c r="AB224" s="402" t="s">
        <v>288</v>
      </c>
      <c r="AC224" s="413" t="s">
        <v>793</v>
      </c>
      <c r="AD224" s="414">
        <v>0</v>
      </c>
      <c r="AE224" s="413" t="s">
        <v>794</v>
      </c>
      <c r="AF224" s="413" t="s">
        <v>5260</v>
      </c>
    </row>
    <row r="225" spans="26:47" ht="14.5">
      <c r="Z225" s="401">
        <v>210</v>
      </c>
      <c r="AA225" s="402" t="s">
        <v>5433</v>
      </c>
      <c r="AB225" s="402" t="s">
        <v>288</v>
      </c>
      <c r="AC225" s="413" t="s">
        <v>5434</v>
      </c>
      <c r="AD225" s="414">
        <v>1730</v>
      </c>
      <c r="AE225" s="413" t="s">
        <v>5262</v>
      </c>
      <c r="AF225" s="413" t="s">
        <v>5260</v>
      </c>
    </row>
    <row r="226" spans="26:47" ht="26.25" customHeight="1">
      <c r="Z226" s="401">
        <v>280</v>
      </c>
      <c r="AA226" s="402" t="s">
        <v>47</v>
      </c>
      <c r="AB226" s="402" t="s">
        <v>288</v>
      </c>
      <c r="AC226" s="413" t="s">
        <v>48</v>
      </c>
      <c r="AD226" s="414">
        <v>16100</v>
      </c>
      <c r="AE226" s="413" t="s">
        <v>5262</v>
      </c>
      <c r="AF226" s="413" t="s">
        <v>5260</v>
      </c>
      <c r="AU226" s="195"/>
    </row>
    <row r="234" spans="26:47">
      <c r="AE234">
        <v>5</v>
      </c>
    </row>
    <row r="235" spans="26:47">
      <c r="AE235" s="204">
        <v>0.25</v>
      </c>
    </row>
    <row r="236" spans="26:47">
      <c r="AE236" s="204">
        <v>0.1</v>
      </c>
    </row>
    <row r="237" spans="26:47">
      <c r="AB237">
        <v>36403</v>
      </c>
      <c r="AC237" t="s">
        <v>349</v>
      </c>
      <c r="AE237" s="204">
        <v>0.55000000000000004</v>
      </c>
      <c r="AF237" t="s">
        <v>348</v>
      </c>
      <c r="AH237">
        <v>38.68</v>
      </c>
      <c r="AI237" s="152">
        <v>2789.7930000000001</v>
      </c>
    </row>
    <row r="250" spans="1:8">
      <c r="A250" t="s">
        <v>331</v>
      </c>
      <c r="B250" t="s">
        <v>760</v>
      </c>
      <c r="C250" t="s">
        <v>737</v>
      </c>
      <c r="D250" t="s">
        <v>738</v>
      </c>
      <c r="E250" t="s">
        <v>739</v>
      </c>
      <c r="F250" t="s">
        <v>588</v>
      </c>
      <c r="G250" t="s">
        <v>589</v>
      </c>
      <c r="H250" t="s">
        <v>590</v>
      </c>
    </row>
    <row r="251" spans="1:8">
      <c r="A251" t="str">
        <f t="shared" ref="A251:A256" si="15">DQ$2</f>
        <v>115120150</v>
      </c>
      <c r="B251" t="s">
        <v>32</v>
      </c>
      <c r="C251" s="216">
        <f>'1. Demande'!S158</f>
        <v>0</v>
      </c>
      <c r="D251" s="216">
        <f>'1. Demande'!W158</f>
        <v>0</v>
      </c>
      <c r="E251" s="216">
        <f>'1. Demande'!AB158</f>
        <v>0</v>
      </c>
      <c r="F251" s="216">
        <f>'1. Demande'!AF158</f>
        <v>0</v>
      </c>
      <c r="G251" s="216">
        <f>'1. Demande'!AK158</f>
        <v>0</v>
      </c>
      <c r="H251" s="216">
        <f>'1. Demande'!AO158</f>
        <v>0</v>
      </c>
    </row>
    <row r="252" spans="1:8">
      <c r="A252" t="str">
        <f t="shared" si="15"/>
        <v>115120150</v>
      </c>
      <c r="B252" t="s">
        <v>5257</v>
      </c>
      <c r="C252" s="216">
        <f>'1. Demande'!S159</f>
        <v>0</v>
      </c>
      <c r="D252" s="216">
        <f>'1. Demande'!W159</f>
        <v>0</v>
      </c>
      <c r="E252" s="216">
        <f>'1. Demande'!AB159</f>
        <v>0</v>
      </c>
      <c r="F252" s="216">
        <f>'1. Demande'!AF159</f>
        <v>0</v>
      </c>
      <c r="G252" s="216">
        <f>'1. Demande'!AK159</f>
        <v>0</v>
      </c>
      <c r="H252" s="216">
        <f>'1. Demande'!AO159</f>
        <v>0</v>
      </c>
    </row>
    <row r="253" spans="1:8">
      <c r="A253" t="str">
        <f t="shared" si="15"/>
        <v>115120150</v>
      </c>
      <c r="B253" t="s">
        <v>5255</v>
      </c>
      <c r="C253" s="216">
        <f>'1. Demande'!S160</f>
        <v>0</v>
      </c>
      <c r="D253" s="216">
        <f>'1. Demande'!W160</f>
        <v>0</v>
      </c>
      <c r="E253" s="216">
        <f>'1. Demande'!AB160</f>
        <v>0</v>
      </c>
      <c r="F253" s="216">
        <f>'1. Demande'!AF160</f>
        <v>0</v>
      </c>
      <c r="G253" s="216">
        <f>'1. Demande'!AK160</f>
        <v>0</v>
      </c>
      <c r="H253" s="216">
        <f>'1. Demande'!AO160</f>
        <v>0</v>
      </c>
    </row>
    <row r="254" spans="1:8">
      <c r="A254" t="str">
        <f t="shared" si="15"/>
        <v>115120150</v>
      </c>
      <c r="B254" t="s">
        <v>5256</v>
      </c>
      <c r="C254" s="216">
        <f>'1. Demande'!S161</f>
        <v>0</v>
      </c>
      <c r="D254" s="216">
        <f>'1. Demande'!W161</f>
        <v>0</v>
      </c>
      <c r="E254" s="216">
        <f>'1. Demande'!AB161</f>
        <v>0</v>
      </c>
      <c r="F254" s="216">
        <f>'1. Demande'!AF161</f>
        <v>0</v>
      </c>
      <c r="G254" s="216">
        <f>'1. Demande'!AK161</f>
        <v>0</v>
      </c>
      <c r="H254" s="216">
        <f>'1. Demande'!AO161</f>
        <v>0</v>
      </c>
    </row>
    <row r="255" spans="1:8">
      <c r="A255" t="str">
        <f t="shared" si="15"/>
        <v>115120150</v>
      </c>
      <c r="B255">
        <f>'1. Demande'!E162</f>
        <v>0</v>
      </c>
      <c r="C255" s="216">
        <f>'1. Demande'!S162</f>
        <v>0</v>
      </c>
      <c r="D255" s="216">
        <f>'1. Demande'!W162</f>
        <v>0</v>
      </c>
      <c r="E255" s="216">
        <f>'1. Demande'!AB162</f>
        <v>0</v>
      </c>
      <c r="F255" s="216">
        <f>'1. Demande'!AF162</f>
        <v>0</v>
      </c>
      <c r="G255" s="216">
        <f>'1. Demande'!AK162</f>
        <v>0</v>
      </c>
      <c r="H255" s="216">
        <f>'1. Demande'!AO162</f>
        <v>0</v>
      </c>
    </row>
    <row r="256" spans="1:8">
      <c r="A256" t="str">
        <f t="shared" si="15"/>
        <v>115120150</v>
      </c>
      <c r="B256">
        <f>'1. Demande'!E163</f>
        <v>0</v>
      </c>
      <c r="C256" s="216">
        <f>'1. Demande'!S163</f>
        <v>0</v>
      </c>
      <c r="D256" s="216">
        <f>'1. Demande'!W163</f>
        <v>0</v>
      </c>
      <c r="E256" s="216">
        <f>'1. Demande'!AB163</f>
        <v>0</v>
      </c>
      <c r="F256" s="216">
        <f>'1. Demande'!AF163</f>
        <v>0</v>
      </c>
      <c r="G256" s="216">
        <f>'1. Demande'!AK163</f>
        <v>0</v>
      </c>
      <c r="H256" s="216">
        <f>'1. Demande'!AO163</f>
        <v>0</v>
      </c>
    </row>
  </sheetData>
  <sheetProtection password="C6C6" sheet="1" objects="1" scenarios="1"/>
  <autoFilter ref="Z76:AE188" xr:uid="{C1647243-4AB4-490C-A0F7-F1626EF492B8}">
    <sortState xmlns:xlrd2="http://schemas.microsoft.com/office/spreadsheetml/2017/richdata2" ref="Z77:AE189">
      <sortCondition ref="Z76:Z186"/>
    </sortState>
  </autoFilter>
  <mergeCells count="2">
    <mergeCell ref="B64:C64"/>
    <mergeCell ref="D64:E64"/>
  </mergeCells>
  <phoneticPr fontId="14" type="noConversion"/>
  <pageMargins left="0.17" right="0.19" top="0.984251969" bottom="0.984251969" header="0.4921259845" footer="0.492125984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57B2-26E9-403B-808A-88CBD63E2D5F}">
  <sheetPr codeName="Feuil9">
    <tabColor theme="8"/>
  </sheetPr>
  <dimension ref="B1:BJ53"/>
  <sheetViews>
    <sheetView workbookViewId="0"/>
  </sheetViews>
  <sheetFormatPr baseColWidth="10" defaultColWidth="11.453125" defaultRowHeight="14.5"/>
  <cols>
    <col min="1" max="1" width="5.453125" style="343" customWidth="1"/>
    <col min="2" max="2" width="4.453125" style="343" customWidth="1"/>
    <col min="3" max="3" width="11.453125" style="343"/>
    <col min="4" max="4" width="9.453125" style="343" customWidth="1"/>
    <col min="5" max="5" width="11.453125" style="343"/>
    <col min="6" max="6" width="14.54296875" style="343" bestFit="1" customWidth="1"/>
    <col min="7" max="16384" width="11.453125" style="343"/>
  </cols>
  <sheetData>
    <row r="1" spans="2:16" ht="63" customHeight="1">
      <c r="B1" s="1595" t="s">
        <v>5072</v>
      </c>
      <c r="C1" s="1596"/>
      <c r="D1" s="1596"/>
      <c r="E1" s="1596"/>
      <c r="F1" s="1596"/>
      <c r="G1" s="1596"/>
      <c r="H1" s="1596"/>
      <c r="I1" s="1596"/>
      <c r="J1" s="1596"/>
      <c r="K1" s="1596"/>
      <c r="L1" s="1596"/>
      <c r="M1" s="1596"/>
      <c r="N1" s="1596"/>
      <c r="O1" s="363"/>
      <c r="P1" s="385" t="s">
        <v>5383</v>
      </c>
    </row>
    <row r="2" spans="2:16" ht="15" thickBot="1">
      <c r="F2" s="364"/>
    </row>
    <row r="3" spans="2:16" ht="13.4" customHeight="1">
      <c r="B3" s="1597" t="s">
        <v>4971</v>
      </c>
      <c r="C3" s="1581" t="s">
        <v>4986</v>
      </c>
      <c r="D3" s="1581"/>
      <c r="E3" s="1581"/>
      <c r="F3" s="1581"/>
      <c r="G3" s="1581"/>
      <c r="H3" s="1581"/>
      <c r="I3" s="1581"/>
      <c r="J3" s="1581"/>
      <c r="K3" s="1581"/>
      <c r="L3" s="1581"/>
      <c r="M3" s="1581"/>
      <c r="N3" s="1581"/>
    </row>
    <row r="4" spans="2:16" ht="32.15" customHeight="1">
      <c r="B4" s="1598"/>
      <c r="C4" s="1582" t="s">
        <v>4985</v>
      </c>
      <c r="D4" s="1582"/>
      <c r="E4" s="1582"/>
      <c r="F4" s="1582"/>
      <c r="G4" s="1582"/>
      <c r="H4" s="1582"/>
      <c r="I4" s="1582"/>
      <c r="J4" s="1582"/>
      <c r="K4" s="1582"/>
      <c r="L4" s="1582"/>
      <c r="M4" s="1582"/>
      <c r="N4" s="1582"/>
    </row>
    <row r="5" spans="2:16" ht="15" customHeight="1">
      <c r="B5" s="1598"/>
      <c r="C5" s="1581" t="s">
        <v>5026</v>
      </c>
      <c r="D5" s="1581"/>
      <c r="E5" s="1581"/>
      <c r="F5" s="1581"/>
      <c r="G5" s="1581"/>
      <c r="H5" s="1581"/>
      <c r="I5" s="1581"/>
      <c r="J5" s="1581"/>
      <c r="K5" s="1581"/>
      <c r="L5" s="1581"/>
      <c r="M5" s="1581"/>
      <c r="N5" s="1581"/>
    </row>
    <row r="6" spans="2:16" ht="17.649999999999999" customHeight="1">
      <c r="B6" s="1598"/>
      <c r="C6" s="1582" t="s">
        <v>5069</v>
      </c>
      <c r="D6" s="1582"/>
      <c r="E6" s="1582"/>
      <c r="F6" s="1582"/>
      <c r="G6" s="1582"/>
      <c r="H6" s="1582"/>
      <c r="I6" s="1582"/>
      <c r="J6" s="1582"/>
      <c r="K6" s="1582"/>
      <c r="L6" s="1582"/>
      <c r="M6" s="1582"/>
      <c r="N6" s="1582"/>
    </row>
    <row r="7" spans="2:16" ht="14.65" customHeight="1">
      <c r="B7" s="1598"/>
      <c r="C7" s="1578" t="s">
        <v>447</v>
      </c>
      <c r="D7" s="1578"/>
      <c r="E7" s="1578"/>
      <c r="F7" s="1578"/>
      <c r="G7" s="1578"/>
      <c r="H7" s="1578"/>
      <c r="I7" s="1578"/>
      <c r="J7" s="1578"/>
      <c r="K7" s="1578"/>
      <c r="L7" s="1578"/>
      <c r="M7" s="1578"/>
      <c r="N7" s="1578"/>
    </row>
    <row r="8" spans="2:16">
      <c r="B8" s="1598"/>
      <c r="C8" s="1577" t="s">
        <v>4984</v>
      </c>
      <c r="D8" s="1577"/>
      <c r="E8" s="1577"/>
      <c r="F8" s="1577"/>
      <c r="G8" s="1577"/>
      <c r="H8" s="1577"/>
      <c r="I8" s="1577"/>
      <c r="J8" s="1577"/>
      <c r="K8" s="1577"/>
      <c r="L8" s="1577"/>
      <c r="M8" s="1577"/>
      <c r="N8" s="1577"/>
    </row>
    <row r="9" spans="2:16">
      <c r="B9" s="1598"/>
      <c r="C9" s="1578" t="s">
        <v>446</v>
      </c>
      <c r="D9" s="1578"/>
      <c r="E9" s="1578"/>
      <c r="F9" s="1578"/>
      <c r="G9" s="1578"/>
      <c r="H9" s="1578"/>
      <c r="I9" s="1578"/>
      <c r="J9" s="1578"/>
      <c r="K9" s="1578"/>
      <c r="L9" s="1578"/>
      <c r="M9" s="1578"/>
      <c r="N9" s="1578"/>
    </row>
    <row r="10" spans="2:16" ht="15" thickBot="1">
      <c r="B10" s="1599"/>
      <c r="C10" s="1577" t="s">
        <v>4983</v>
      </c>
      <c r="D10" s="1577"/>
      <c r="E10" s="1577"/>
      <c r="F10" s="1577"/>
      <c r="G10" s="1577"/>
      <c r="H10" s="1577"/>
      <c r="I10" s="1577"/>
      <c r="J10" s="1577"/>
      <c r="K10" s="1577"/>
      <c r="L10" s="1577"/>
      <c r="M10" s="1577"/>
      <c r="N10" s="1577"/>
    </row>
    <row r="11" spans="2:16" ht="15" thickBot="1">
      <c r="B11" s="344"/>
      <c r="D11" s="345"/>
      <c r="E11" s="345"/>
    </row>
    <row r="12" spans="2:16" ht="15" thickBot="1">
      <c r="B12" s="1600" t="s">
        <v>4967</v>
      </c>
      <c r="C12" s="1603" t="s">
        <v>4961</v>
      </c>
      <c r="D12" s="1604"/>
      <c r="E12" s="1604"/>
      <c r="F12" s="1604"/>
      <c r="G12" s="1604"/>
      <c r="H12" s="1604"/>
      <c r="I12" s="1604"/>
      <c r="J12" s="1604"/>
      <c r="K12" s="1604"/>
      <c r="L12" s="1604"/>
      <c r="M12" s="1604"/>
      <c r="N12" s="1605"/>
      <c r="O12" s="345"/>
    </row>
    <row r="13" spans="2:16">
      <c r="B13" s="1601"/>
      <c r="C13" s="346"/>
      <c r="D13" s="347"/>
      <c r="E13" s="347"/>
      <c r="F13" s="347"/>
      <c r="G13" s="347"/>
      <c r="H13" s="347"/>
      <c r="I13" s="347"/>
      <c r="J13" s="347"/>
      <c r="K13" s="347"/>
      <c r="L13" s="347"/>
      <c r="M13" s="347"/>
      <c r="N13" s="348"/>
    </row>
    <row r="14" spans="2:16">
      <c r="B14" s="1601"/>
      <c r="C14" s="349" t="s">
        <v>4960</v>
      </c>
      <c r="D14" s="350"/>
      <c r="E14" s="350"/>
      <c r="F14" s="350"/>
      <c r="G14" s="1579" t="s">
        <v>4959</v>
      </c>
      <c r="H14" s="1579"/>
      <c r="I14" s="1579"/>
      <c r="J14" s="1579"/>
      <c r="K14" s="1579"/>
      <c r="L14" s="1579"/>
      <c r="M14" s="1579"/>
      <c r="N14" s="1580"/>
    </row>
    <row r="15" spans="2:16">
      <c r="B15" s="1601"/>
      <c r="C15" s="349"/>
      <c r="D15" s="350"/>
      <c r="E15" s="350"/>
      <c r="F15" s="350"/>
      <c r="G15" s="350"/>
      <c r="H15" s="350"/>
      <c r="I15" s="350"/>
      <c r="J15" s="350"/>
      <c r="K15" s="350"/>
      <c r="L15" s="350"/>
      <c r="M15" s="350"/>
      <c r="N15" s="352"/>
    </row>
    <row r="16" spans="2:16">
      <c r="B16" s="1601"/>
      <c r="C16" s="349" t="s">
        <v>4958</v>
      </c>
      <c r="D16" s="350"/>
      <c r="E16" s="350"/>
      <c r="F16" s="350" t="s">
        <v>4957</v>
      </c>
      <c r="G16" s="1579" t="s">
        <v>4956</v>
      </c>
      <c r="H16" s="1579"/>
      <c r="I16" s="1579"/>
      <c r="J16" s="1579"/>
      <c r="K16" s="1579"/>
      <c r="L16" s="1579"/>
      <c r="M16" s="1579"/>
      <c r="N16" s="1580"/>
    </row>
    <row r="17" spans="2:14">
      <c r="B17" s="1601"/>
      <c r="C17" s="349"/>
      <c r="D17" s="350"/>
      <c r="E17" s="350"/>
      <c r="F17" s="350" t="s">
        <v>4955</v>
      </c>
      <c r="G17" s="1579" t="s">
        <v>4954</v>
      </c>
      <c r="H17" s="1579"/>
      <c r="I17" s="1579"/>
      <c r="J17" s="1579"/>
      <c r="K17" s="1579"/>
      <c r="L17" s="1579"/>
      <c r="M17" s="1579"/>
      <c r="N17" s="1580"/>
    </row>
    <row r="18" spans="2:14">
      <c r="B18" s="1601"/>
      <c r="C18" s="349"/>
      <c r="D18" s="350"/>
      <c r="E18" s="350"/>
      <c r="F18" s="350"/>
      <c r="G18" s="351"/>
      <c r="H18" s="350"/>
      <c r="I18" s="350"/>
      <c r="J18" s="350"/>
      <c r="K18" s="350"/>
      <c r="L18" s="350"/>
      <c r="M18" s="350"/>
      <c r="N18" s="352"/>
    </row>
    <row r="19" spans="2:14">
      <c r="B19" s="1601"/>
      <c r="C19" s="1606" t="s">
        <v>4982</v>
      </c>
      <c r="D19" s="1607"/>
      <c r="E19" s="1607"/>
      <c r="F19" s="1607"/>
      <c r="G19" s="1607"/>
      <c r="H19" s="1607"/>
      <c r="I19" s="1607"/>
      <c r="J19" s="1607"/>
      <c r="K19" s="1607"/>
      <c r="L19" s="1607"/>
      <c r="M19" s="1607"/>
      <c r="N19" s="1608"/>
    </row>
    <row r="20" spans="2:14">
      <c r="B20" s="1601"/>
      <c r="C20" s="349"/>
      <c r="D20" s="350"/>
      <c r="E20" s="350"/>
      <c r="F20" s="350"/>
      <c r="G20" s="350"/>
      <c r="H20" s="350"/>
      <c r="I20" s="350"/>
      <c r="J20" s="350"/>
      <c r="K20" s="350"/>
      <c r="L20" s="350"/>
      <c r="M20" s="350"/>
      <c r="N20" s="352"/>
    </row>
    <row r="21" spans="2:14" ht="15" thickBot="1">
      <c r="B21" s="1602"/>
      <c r="C21" s="353" t="s">
        <v>4981</v>
      </c>
      <c r="D21" s="354"/>
      <c r="E21" s="354"/>
      <c r="F21" s="354"/>
      <c r="G21" s="354"/>
      <c r="H21" s="354"/>
      <c r="I21" s="354"/>
      <c r="J21" s="354"/>
      <c r="K21" s="354"/>
      <c r="L21" s="354"/>
      <c r="M21" s="354"/>
      <c r="N21" s="355"/>
    </row>
    <row r="22" spans="2:14" s="356" customFormat="1" ht="15" thickBot="1">
      <c r="C22" s="357"/>
      <c r="D22" s="357"/>
      <c r="E22" s="357"/>
      <c r="F22" s="357"/>
      <c r="G22" s="343"/>
      <c r="H22" s="343"/>
      <c r="I22" s="343"/>
      <c r="J22" s="343"/>
      <c r="K22" s="343"/>
      <c r="L22" s="343"/>
      <c r="M22" s="343"/>
      <c r="N22" s="343"/>
    </row>
    <row r="23" spans="2:14" s="356" customFormat="1" ht="15" thickBot="1">
      <c r="B23" s="1600" t="s">
        <v>4953</v>
      </c>
      <c r="C23" s="1583" t="s">
        <v>4979</v>
      </c>
      <c r="D23" s="1584"/>
      <c r="E23" s="1584"/>
      <c r="F23" s="1584"/>
      <c r="G23" s="1584"/>
      <c r="H23" s="1584"/>
      <c r="I23" s="1584"/>
      <c r="J23" s="1584"/>
      <c r="K23" s="1584"/>
      <c r="L23" s="1584"/>
      <c r="M23" s="1584"/>
      <c r="N23" s="1585"/>
    </row>
    <row r="24" spans="2:14" s="356" customFormat="1" ht="69.650000000000006" customHeight="1" thickBot="1">
      <c r="B24" s="1601"/>
      <c r="C24" s="1589" t="s">
        <v>5054</v>
      </c>
      <c r="D24" s="1590"/>
      <c r="E24" s="1590"/>
      <c r="F24" s="1590"/>
      <c r="G24" s="1590"/>
      <c r="H24" s="1590"/>
      <c r="I24" s="1590"/>
      <c r="J24" s="1590"/>
      <c r="K24" s="1590"/>
      <c r="L24" s="1590"/>
      <c r="M24" s="1590"/>
      <c r="N24" s="1591"/>
    </row>
    <row r="25" spans="2:14" s="356" customFormat="1" ht="15" thickBot="1">
      <c r="B25" s="1601"/>
      <c r="C25" s="1583" t="s">
        <v>4978</v>
      </c>
      <c r="D25" s="1584"/>
      <c r="E25" s="1584"/>
      <c r="F25" s="1584"/>
      <c r="G25" s="1584"/>
      <c r="H25" s="1584"/>
      <c r="I25" s="1584"/>
      <c r="J25" s="1584"/>
      <c r="K25" s="1584"/>
      <c r="L25" s="1584"/>
      <c r="M25" s="1584"/>
      <c r="N25" s="1585"/>
    </row>
    <row r="26" spans="2:14" s="356" customFormat="1" ht="69" customHeight="1" thickBot="1">
      <c r="B26" s="1601"/>
      <c r="C26" s="1589" t="s">
        <v>5055</v>
      </c>
      <c r="D26" s="1590"/>
      <c r="E26" s="1590"/>
      <c r="F26" s="1590"/>
      <c r="G26" s="1590"/>
      <c r="H26" s="1590"/>
      <c r="I26" s="1590"/>
      <c r="J26" s="1590"/>
      <c r="K26" s="1590"/>
      <c r="L26" s="1590"/>
      <c r="M26" s="1590"/>
      <c r="N26" s="1591"/>
    </row>
    <row r="27" spans="2:14" s="356" customFormat="1" ht="15" thickBot="1">
      <c r="B27" s="1601"/>
      <c r="C27" s="1583" t="s">
        <v>4977</v>
      </c>
      <c r="D27" s="1584"/>
      <c r="E27" s="1584"/>
      <c r="F27" s="1584"/>
      <c r="G27" s="1584"/>
      <c r="H27" s="1584"/>
      <c r="I27" s="1584"/>
      <c r="J27" s="1584"/>
      <c r="K27" s="1584"/>
      <c r="L27" s="1584"/>
      <c r="M27" s="1584"/>
      <c r="N27" s="1585"/>
    </row>
    <row r="28" spans="2:14" s="356" customFormat="1" ht="71.650000000000006" customHeight="1" thickBot="1">
      <c r="B28" s="1601"/>
      <c r="C28" s="1589" t="s">
        <v>5056</v>
      </c>
      <c r="D28" s="1590"/>
      <c r="E28" s="1590"/>
      <c r="F28" s="1590"/>
      <c r="G28" s="1590"/>
      <c r="H28" s="1590"/>
      <c r="I28" s="1590"/>
      <c r="J28" s="1590"/>
      <c r="K28" s="1590"/>
      <c r="L28" s="1590"/>
      <c r="M28" s="1590"/>
      <c r="N28" s="1591"/>
    </row>
    <row r="29" spans="2:14" s="356" customFormat="1" ht="15" thickBot="1">
      <c r="B29" s="1601"/>
      <c r="C29" s="1583" t="s">
        <v>4976</v>
      </c>
      <c r="D29" s="1584"/>
      <c r="E29" s="1584"/>
      <c r="F29" s="1584"/>
      <c r="G29" s="1584"/>
      <c r="H29" s="1584"/>
      <c r="I29" s="1584"/>
      <c r="J29" s="1584"/>
      <c r="K29" s="1584"/>
      <c r="L29" s="1584"/>
      <c r="M29" s="1584"/>
      <c r="N29" s="1585"/>
    </row>
    <row r="30" spans="2:14" s="356" customFormat="1" ht="85.4" customHeight="1" thickBot="1">
      <c r="B30" s="1601"/>
      <c r="C30" s="1589" t="s">
        <v>5057</v>
      </c>
      <c r="D30" s="1590"/>
      <c r="E30" s="1590"/>
      <c r="F30" s="1590"/>
      <c r="G30" s="1590"/>
      <c r="H30" s="1590"/>
      <c r="I30" s="1590"/>
      <c r="J30" s="1590"/>
      <c r="K30" s="1590"/>
      <c r="L30" s="1590"/>
      <c r="M30" s="1590"/>
      <c r="N30" s="1591"/>
    </row>
    <row r="31" spans="2:14" s="356" customFormat="1" ht="15" thickBot="1">
      <c r="B31" s="1601"/>
      <c r="C31" s="1583" t="s">
        <v>4975</v>
      </c>
      <c r="D31" s="1584"/>
      <c r="E31" s="1584"/>
      <c r="F31" s="1584"/>
      <c r="G31" s="1584"/>
      <c r="H31" s="1584"/>
      <c r="I31" s="1584"/>
      <c r="J31" s="1584"/>
      <c r="K31" s="1584"/>
      <c r="L31" s="1584"/>
      <c r="M31" s="1584"/>
      <c r="N31" s="1585"/>
    </row>
    <row r="32" spans="2:14" s="356" customFormat="1" ht="125.65" customHeight="1" thickBot="1">
      <c r="B32" s="1601"/>
      <c r="C32" s="1589" t="s">
        <v>5052</v>
      </c>
      <c r="D32" s="1590"/>
      <c r="E32" s="1590"/>
      <c r="F32" s="1590"/>
      <c r="G32" s="1590"/>
      <c r="H32" s="1590"/>
      <c r="I32" s="1590"/>
      <c r="J32" s="1590"/>
      <c r="K32" s="1590"/>
      <c r="L32" s="1590"/>
      <c r="M32" s="1590"/>
      <c r="N32" s="1591"/>
    </row>
    <row r="33" spans="2:14" s="356" customFormat="1" ht="15" thickBot="1">
      <c r="B33" s="1601"/>
      <c r="C33" s="1583" t="s">
        <v>4974</v>
      </c>
      <c r="D33" s="1584"/>
      <c r="E33" s="1584"/>
      <c r="F33" s="1584"/>
      <c r="G33" s="1584"/>
      <c r="H33" s="1584"/>
      <c r="I33" s="1584"/>
      <c r="J33" s="1584"/>
      <c r="K33" s="1584"/>
      <c r="L33" s="1584"/>
      <c r="M33" s="1584"/>
      <c r="N33" s="1585"/>
    </row>
    <row r="34" spans="2:14" ht="137.65" customHeight="1" thickBot="1">
      <c r="B34" s="1601"/>
      <c r="C34" s="1589" t="s">
        <v>5053</v>
      </c>
      <c r="D34" s="1590"/>
      <c r="E34" s="1590"/>
      <c r="F34" s="1590"/>
      <c r="G34" s="1590"/>
      <c r="H34" s="1590"/>
      <c r="I34" s="1590"/>
      <c r="J34" s="1590"/>
      <c r="K34" s="1590"/>
      <c r="L34" s="1590"/>
      <c r="M34" s="1590"/>
      <c r="N34" s="1591"/>
    </row>
    <row r="35" spans="2:14" ht="15" thickBot="1">
      <c r="B35" s="1601"/>
      <c r="C35" s="1583" t="s">
        <v>4973</v>
      </c>
      <c r="D35" s="1584"/>
      <c r="E35" s="1584"/>
      <c r="F35" s="1584"/>
      <c r="G35" s="1584"/>
      <c r="H35" s="1584"/>
      <c r="I35" s="1584"/>
      <c r="J35" s="1584"/>
      <c r="K35" s="1584"/>
      <c r="L35" s="1584"/>
      <c r="M35" s="1584"/>
      <c r="N35" s="1585"/>
    </row>
    <row r="36" spans="2:14" ht="108.65" customHeight="1" thickBot="1">
      <c r="B36" s="1601"/>
      <c r="C36" s="1589" t="s">
        <v>5058</v>
      </c>
      <c r="D36" s="1590"/>
      <c r="E36" s="1590"/>
      <c r="F36" s="1590"/>
      <c r="G36" s="1590"/>
      <c r="H36" s="1590"/>
      <c r="I36" s="1590"/>
      <c r="J36" s="1590"/>
      <c r="K36" s="1590"/>
      <c r="L36" s="1590"/>
      <c r="M36" s="1590"/>
      <c r="N36" s="1591"/>
    </row>
    <row r="37" spans="2:14" ht="15" thickBot="1">
      <c r="B37" s="1601"/>
      <c r="C37" s="1583" t="s">
        <v>5070</v>
      </c>
      <c r="D37" s="1584"/>
      <c r="E37" s="1584"/>
      <c r="F37" s="1584"/>
      <c r="G37" s="1584"/>
      <c r="H37" s="1584"/>
      <c r="I37" s="1584"/>
      <c r="J37" s="1584"/>
      <c r="K37" s="1584"/>
      <c r="L37" s="1584"/>
      <c r="M37" s="1584"/>
      <c r="N37" s="1585"/>
    </row>
    <row r="38" spans="2:14" ht="15" thickBot="1">
      <c r="B38" s="1601"/>
      <c r="C38" s="1589" t="s">
        <v>5071</v>
      </c>
      <c r="D38" s="1590"/>
      <c r="E38" s="1590"/>
      <c r="F38" s="1590"/>
      <c r="G38" s="1590"/>
      <c r="H38" s="1590"/>
      <c r="I38" s="1590"/>
      <c r="J38" s="1590"/>
      <c r="K38" s="1590"/>
      <c r="L38" s="1590"/>
      <c r="M38" s="1590"/>
      <c r="N38" s="1591"/>
    </row>
    <row r="39" spans="2:14" ht="15" thickBot="1">
      <c r="B39" s="1601"/>
      <c r="C39" s="1583" t="s">
        <v>173</v>
      </c>
      <c r="D39" s="1584"/>
      <c r="E39" s="1584"/>
      <c r="F39" s="1584"/>
      <c r="G39" s="1584"/>
      <c r="H39" s="1584"/>
      <c r="I39" s="1584"/>
      <c r="J39" s="1584"/>
      <c r="K39" s="1584"/>
      <c r="L39" s="1584"/>
      <c r="M39" s="1584"/>
      <c r="N39" s="1585"/>
    </row>
    <row r="40" spans="2:14" ht="14.65" customHeight="1" thickBot="1">
      <c r="B40" s="1601"/>
      <c r="C40" s="1592" t="s">
        <v>4972</v>
      </c>
      <c r="D40" s="1593"/>
      <c r="E40" s="1593"/>
      <c r="F40" s="1593"/>
      <c r="G40" s="1593"/>
      <c r="H40" s="1593"/>
      <c r="I40" s="1593"/>
      <c r="J40" s="1593"/>
      <c r="K40" s="1593"/>
      <c r="L40" s="1593"/>
      <c r="M40" s="1593"/>
      <c r="N40" s="1594"/>
    </row>
    <row r="41" spans="2:14">
      <c r="B41" s="1601"/>
      <c r="C41" s="358"/>
      <c r="D41" s="359"/>
      <c r="E41" s="359"/>
      <c r="F41" s="359"/>
      <c r="G41" s="359"/>
      <c r="H41" s="359"/>
      <c r="I41" s="359"/>
      <c r="J41" s="359"/>
      <c r="K41" s="359"/>
      <c r="L41" s="359"/>
      <c r="M41" s="359"/>
      <c r="N41" s="360"/>
    </row>
    <row r="42" spans="2:14" ht="15" thickBot="1">
      <c r="B42" s="1602"/>
      <c r="C42" s="1586" t="s">
        <v>4980</v>
      </c>
      <c r="D42" s="1587"/>
      <c r="E42" s="1587"/>
      <c r="F42" s="1587"/>
      <c r="G42" s="1587"/>
      <c r="H42" s="1587"/>
      <c r="I42" s="1587"/>
      <c r="J42" s="1587"/>
      <c r="K42" s="1587"/>
      <c r="L42" s="1587"/>
      <c r="M42" s="1587"/>
      <c r="N42" s="1588"/>
    </row>
    <row r="43" spans="2:14">
      <c r="B43" s="357"/>
    </row>
    <row r="48" spans="2:14">
      <c r="C48" s="357"/>
    </row>
    <row r="49" spans="3:62">
      <c r="C49" s="357"/>
    </row>
    <row r="50" spans="3:62">
      <c r="C50" s="357"/>
    </row>
    <row r="51" spans="3:62">
      <c r="C51" s="357"/>
    </row>
    <row r="52" spans="3:62" ht="19.149999999999999" customHeight="1">
      <c r="C52" s="361"/>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row>
    <row r="53" spans="3:62">
      <c r="C53" s="357"/>
    </row>
  </sheetData>
  <sheetProtection password="C6C6" sheet="1" objects="1" scenarios="1"/>
  <mergeCells count="36">
    <mergeCell ref="B1:N1"/>
    <mergeCell ref="G17:N17"/>
    <mergeCell ref="C33:N33"/>
    <mergeCell ref="B3:B10"/>
    <mergeCell ref="B12:B21"/>
    <mergeCell ref="C12:N12"/>
    <mergeCell ref="B23:B42"/>
    <mergeCell ref="C19:N19"/>
    <mergeCell ref="C23:N23"/>
    <mergeCell ref="C24:N24"/>
    <mergeCell ref="C25:N25"/>
    <mergeCell ref="C26:N26"/>
    <mergeCell ref="C27:N27"/>
    <mergeCell ref="G16:N16"/>
    <mergeCell ref="C35:N35"/>
    <mergeCell ref="C37:N37"/>
    <mergeCell ref="C39:N39"/>
    <mergeCell ref="C42:N42"/>
    <mergeCell ref="C28:N28"/>
    <mergeCell ref="C30:N30"/>
    <mergeCell ref="C32:N32"/>
    <mergeCell ref="C34:N34"/>
    <mergeCell ref="C36:N36"/>
    <mergeCell ref="C38:N38"/>
    <mergeCell ref="C40:N40"/>
    <mergeCell ref="C29:N29"/>
    <mergeCell ref="C31:N31"/>
    <mergeCell ref="C8:N8"/>
    <mergeCell ref="C9:N9"/>
    <mergeCell ref="C10:N10"/>
    <mergeCell ref="G14:N14"/>
    <mergeCell ref="C3:N3"/>
    <mergeCell ref="C4:N4"/>
    <mergeCell ref="C5:N5"/>
    <mergeCell ref="C6:N6"/>
    <mergeCell ref="C7:N7"/>
  </mergeCells>
  <hyperlinks>
    <hyperlink ref="G16" r:id="rId1" xr:uid="{4BB8EE6A-1AB3-4008-BFF9-56913B8EB991}"/>
    <hyperlink ref="G17" r:id="rId2" xr:uid="{32FC4DA1-C504-484D-B21F-7CDA2704657A}"/>
    <hyperlink ref="G14" r:id="rId3" xr:uid="{B029F1ED-06D6-4D3A-8EA6-209C667FBE70}"/>
  </hyperlinks>
  <pageMargins left="0.23622047244094491" right="0.23622047244094491" top="0.35433070866141736" bottom="0.35433070866141736" header="0.31496062992125984" footer="0.31496062992125984"/>
  <pageSetup paperSize="5" orientation="landscape" r:id="rId4"/>
  <rowBreaks count="2" manualBreakCount="2">
    <brk id="21" max="16383" man="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32FA-DC84-496C-8C9C-4E7C92AA10F3}">
  <sheetPr codeName="Feuil15">
    <tabColor theme="8"/>
  </sheetPr>
  <dimension ref="B1:I1308"/>
  <sheetViews>
    <sheetView showGridLines="0" showRowColHeaders="0" workbookViewId="0">
      <selection activeCell="P18" sqref="P18"/>
    </sheetView>
  </sheetViews>
  <sheetFormatPr baseColWidth="10" defaultRowHeight="12.5"/>
  <cols>
    <col min="1" max="1" width="3.54296875" customWidth="1"/>
    <col min="2" max="2" width="6.54296875" hidden="1" customWidth="1"/>
    <col min="3" max="3" width="12.453125" customWidth="1"/>
    <col min="4" max="4" width="86" bestFit="1" customWidth="1"/>
    <col min="5" max="5" width="11.54296875" hidden="1" customWidth="1"/>
    <col min="6" max="6" width="14" customWidth="1"/>
    <col min="7" max="7" width="84.453125" bestFit="1" customWidth="1"/>
    <col min="8" max="8" width="28.453125" customWidth="1"/>
    <col min="9" max="9" width="12.453125" customWidth="1"/>
  </cols>
  <sheetData>
    <row r="1" spans="2:9" ht="13" thickBot="1">
      <c r="B1" s="337" t="s">
        <v>5066</v>
      </c>
      <c r="C1" s="337" t="s">
        <v>5065</v>
      </c>
      <c r="D1" s="337" t="s">
        <v>5063</v>
      </c>
      <c r="E1" s="337" t="s">
        <v>5067</v>
      </c>
      <c r="F1" s="338" t="s">
        <v>5064</v>
      </c>
      <c r="G1" s="337" t="s">
        <v>5073</v>
      </c>
      <c r="H1" s="337" t="s">
        <v>5075</v>
      </c>
      <c r="I1" s="337" t="s">
        <v>5074</v>
      </c>
    </row>
    <row r="2" spans="2:9" ht="14.5">
      <c r="B2" s="300" t="s">
        <v>926</v>
      </c>
      <c r="C2" s="300" t="s">
        <v>927</v>
      </c>
      <c r="D2" s="300" t="s">
        <v>415</v>
      </c>
      <c r="E2" s="300" t="s">
        <v>928</v>
      </c>
      <c r="F2" s="378" t="s">
        <v>5082</v>
      </c>
      <c r="G2" s="300" t="s">
        <v>929</v>
      </c>
      <c r="H2" s="300" t="s">
        <v>930</v>
      </c>
      <c r="I2" s="300" t="s">
        <v>449</v>
      </c>
    </row>
    <row r="3" spans="2:9" ht="14.5">
      <c r="B3" s="300" t="s">
        <v>926</v>
      </c>
      <c r="C3" s="300" t="s">
        <v>931</v>
      </c>
      <c r="D3" s="300" t="s">
        <v>932</v>
      </c>
      <c r="E3" s="300" t="s">
        <v>928</v>
      </c>
      <c r="F3" s="378" t="s">
        <v>5083</v>
      </c>
      <c r="G3" s="300" t="s">
        <v>933</v>
      </c>
      <c r="H3" s="300" t="s">
        <v>930</v>
      </c>
      <c r="I3" s="300" t="s">
        <v>449</v>
      </c>
    </row>
    <row r="4" spans="2:9" ht="14.5">
      <c r="B4" s="300" t="s">
        <v>926</v>
      </c>
      <c r="C4" s="300" t="s">
        <v>934</v>
      </c>
      <c r="D4" s="300" t="s">
        <v>935</v>
      </c>
      <c r="E4" s="300" t="s">
        <v>928</v>
      </c>
      <c r="F4" s="300" t="s">
        <v>936</v>
      </c>
      <c r="G4" s="300" t="s">
        <v>937</v>
      </c>
      <c r="H4" s="300" t="s">
        <v>930</v>
      </c>
      <c r="I4" s="300" t="s">
        <v>449</v>
      </c>
    </row>
    <row r="5" spans="2:9" ht="14.5">
      <c r="B5" s="300" t="s">
        <v>926</v>
      </c>
      <c r="C5" s="300" t="s">
        <v>938</v>
      </c>
      <c r="D5" s="300" t="s">
        <v>939</v>
      </c>
      <c r="E5" s="300" t="s">
        <v>928</v>
      </c>
      <c r="F5" s="300" t="s">
        <v>940</v>
      </c>
      <c r="G5" s="300" t="s">
        <v>941</v>
      </c>
      <c r="H5" s="300" t="s">
        <v>930</v>
      </c>
      <c r="I5" s="300" t="s">
        <v>449</v>
      </c>
    </row>
    <row r="6" spans="2:9" ht="14.5">
      <c r="B6" s="300" t="s">
        <v>926</v>
      </c>
      <c r="C6" s="300" t="s">
        <v>942</v>
      </c>
      <c r="D6" s="300" t="s">
        <v>943</v>
      </c>
      <c r="E6" s="300" t="s">
        <v>928</v>
      </c>
      <c r="F6" s="300" t="s">
        <v>944</v>
      </c>
      <c r="G6" s="300" t="s">
        <v>943</v>
      </c>
      <c r="H6" s="300" t="s">
        <v>930</v>
      </c>
      <c r="I6" s="300" t="s">
        <v>449</v>
      </c>
    </row>
    <row r="7" spans="2:9" ht="14.5">
      <c r="B7" s="300" t="s">
        <v>926</v>
      </c>
      <c r="C7" s="300" t="s">
        <v>945</v>
      </c>
      <c r="D7" s="300" t="s">
        <v>946</v>
      </c>
      <c r="E7" s="300" t="s">
        <v>928</v>
      </c>
      <c r="F7" s="300" t="s">
        <v>947</v>
      </c>
      <c r="G7" s="300" t="s">
        <v>948</v>
      </c>
      <c r="H7" s="300" t="s">
        <v>930</v>
      </c>
      <c r="I7" s="300" t="s">
        <v>449</v>
      </c>
    </row>
    <row r="8" spans="2:9" ht="14.5">
      <c r="B8" s="300" t="s">
        <v>926</v>
      </c>
      <c r="C8" s="300" t="s">
        <v>949</v>
      </c>
      <c r="D8" s="300" t="s">
        <v>950</v>
      </c>
      <c r="E8" s="300" t="s">
        <v>928</v>
      </c>
      <c r="F8" s="300" t="s">
        <v>951</v>
      </c>
      <c r="G8" s="300" t="s">
        <v>952</v>
      </c>
      <c r="H8" s="300" t="s">
        <v>930</v>
      </c>
      <c r="I8" s="300" t="s">
        <v>449</v>
      </c>
    </row>
    <row r="9" spans="2:9" ht="14.5">
      <c r="B9" s="300" t="s">
        <v>926</v>
      </c>
      <c r="C9" s="300" t="s">
        <v>953</v>
      </c>
      <c r="D9" s="300" t="s">
        <v>954</v>
      </c>
      <c r="E9" s="300" t="s">
        <v>928</v>
      </c>
      <c r="F9" s="300" t="s">
        <v>955</v>
      </c>
      <c r="G9" s="300" t="s">
        <v>956</v>
      </c>
      <c r="H9" s="300" t="s">
        <v>930</v>
      </c>
      <c r="I9" s="300" t="s">
        <v>449</v>
      </c>
    </row>
    <row r="10" spans="2:9" ht="14.5">
      <c r="B10" s="300" t="s">
        <v>926</v>
      </c>
      <c r="C10" s="300" t="s">
        <v>957</v>
      </c>
      <c r="D10" s="300" t="s">
        <v>958</v>
      </c>
      <c r="E10" s="300" t="s">
        <v>928</v>
      </c>
      <c r="F10" s="378" t="s">
        <v>5083</v>
      </c>
      <c r="G10" s="300" t="s">
        <v>933</v>
      </c>
      <c r="H10" s="300" t="s">
        <v>930</v>
      </c>
      <c r="I10" s="300" t="s">
        <v>449</v>
      </c>
    </row>
    <row r="11" spans="2:9" ht="14.5">
      <c r="B11" s="300" t="s">
        <v>926</v>
      </c>
      <c r="C11" s="300" t="s">
        <v>959</v>
      </c>
      <c r="D11" s="300" t="s">
        <v>960</v>
      </c>
      <c r="E11" s="300" t="s">
        <v>928</v>
      </c>
      <c r="F11" s="300" t="s">
        <v>961</v>
      </c>
      <c r="G11" s="300" t="s">
        <v>960</v>
      </c>
      <c r="H11" s="300" t="s">
        <v>930</v>
      </c>
      <c r="I11" s="300" t="s">
        <v>449</v>
      </c>
    </row>
    <row r="12" spans="2:9" ht="14.5">
      <c r="B12" s="300" t="s">
        <v>926</v>
      </c>
      <c r="C12" s="300" t="s">
        <v>962</v>
      </c>
      <c r="D12" s="300" t="s">
        <v>963</v>
      </c>
      <c r="E12" s="300" t="s">
        <v>928</v>
      </c>
      <c r="F12" s="300" t="s">
        <v>964</v>
      </c>
      <c r="G12" s="300" t="s">
        <v>965</v>
      </c>
      <c r="H12" s="300" t="s">
        <v>930</v>
      </c>
      <c r="I12" s="300" t="s">
        <v>449</v>
      </c>
    </row>
    <row r="13" spans="2:9" ht="14.5">
      <c r="B13" s="300" t="s">
        <v>926</v>
      </c>
      <c r="C13" s="300" t="s">
        <v>966</v>
      </c>
      <c r="D13" s="300" t="s">
        <v>967</v>
      </c>
      <c r="E13" s="300" t="s">
        <v>928</v>
      </c>
      <c r="F13" s="300" t="s">
        <v>968</v>
      </c>
      <c r="G13" s="300" t="s">
        <v>969</v>
      </c>
      <c r="H13" s="300" t="s">
        <v>930</v>
      </c>
      <c r="I13" s="300" t="s">
        <v>449</v>
      </c>
    </row>
    <row r="14" spans="2:9" ht="14.5">
      <c r="B14" s="300" t="s">
        <v>926</v>
      </c>
      <c r="C14" s="300" t="s">
        <v>970</v>
      </c>
      <c r="D14" s="300" t="s">
        <v>971</v>
      </c>
      <c r="E14" s="300" t="s">
        <v>928</v>
      </c>
      <c r="F14" s="378" t="s">
        <v>5084</v>
      </c>
      <c r="G14" s="300" t="s">
        <v>972</v>
      </c>
      <c r="H14" s="300" t="s">
        <v>930</v>
      </c>
      <c r="I14" s="300" t="s">
        <v>449</v>
      </c>
    </row>
    <row r="15" spans="2:9" ht="14.5">
      <c r="B15" s="300" t="s">
        <v>926</v>
      </c>
      <c r="C15" s="300" t="s">
        <v>973</v>
      </c>
      <c r="D15" s="300" t="s">
        <v>974</v>
      </c>
      <c r="E15" s="300" t="s">
        <v>928</v>
      </c>
      <c r="F15" s="300" t="s">
        <v>975</v>
      </c>
      <c r="G15" s="300" t="s">
        <v>976</v>
      </c>
      <c r="H15" s="300" t="s">
        <v>930</v>
      </c>
      <c r="I15" s="300" t="s">
        <v>449</v>
      </c>
    </row>
    <row r="16" spans="2:9" ht="14.5">
      <c r="B16" s="300" t="s">
        <v>926</v>
      </c>
      <c r="C16" s="300" t="s">
        <v>977</v>
      </c>
      <c r="D16" s="300" t="s">
        <v>978</v>
      </c>
      <c r="E16" s="300" t="s">
        <v>928</v>
      </c>
      <c r="F16" s="300" t="s">
        <v>979</v>
      </c>
      <c r="G16" s="300" t="s">
        <v>980</v>
      </c>
      <c r="H16" s="300" t="s">
        <v>930</v>
      </c>
      <c r="I16" s="300" t="s">
        <v>449</v>
      </c>
    </row>
    <row r="17" spans="2:9" ht="14.5">
      <c r="B17" s="300" t="s">
        <v>926</v>
      </c>
      <c r="C17" s="300" t="s">
        <v>981</v>
      </c>
      <c r="D17" s="300" t="s">
        <v>982</v>
      </c>
      <c r="E17" s="300" t="s">
        <v>928</v>
      </c>
      <c r="F17" s="300" t="s">
        <v>975</v>
      </c>
      <c r="G17" s="300" t="s">
        <v>976</v>
      </c>
      <c r="H17" s="300" t="s">
        <v>930</v>
      </c>
      <c r="I17" s="300" t="s">
        <v>449</v>
      </c>
    </row>
    <row r="18" spans="2:9" ht="14.5">
      <c r="B18" s="300" t="s">
        <v>926</v>
      </c>
      <c r="C18" s="300" t="s">
        <v>983</v>
      </c>
      <c r="D18" s="300" t="s">
        <v>984</v>
      </c>
      <c r="E18" s="300" t="s">
        <v>928</v>
      </c>
      <c r="F18" s="300" t="s">
        <v>985</v>
      </c>
      <c r="G18" s="300" t="s">
        <v>984</v>
      </c>
      <c r="H18" s="300" t="s">
        <v>930</v>
      </c>
      <c r="I18" s="300" t="s">
        <v>449</v>
      </c>
    </row>
    <row r="19" spans="2:9" ht="14.5">
      <c r="B19" s="300" t="s">
        <v>926</v>
      </c>
      <c r="C19" s="300" t="s">
        <v>986</v>
      </c>
      <c r="D19" s="300" t="s">
        <v>987</v>
      </c>
      <c r="E19" s="300" t="s">
        <v>928</v>
      </c>
      <c r="F19" s="300" t="s">
        <v>988</v>
      </c>
      <c r="G19" s="300" t="s">
        <v>989</v>
      </c>
      <c r="H19" s="300" t="s">
        <v>930</v>
      </c>
      <c r="I19" s="300" t="s">
        <v>449</v>
      </c>
    </row>
    <row r="20" spans="2:9" ht="14.5">
      <c r="B20" s="300" t="s">
        <v>926</v>
      </c>
      <c r="C20" s="300" t="s">
        <v>990</v>
      </c>
      <c r="D20" s="300" t="s">
        <v>991</v>
      </c>
      <c r="E20" s="300" t="s">
        <v>928</v>
      </c>
      <c r="F20" s="300" t="s">
        <v>992</v>
      </c>
      <c r="G20" s="300" t="s">
        <v>993</v>
      </c>
      <c r="H20" s="300" t="s">
        <v>930</v>
      </c>
      <c r="I20" s="300" t="s">
        <v>449</v>
      </c>
    </row>
    <row r="21" spans="2:9" ht="14.5">
      <c r="B21" s="300" t="s">
        <v>926</v>
      </c>
      <c r="C21" s="300" t="s">
        <v>994</v>
      </c>
      <c r="D21" s="300" t="s">
        <v>995</v>
      </c>
      <c r="E21" s="300" t="s">
        <v>928</v>
      </c>
      <c r="F21" s="378" t="s">
        <v>5084</v>
      </c>
      <c r="G21" s="300" t="s">
        <v>972</v>
      </c>
      <c r="H21" s="300" t="s">
        <v>930</v>
      </c>
      <c r="I21" s="300" t="s">
        <v>449</v>
      </c>
    </row>
    <row r="22" spans="2:9" ht="14.5">
      <c r="B22" s="300" t="s">
        <v>926</v>
      </c>
      <c r="C22" s="300" t="s">
        <v>996</v>
      </c>
      <c r="D22" s="300" t="s">
        <v>997</v>
      </c>
      <c r="E22" s="300" t="s">
        <v>928</v>
      </c>
      <c r="F22" s="378" t="s">
        <v>5085</v>
      </c>
      <c r="G22" s="300" t="s">
        <v>998</v>
      </c>
      <c r="H22" s="300" t="s">
        <v>930</v>
      </c>
      <c r="I22" s="300" t="s">
        <v>449</v>
      </c>
    </row>
    <row r="23" spans="2:9" ht="14.5">
      <c r="B23" s="300" t="s">
        <v>926</v>
      </c>
      <c r="C23" s="300" t="s">
        <v>999</v>
      </c>
      <c r="D23" s="300" t="s">
        <v>1000</v>
      </c>
      <c r="E23" s="300" t="s">
        <v>928</v>
      </c>
      <c r="F23" s="300" t="s">
        <v>1001</v>
      </c>
      <c r="G23" s="300" t="s">
        <v>1002</v>
      </c>
      <c r="H23" s="300" t="s">
        <v>930</v>
      </c>
      <c r="I23" s="300" t="s">
        <v>449</v>
      </c>
    </row>
    <row r="24" spans="2:9" ht="14.5">
      <c r="B24" s="300" t="s">
        <v>926</v>
      </c>
      <c r="C24" s="300" t="s">
        <v>1003</v>
      </c>
      <c r="D24" s="300" t="s">
        <v>1004</v>
      </c>
      <c r="E24" s="300" t="s">
        <v>928</v>
      </c>
      <c r="F24" s="300" t="s">
        <v>1005</v>
      </c>
      <c r="G24" s="300" t="s">
        <v>1006</v>
      </c>
      <c r="H24" s="300" t="s">
        <v>930</v>
      </c>
      <c r="I24" s="300" t="s">
        <v>449</v>
      </c>
    </row>
    <row r="25" spans="2:9" ht="14.5">
      <c r="B25" s="300" t="s">
        <v>926</v>
      </c>
      <c r="C25" s="300" t="s">
        <v>1007</v>
      </c>
      <c r="D25" s="300" t="s">
        <v>1008</v>
      </c>
      <c r="E25" s="300" t="s">
        <v>928</v>
      </c>
      <c r="F25" s="378" t="s">
        <v>5084</v>
      </c>
      <c r="G25" s="300" t="s">
        <v>972</v>
      </c>
      <c r="H25" s="300" t="s">
        <v>930</v>
      </c>
      <c r="I25" s="300" t="s">
        <v>449</v>
      </c>
    </row>
    <row r="26" spans="2:9" ht="14.5">
      <c r="B26" s="300" t="s">
        <v>926</v>
      </c>
      <c r="C26" s="300" t="s">
        <v>1009</v>
      </c>
      <c r="D26" s="300" t="s">
        <v>1010</v>
      </c>
      <c r="E26" s="300" t="s">
        <v>928</v>
      </c>
      <c r="F26" s="300" t="s">
        <v>1011</v>
      </c>
      <c r="G26" s="300" t="s">
        <v>1012</v>
      </c>
      <c r="H26" s="300" t="s">
        <v>930</v>
      </c>
      <c r="I26" s="300" t="s">
        <v>449</v>
      </c>
    </row>
    <row r="27" spans="2:9" ht="14.5">
      <c r="B27" s="300" t="s">
        <v>926</v>
      </c>
      <c r="C27" s="300" t="s">
        <v>1013</v>
      </c>
      <c r="D27" s="300" t="s">
        <v>1014</v>
      </c>
      <c r="E27" s="300" t="s">
        <v>928</v>
      </c>
      <c r="F27" s="300" t="s">
        <v>1015</v>
      </c>
      <c r="G27" s="300" t="s">
        <v>1016</v>
      </c>
      <c r="H27" s="300" t="s">
        <v>930</v>
      </c>
      <c r="I27" s="300" t="s">
        <v>449</v>
      </c>
    </row>
    <row r="28" spans="2:9" ht="14.5">
      <c r="B28" s="300" t="s">
        <v>926</v>
      </c>
      <c r="C28" s="300" t="s">
        <v>1017</v>
      </c>
      <c r="D28" s="300" t="s">
        <v>1018</v>
      </c>
      <c r="E28" s="300" t="s">
        <v>928</v>
      </c>
      <c r="F28" s="300" t="s">
        <v>1019</v>
      </c>
      <c r="G28" s="300" t="s">
        <v>1020</v>
      </c>
      <c r="H28" s="300" t="s">
        <v>930</v>
      </c>
      <c r="I28" s="300" t="s">
        <v>449</v>
      </c>
    </row>
    <row r="29" spans="2:9" ht="14.5">
      <c r="B29" s="300" t="s">
        <v>926</v>
      </c>
      <c r="C29" s="300" t="s">
        <v>1021</v>
      </c>
      <c r="D29" s="300" t="s">
        <v>1022</v>
      </c>
      <c r="E29" s="300" t="s">
        <v>928</v>
      </c>
      <c r="F29" s="300" t="s">
        <v>992</v>
      </c>
      <c r="G29" s="300" t="s">
        <v>993</v>
      </c>
      <c r="H29" s="300" t="s">
        <v>930</v>
      </c>
      <c r="I29" s="300" t="s">
        <v>449</v>
      </c>
    </row>
    <row r="30" spans="2:9" ht="14.5">
      <c r="B30" s="300" t="s">
        <v>926</v>
      </c>
      <c r="C30" s="300" t="s">
        <v>1023</v>
      </c>
      <c r="D30" s="300" t="s">
        <v>1024</v>
      </c>
      <c r="E30" s="300" t="s">
        <v>928</v>
      </c>
      <c r="F30" s="300" t="s">
        <v>992</v>
      </c>
      <c r="G30" s="300" t="s">
        <v>993</v>
      </c>
      <c r="H30" s="300" t="s">
        <v>930</v>
      </c>
      <c r="I30" s="300" t="s">
        <v>449</v>
      </c>
    </row>
    <row r="31" spans="2:9" ht="14.5">
      <c r="B31" s="300" t="s">
        <v>926</v>
      </c>
      <c r="C31" s="300" t="s">
        <v>1025</v>
      </c>
      <c r="D31" s="300" t="s">
        <v>1026</v>
      </c>
      <c r="E31" s="300" t="s">
        <v>928</v>
      </c>
      <c r="F31" s="378" t="s">
        <v>5083</v>
      </c>
      <c r="G31" s="300" t="s">
        <v>933</v>
      </c>
      <c r="H31" s="300" t="s">
        <v>930</v>
      </c>
      <c r="I31" s="300" t="s">
        <v>449</v>
      </c>
    </row>
    <row r="32" spans="2:9" ht="14.5">
      <c r="B32" s="300" t="s">
        <v>926</v>
      </c>
      <c r="C32" s="300" t="s">
        <v>1027</v>
      </c>
      <c r="D32" s="300" t="s">
        <v>1028</v>
      </c>
      <c r="E32" s="300" t="s">
        <v>928</v>
      </c>
      <c r="F32" s="300" t="s">
        <v>955</v>
      </c>
      <c r="G32" s="300" t="s">
        <v>956</v>
      </c>
      <c r="H32" s="300" t="s">
        <v>930</v>
      </c>
      <c r="I32" s="300" t="s">
        <v>449</v>
      </c>
    </row>
    <row r="33" spans="2:9" ht="14.5">
      <c r="B33" s="300" t="s">
        <v>926</v>
      </c>
      <c r="C33" s="300" t="s">
        <v>1029</v>
      </c>
      <c r="D33" s="300" t="s">
        <v>1030</v>
      </c>
      <c r="E33" s="300" t="s">
        <v>928</v>
      </c>
      <c r="F33" s="300" t="s">
        <v>1031</v>
      </c>
      <c r="G33" s="300" t="s">
        <v>1032</v>
      </c>
      <c r="H33" s="300" t="s">
        <v>930</v>
      </c>
      <c r="I33" s="300" t="s">
        <v>449</v>
      </c>
    </row>
    <row r="34" spans="2:9" ht="14.5">
      <c r="B34" s="300" t="s">
        <v>926</v>
      </c>
      <c r="C34" s="300" t="s">
        <v>1033</v>
      </c>
      <c r="D34" s="300" t="s">
        <v>1034</v>
      </c>
      <c r="E34" s="300" t="s">
        <v>928</v>
      </c>
      <c r="F34" s="300" t="s">
        <v>1035</v>
      </c>
      <c r="G34" s="300" t="s">
        <v>1036</v>
      </c>
      <c r="H34" s="300" t="s">
        <v>930</v>
      </c>
      <c r="I34" s="300" t="s">
        <v>449</v>
      </c>
    </row>
    <row r="35" spans="2:9" ht="14.5">
      <c r="B35" s="300" t="s">
        <v>926</v>
      </c>
      <c r="C35" s="300" t="s">
        <v>1037</v>
      </c>
      <c r="D35" s="300" t="s">
        <v>1038</v>
      </c>
      <c r="E35" s="300" t="s">
        <v>928</v>
      </c>
      <c r="F35" s="300" t="s">
        <v>1039</v>
      </c>
      <c r="G35" s="300" t="s">
        <v>1038</v>
      </c>
      <c r="H35" s="300" t="s">
        <v>1040</v>
      </c>
      <c r="I35" s="300" t="s">
        <v>446</v>
      </c>
    </row>
    <row r="36" spans="2:9" ht="14.5">
      <c r="B36" s="300" t="s">
        <v>926</v>
      </c>
      <c r="C36" s="300" t="s">
        <v>1041</v>
      </c>
      <c r="D36" s="300" t="s">
        <v>1042</v>
      </c>
      <c r="E36" s="300" t="s">
        <v>928</v>
      </c>
      <c r="F36" s="300" t="s">
        <v>1035</v>
      </c>
      <c r="G36" s="300" t="s">
        <v>1036</v>
      </c>
      <c r="H36" s="300" t="s">
        <v>930</v>
      </c>
      <c r="I36" s="300" t="s">
        <v>449</v>
      </c>
    </row>
    <row r="37" spans="2:9" ht="14.5">
      <c r="B37" s="300" t="s">
        <v>926</v>
      </c>
      <c r="C37" s="300" t="s">
        <v>1043</v>
      </c>
      <c r="D37" s="300" t="s">
        <v>1044</v>
      </c>
      <c r="E37" s="300" t="s">
        <v>928</v>
      </c>
      <c r="F37" s="300" t="s">
        <v>1035</v>
      </c>
      <c r="G37" s="300" t="s">
        <v>1036</v>
      </c>
      <c r="H37" s="300" t="s">
        <v>930</v>
      </c>
      <c r="I37" s="300" t="s">
        <v>449</v>
      </c>
    </row>
    <row r="38" spans="2:9" ht="14.5">
      <c r="B38" s="300" t="s">
        <v>926</v>
      </c>
      <c r="C38" s="300" t="s">
        <v>1045</v>
      </c>
      <c r="D38" s="300" t="s">
        <v>1046</v>
      </c>
      <c r="E38" s="300" t="s">
        <v>928</v>
      </c>
      <c r="F38" s="300" t="s">
        <v>1035</v>
      </c>
      <c r="G38" s="300" t="s">
        <v>1036</v>
      </c>
      <c r="H38" s="300" t="s">
        <v>930</v>
      </c>
      <c r="I38" s="300" t="s">
        <v>449</v>
      </c>
    </row>
    <row r="39" spans="2:9" ht="14.5">
      <c r="B39" s="300" t="s">
        <v>926</v>
      </c>
      <c r="C39" s="300" t="s">
        <v>1047</v>
      </c>
      <c r="D39" s="300" t="s">
        <v>1048</v>
      </c>
      <c r="E39" s="300" t="s">
        <v>928</v>
      </c>
      <c r="F39" s="300" t="s">
        <v>1031</v>
      </c>
      <c r="G39" s="300" t="s">
        <v>1032</v>
      </c>
      <c r="H39" s="300" t="s">
        <v>930</v>
      </c>
      <c r="I39" s="300" t="s">
        <v>449</v>
      </c>
    </row>
    <row r="40" spans="2:9" ht="14.5">
      <c r="B40" s="300" t="s">
        <v>926</v>
      </c>
      <c r="C40" s="300" t="s">
        <v>1049</v>
      </c>
      <c r="D40" s="300" t="s">
        <v>1050</v>
      </c>
      <c r="E40" s="300" t="s">
        <v>928</v>
      </c>
      <c r="F40" s="300" t="s">
        <v>1031</v>
      </c>
      <c r="G40" s="300" t="s">
        <v>1032</v>
      </c>
      <c r="H40" s="300" t="s">
        <v>930</v>
      </c>
      <c r="I40" s="300" t="s">
        <v>449</v>
      </c>
    </row>
    <row r="41" spans="2:9" ht="14.5">
      <c r="B41" s="300" t="s">
        <v>926</v>
      </c>
      <c r="C41" s="300" t="s">
        <v>1051</v>
      </c>
      <c r="D41" s="300" t="s">
        <v>1052</v>
      </c>
      <c r="E41" s="300" t="s">
        <v>928</v>
      </c>
      <c r="F41" s="300" t="s">
        <v>1031</v>
      </c>
      <c r="G41" s="300" t="s">
        <v>1032</v>
      </c>
      <c r="H41" s="300" t="s">
        <v>930</v>
      </c>
      <c r="I41" s="300" t="s">
        <v>449</v>
      </c>
    </row>
    <row r="42" spans="2:9" ht="14.5">
      <c r="B42" s="300" t="s">
        <v>926</v>
      </c>
      <c r="C42" s="300" t="s">
        <v>1053</v>
      </c>
      <c r="D42" s="300" t="s">
        <v>1054</v>
      </c>
      <c r="E42" s="300" t="s">
        <v>928</v>
      </c>
      <c r="F42" s="300" t="s">
        <v>1031</v>
      </c>
      <c r="G42" s="300" t="s">
        <v>1032</v>
      </c>
      <c r="H42" s="300" t="s">
        <v>930</v>
      </c>
      <c r="I42" s="300" t="s">
        <v>449</v>
      </c>
    </row>
    <row r="43" spans="2:9" ht="14.5">
      <c r="B43" s="300" t="s">
        <v>926</v>
      </c>
      <c r="C43" s="300" t="s">
        <v>1055</v>
      </c>
      <c r="D43" s="300" t="s">
        <v>1056</v>
      </c>
      <c r="E43" s="300" t="s">
        <v>928</v>
      </c>
      <c r="F43" s="300" t="s">
        <v>1031</v>
      </c>
      <c r="G43" s="300" t="s">
        <v>1032</v>
      </c>
      <c r="H43" s="300" t="s">
        <v>930</v>
      </c>
      <c r="I43" s="300" t="s">
        <v>449</v>
      </c>
    </row>
    <row r="44" spans="2:9" ht="14.5">
      <c r="B44" s="300" t="s">
        <v>926</v>
      </c>
      <c r="C44" s="300" t="s">
        <v>1057</v>
      </c>
      <c r="D44" s="300" t="s">
        <v>1058</v>
      </c>
      <c r="E44" s="300" t="s">
        <v>928</v>
      </c>
      <c r="F44" s="300" t="s">
        <v>1031</v>
      </c>
      <c r="G44" s="300" t="s">
        <v>1032</v>
      </c>
      <c r="H44" s="300" t="s">
        <v>930</v>
      </c>
      <c r="I44" s="300" t="s">
        <v>449</v>
      </c>
    </row>
    <row r="45" spans="2:9" ht="14.5">
      <c r="B45" s="300" t="s">
        <v>926</v>
      </c>
      <c r="C45" s="300" t="s">
        <v>1059</v>
      </c>
      <c r="D45" s="300" t="s">
        <v>1060</v>
      </c>
      <c r="E45" s="300" t="s">
        <v>928</v>
      </c>
      <c r="F45" s="300" t="s">
        <v>1031</v>
      </c>
      <c r="G45" s="300" t="s">
        <v>1032</v>
      </c>
      <c r="H45" s="300" t="s">
        <v>930</v>
      </c>
      <c r="I45" s="300" t="s">
        <v>449</v>
      </c>
    </row>
    <row r="46" spans="2:9" ht="14.5">
      <c r="B46" s="300" t="s">
        <v>926</v>
      </c>
      <c r="C46" s="300" t="s">
        <v>1061</v>
      </c>
      <c r="D46" s="300" t="s">
        <v>1062</v>
      </c>
      <c r="E46" s="300" t="s">
        <v>928</v>
      </c>
      <c r="F46" s="300" t="s">
        <v>1063</v>
      </c>
      <c r="G46" s="300" t="s">
        <v>1064</v>
      </c>
      <c r="H46" s="300" t="s">
        <v>1040</v>
      </c>
      <c r="I46" s="300" t="s">
        <v>446</v>
      </c>
    </row>
    <row r="47" spans="2:9" ht="14.5">
      <c r="B47" s="300" t="s">
        <v>926</v>
      </c>
      <c r="C47" s="300" t="s">
        <v>1065</v>
      </c>
      <c r="D47" s="300" t="s">
        <v>1066</v>
      </c>
      <c r="E47" s="300" t="s">
        <v>928</v>
      </c>
      <c r="F47" s="378" t="s">
        <v>5086</v>
      </c>
      <c r="G47" s="300" t="s">
        <v>1067</v>
      </c>
      <c r="H47" s="300" t="s">
        <v>1068</v>
      </c>
      <c r="I47" s="300" t="s">
        <v>446</v>
      </c>
    </row>
    <row r="48" spans="2:9" ht="14.5">
      <c r="B48" s="300" t="s">
        <v>926</v>
      </c>
      <c r="C48" s="300" t="s">
        <v>1069</v>
      </c>
      <c r="D48" s="300" t="s">
        <v>1070</v>
      </c>
      <c r="E48" s="300" t="s">
        <v>928</v>
      </c>
      <c r="F48" s="378" t="s">
        <v>5087</v>
      </c>
      <c r="G48" s="300" t="s">
        <v>1071</v>
      </c>
      <c r="H48" s="300" t="s">
        <v>1068</v>
      </c>
      <c r="I48" s="300" t="s">
        <v>446</v>
      </c>
    </row>
    <row r="49" spans="2:9" ht="14.5">
      <c r="B49" s="300" t="s">
        <v>926</v>
      </c>
      <c r="C49" s="300" t="s">
        <v>1072</v>
      </c>
      <c r="D49" s="300" t="s">
        <v>1073</v>
      </c>
      <c r="E49" s="300" t="s">
        <v>928</v>
      </c>
      <c r="F49" s="300" t="s">
        <v>1074</v>
      </c>
      <c r="G49" s="300" t="s">
        <v>1073</v>
      </c>
      <c r="H49" s="300" t="s">
        <v>1068</v>
      </c>
      <c r="I49" s="300" t="s">
        <v>446</v>
      </c>
    </row>
    <row r="50" spans="2:9" ht="14.5">
      <c r="B50" s="300" t="s">
        <v>926</v>
      </c>
      <c r="C50" s="300" t="s">
        <v>1075</v>
      </c>
      <c r="D50" s="300" t="s">
        <v>1076</v>
      </c>
      <c r="E50" s="300" t="s">
        <v>928</v>
      </c>
      <c r="F50" s="300" t="s">
        <v>1077</v>
      </c>
      <c r="G50" s="300" t="s">
        <v>1076</v>
      </c>
      <c r="H50" s="300" t="s">
        <v>1068</v>
      </c>
      <c r="I50" s="300" t="s">
        <v>446</v>
      </c>
    </row>
    <row r="51" spans="2:9" ht="14.5">
      <c r="B51" s="300" t="s">
        <v>926</v>
      </c>
      <c r="C51" s="300" t="s">
        <v>1078</v>
      </c>
      <c r="D51" s="300" t="s">
        <v>1079</v>
      </c>
      <c r="E51" s="300" t="s">
        <v>928</v>
      </c>
      <c r="F51" s="300" t="s">
        <v>1080</v>
      </c>
      <c r="G51" s="300" t="s">
        <v>1081</v>
      </c>
      <c r="H51" s="300" t="s">
        <v>1068</v>
      </c>
      <c r="I51" s="300" t="s">
        <v>446</v>
      </c>
    </row>
    <row r="52" spans="2:9" ht="14.5">
      <c r="B52" s="300" t="s">
        <v>926</v>
      </c>
      <c r="C52" s="300" t="s">
        <v>1082</v>
      </c>
      <c r="D52" s="300" t="s">
        <v>1083</v>
      </c>
      <c r="E52" s="300" t="s">
        <v>928</v>
      </c>
      <c r="F52" s="300" t="s">
        <v>1080</v>
      </c>
      <c r="G52" s="300" t="s">
        <v>1081</v>
      </c>
      <c r="H52" s="300" t="s">
        <v>1068</v>
      </c>
      <c r="I52" s="300" t="s">
        <v>446</v>
      </c>
    </row>
    <row r="53" spans="2:9" ht="14.5">
      <c r="B53" s="300" t="s">
        <v>926</v>
      </c>
      <c r="C53" s="300" t="s">
        <v>1084</v>
      </c>
      <c r="D53" s="300" t="s">
        <v>1085</v>
      </c>
      <c r="E53" s="300" t="s">
        <v>928</v>
      </c>
      <c r="F53" s="300" t="s">
        <v>1080</v>
      </c>
      <c r="G53" s="300" t="s">
        <v>1081</v>
      </c>
      <c r="H53" s="300" t="s">
        <v>1068</v>
      </c>
      <c r="I53" s="300" t="s">
        <v>446</v>
      </c>
    </row>
    <row r="54" spans="2:9" ht="14.5">
      <c r="B54" s="300" t="s">
        <v>926</v>
      </c>
      <c r="C54" s="300" t="s">
        <v>1086</v>
      </c>
      <c r="D54" s="300" t="s">
        <v>1087</v>
      </c>
      <c r="E54" s="300" t="s">
        <v>928</v>
      </c>
      <c r="F54" s="300" t="s">
        <v>1088</v>
      </c>
      <c r="G54" s="300" t="s">
        <v>1089</v>
      </c>
      <c r="H54" s="300" t="s">
        <v>1068</v>
      </c>
      <c r="I54" s="300" t="s">
        <v>446</v>
      </c>
    </row>
    <row r="55" spans="2:9" ht="14.5">
      <c r="B55" s="300" t="s">
        <v>926</v>
      </c>
      <c r="C55" s="300" t="s">
        <v>1090</v>
      </c>
      <c r="D55" s="300" t="s">
        <v>1091</v>
      </c>
      <c r="E55" s="300" t="s">
        <v>928</v>
      </c>
      <c r="F55" s="300" t="s">
        <v>1088</v>
      </c>
      <c r="G55" s="300" t="s">
        <v>1089</v>
      </c>
      <c r="H55" s="300" t="s">
        <v>1068</v>
      </c>
      <c r="I55" s="300" t="s">
        <v>446</v>
      </c>
    </row>
    <row r="56" spans="2:9" ht="14.5">
      <c r="B56" s="300" t="s">
        <v>926</v>
      </c>
      <c r="C56" s="300" t="s">
        <v>1092</v>
      </c>
      <c r="D56" s="300" t="s">
        <v>1093</v>
      </c>
      <c r="E56" s="300" t="s">
        <v>928</v>
      </c>
      <c r="F56" s="300" t="s">
        <v>1088</v>
      </c>
      <c r="G56" s="300" t="s">
        <v>1089</v>
      </c>
      <c r="H56" s="300" t="s">
        <v>1068</v>
      </c>
      <c r="I56" s="300" t="s">
        <v>446</v>
      </c>
    </row>
    <row r="57" spans="2:9" ht="14.5">
      <c r="B57" s="300" t="s">
        <v>926</v>
      </c>
      <c r="C57" s="300" t="s">
        <v>1094</v>
      </c>
      <c r="D57" s="300" t="s">
        <v>1095</v>
      </c>
      <c r="E57" s="300" t="s">
        <v>928</v>
      </c>
      <c r="F57" s="378" t="s">
        <v>5088</v>
      </c>
      <c r="G57" s="300" t="s">
        <v>1096</v>
      </c>
      <c r="H57" s="300" t="s">
        <v>930</v>
      </c>
      <c r="I57" s="300" t="s">
        <v>449</v>
      </c>
    </row>
    <row r="58" spans="2:9" ht="14.5">
      <c r="B58" s="300" t="s">
        <v>926</v>
      </c>
      <c r="C58" s="300" t="s">
        <v>1097</v>
      </c>
      <c r="D58" s="300" t="s">
        <v>1098</v>
      </c>
      <c r="E58" s="300" t="s">
        <v>928</v>
      </c>
      <c r="F58" s="378" t="s">
        <v>5089</v>
      </c>
      <c r="G58" s="300" t="s">
        <v>1095</v>
      </c>
      <c r="H58" s="300" t="s">
        <v>930</v>
      </c>
      <c r="I58" s="300" t="s">
        <v>449</v>
      </c>
    </row>
    <row r="59" spans="2:9" ht="14.5">
      <c r="B59" s="300" t="s">
        <v>926</v>
      </c>
      <c r="C59" s="300" t="s">
        <v>1099</v>
      </c>
      <c r="D59" s="300" t="s">
        <v>1100</v>
      </c>
      <c r="E59" s="300" t="s">
        <v>928</v>
      </c>
      <c r="F59" s="300" t="s">
        <v>1101</v>
      </c>
      <c r="G59" s="300" t="s">
        <v>1102</v>
      </c>
      <c r="H59" s="300" t="s">
        <v>930</v>
      </c>
      <c r="I59" s="300" t="s">
        <v>449</v>
      </c>
    </row>
    <row r="60" spans="2:9" ht="14.5">
      <c r="B60" s="300" t="s">
        <v>926</v>
      </c>
      <c r="C60" s="300" t="s">
        <v>1103</v>
      </c>
      <c r="D60" s="300" t="s">
        <v>1104</v>
      </c>
      <c r="E60" s="300" t="s">
        <v>928</v>
      </c>
      <c r="F60" s="300" t="s">
        <v>1105</v>
      </c>
      <c r="G60" s="300" t="s">
        <v>1106</v>
      </c>
      <c r="H60" s="300" t="s">
        <v>930</v>
      </c>
      <c r="I60" s="300" t="s">
        <v>449</v>
      </c>
    </row>
    <row r="61" spans="2:9" ht="14.5">
      <c r="B61" s="300" t="s">
        <v>926</v>
      </c>
      <c r="C61" s="300" t="s">
        <v>1107</v>
      </c>
      <c r="D61" s="300" t="s">
        <v>1108</v>
      </c>
      <c r="E61" s="300" t="s">
        <v>928</v>
      </c>
      <c r="F61" s="378" t="s">
        <v>5088</v>
      </c>
      <c r="G61" s="300" t="s">
        <v>1096</v>
      </c>
      <c r="H61" s="300" t="s">
        <v>930</v>
      </c>
      <c r="I61" s="300" t="s">
        <v>449</v>
      </c>
    </row>
    <row r="62" spans="2:9" ht="14.5">
      <c r="B62" s="300" t="s">
        <v>926</v>
      </c>
      <c r="C62" s="300" t="s">
        <v>1109</v>
      </c>
      <c r="D62" s="300" t="s">
        <v>1110</v>
      </c>
      <c r="E62" s="300" t="s">
        <v>928</v>
      </c>
      <c r="F62" s="300" t="s">
        <v>1111</v>
      </c>
      <c r="G62" s="300" t="s">
        <v>1112</v>
      </c>
      <c r="H62" s="300" t="s">
        <v>930</v>
      </c>
      <c r="I62" s="300" t="s">
        <v>449</v>
      </c>
    </row>
    <row r="63" spans="2:9" ht="14.5">
      <c r="B63" s="300" t="s">
        <v>926</v>
      </c>
      <c r="C63" s="300" t="s">
        <v>1113</v>
      </c>
      <c r="D63" s="300" t="s">
        <v>1108</v>
      </c>
      <c r="E63" s="300" t="s">
        <v>928</v>
      </c>
      <c r="F63" s="300" t="s">
        <v>1111</v>
      </c>
      <c r="G63" s="300" t="s">
        <v>1112</v>
      </c>
      <c r="H63" s="300" t="s">
        <v>930</v>
      </c>
      <c r="I63" s="300" t="s">
        <v>449</v>
      </c>
    </row>
    <row r="64" spans="2:9" ht="14.5">
      <c r="B64" s="300" t="s">
        <v>926</v>
      </c>
      <c r="C64" s="300" t="s">
        <v>1114</v>
      </c>
      <c r="D64" s="300" t="s">
        <v>1115</v>
      </c>
      <c r="E64" s="300" t="s">
        <v>928</v>
      </c>
      <c r="F64" s="378" t="s">
        <v>5090</v>
      </c>
      <c r="G64" s="300" t="s">
        <v>1116</v>
      </c>
      <c r="H64" s="300" t="s">
        <v>1117</v>
      </c>
      <c r="I64" s="300" t="s">
        <v>449</v>
      </c>
    </row>
    <row r="65" spans="2:9" ht="14.5">
      <c r="B65" s="300" t="s">
        <v>926</v>
      </c>
      <c r="C65" s="300" t="s">
        <v>1118</v>
      </c>
      <c r="D65" s="300" t="s">
        <v>1119</v>
      </c>
      <c r="E65" s="300" t="s">
        <v>928</v>
      </c>
      <c r="F65" s="378" t="s">
        <v>5091</v>
      </c>
      <c r="G65" s="300" t="s">
        <v>1120</v>
      </c>
      <c r="H65" s="300" t="s">
        <v>1117</v>
      </c>
      <c r="I65" s="300" t="s">
        <v>449</v>
      </c>
    </row>
    <row r="66" spans="2:9" ht="14.5">
      <c r="B66" s="300" t="s">
        <v>926</v>
      </c>
      <c r="C66" s="300" t="s">
        <v>1121</v>
      </c>
      <c r="D66" s="300" t="s">
        <v>1122</v>
      </c>
      <c r="E66" s="300" t="s">
        <v>928</v>
      </c>
      <c r="F66" s="300" t="s">
        <v>1123</v>
      </c>
      <c r="G66" s="300" t="s">
        <v>1124</v>
      </c>
      <c r="H66" s="300" t="s">
        <v>1117</v>
      </c>
      <c r="I66" s="300" t="s">
        <v>449</v>
      </c>
    </row>
    <row r="67" spans="2:9" ht="14.5">
      <c r="B67" s="300" t="s">
        <v>926</v>
      </c>
      <c r="C67" s="300" t="s">
        <v>1125</v>
      </c>
      <c r="D67" s="300" t="s">
        <v>1126</v>
      </c>
      <c r="E67" s="300" t="s">
        <v>928</v>
      </c>
      <c r="F67" s="300" t="s">
        <v>1127</v>
      </c>
      <c r="G67" s="300" t="s">
        <v>1128</v>
      </c>
      <c r="H67" s="300" t="s">
        <v>1117</v>
      </c>
      <c r="I67" s="300" t="s">
        <v>449</v>
      </c>
    </row>
    <row r="68" spans="2:9" ht="14.5">
      <c r="B68" s="300" t="s">
        <v>926</v>
      </c>
      <c r="C68" s="300" t="s">
        <v>1129</v>
      </c>
      <c r="D68" s="300" t="s">
        <v>1130</v>
      </c>
      <c r="E68" s="300" t="s">
        <v>928</v>
      </c>
      <c r="F68" s="300" t="s">
        <v>1131</v>
      </c>
      <c r="G68" s="300" t="s">
        <v>1132</v>
      </c>
      <c r="H68" s="300" t="s">
        <v>1117</v>
      </c>
      <c r="I68" s="300" t="s">
        <v>449</v>
      </c>
    </row>
    <row r="69" spans="2:9" ht="14.5">
      <c r="B69" s="300" t="s">
        <v>926</v>
      </c>
      <c r="C69" s="300" t="s">
        <v>1133</v>
      </c>
      <c r="D69" s="300" t="s">
        <v>1134</v>
      </c>
      <c r="E69" s="300" t="s">
        <v>928</v>
      </c>
      <c r="F69" s="300" t="s">
        <v>1135</v>
      </c>
      <c r="G69" s="300" t="s">
        <v>1136</v>
      </c>
      <c r="H69" s="300" t="s">
        <v>1117</v>
      </c>
      <c r="I69" s="300" t="s">
        <v>449</v>
      </c>
    </row>
    <row r="70" spans="2:9" ht="14.5">
      <c r="B70" s="300" t="s">
        <v>926</v>
      </c>
      <c r="C70" s="300" t="s">
        <v>1137</v>
      </c>
      <c r="D70" s="300" t="s">
        <v>1138</v>
      </c>
      <c r="E70" s="300" t="s">
        <v>928</v>
      </c>
      <c r="F70" s="300" t="s">
        <v>1139</v>
      </c>
      <c r="G70" s="300" t="s">
        <v>1140</v>
      </c>
      <c r="H70" s="300" t="s">
        <v>1117</v>
      </c>
      <c r="I70" s="300" t="s">
        <v>449</v>
      </c>
    </row>
    <row r="71" spans="2:9" ht="14.5">
      <c r="B71" s="300" t="s">
        <v>926</v>
      </c>
      <c r="C71" s="300" t="s">
        <v>1141</v>
      </c>
      <c r="D71" s="300" t="s">
        <v>1142</v>
      </c>
      <c r="E71" s="300" t="s">
        <v>928</v>
      </c>
      <c r="F71" s="378" t="s">
        <v>5092</v>
      </c>
      <c r="G71" s="300" t="s">
        <v>1143</v>
      </c>
      <c r="H71" s="300" t="s">
        <v>1117</v>
      </c>
      <c r="I71" s="300" t="s">
        <v>449</v>
      </c>
    </row>
    <row r="72" spans="2:9" ht="14.5">
      <c r="B72" s="300" t="s">
        <v>926</v>
      </c>
      <c r="C72" s="300" t="s">
        <v>1144</v>
      </c>
      <c r="D72" s="300" t="s">
        <v>1145</v>
      </c>
      <c r="E72" s="300" t="s">
        <v>928</v>
      </c>
      <c r="F72" s="300" t="s">
        <v>1146</v>
      </c>
      <c r="G72" s="300" t="s">
        <v>1147</v>
      </c>
      <c r="H72" s="300" t="s">
        <v>1117</v>
      </c>
      <c r="I72" s="300" t="s">
        <v>449</v>
      </c>
    </row>
    <row r="73" spans="2:9" ht="14.5">
      <c r="B73" s="300" t="s">
        <v>926</v>
      </c>
      <c r="C73" s="300" t="s">
        <v>1148</v>
      </c>
      <c r="D73" s="300" t="s">
        <v>1149</v>
      </c>
      <c r="E73" s="300" t="s">
        <v>928</v>
      </c>
      <c r="F73" s="300" t="s">
        <v>1150</v>
      </c>
      <c r="G73" s="300" t="s">
        <v>1151</v>
      </c>
      <c r="H73" s="300" t="s">
        <v>1117</v>
      </c>
      <c r="I73" s="300" t="s">
        <v>449</v>
      </c>
    </row>
    <row r="74" spans="2:9" ht="14.5">
      <c r="B74" s="300" t="s">
        <v>926</v>
      </c>
      <c r="C74" s="300" t="s">
        <v>1152</v>
      </c>
      <c r="D74" s="300" t="s">
        <v>1153</v>
      </c>
      <c r="E74" s="300" t="s">
        <v>928</v>
      </c>
      <c r="F74" s="300" t="s">
        <v>1154</v>
      </c>
      <c r="G74" s="300" t="s">
        <v>1155</v>
      </c>
      <c r="H74" s="300" t="s">
        <v>1117</v>
      </c>
      <c r="I74" s="300" t="s">
        <v>449</v>
      </c>
    </row>
    <row r="75" spans="2:9" ht="14.5">
      <c r="B75" s="300" t="s">
        <v>926</v>
      </c>
      <c r="C75" s="300" t="s">
        <v>1156</v>
      </c>
      <c r="D75" s="300" t="s">
        <v>1157</v>
      </c>
      <c r="E75" s="300" t="s">
        <v>928</v>
      </c>
      <c r="F75" s="300" t="s">
        <v>1158</v>
      </c>
      <c r="G75" s="300" t="s">
        <v>1159</v>
      </c>
      <c r="H75" s="300" t="s">
        <v>1117</v>
      </c>
      <c r="I75" s="300" t="s">
        <v>449</v>
      </c>
    </row>
    <row r="76" spans="2:9" ht="14.5">
      <c r="B76" s="300" t="s">
        <v>926</v>
      </c>
      <c r="C76" s="300" t="s">
        <v>1160</v>
      </c>
      <c r="D76" s="300" t="s">
        <v>1161</v>
      </c>
      <c r="E76" s="300" t="s">
        <v>928</v>
      </c>
      <c r="F76" s="300" t="s">
        <v>1154</v>
      </c>
      <c r="G76" s="300" t="s">
        <v>1155</v>
      </c>
      <c r="H76" s="300" t="s">
        <v>1117</v>
      </c>
      <c r="I76" s="300" t="s">
        <v>449</v>
      </c>
    </row>
    <row r="77" spans="2:9" ht="14.5">
      <c r="B77" s="300" t="s">
        <v>926</v>
      </c>
      <c r="C77" s="300" t="s">
        <v>1162</v>
      </c>
      <c r="D77" s="300" t="s">
        <v>1163</v>
      </c>
      <c r="E77" s="300" t="s">
        <v>928</v>
      </c>
      <c r="F77" s="300" t="s">
        <v>1154</v>
      </c>
      <c r="G77" s="300" t="s">
        <v>1155</v>
      </c>
      <c r="H77" s="300" t="s">
        <v>1117</v>
      </c>
      <c r="I77" s="300" t="s">
        <v>449</v>
      </c>
    </row>
    <row r="78" spans="2:9" ht="14.5">
      <c r="B78" s="300" t="s">
        <v>926</v>
      </c>
      <c r="C78" s="300" t="s">
        <v>1164</v>
      </c>
      <c r="D78" s="300" t="s">
        <v>1165</v>
      </c>
      <c r="E78" s="300" t="s">
        <v>928</v>
      </c>
      <c r="F78" s="378" t="s">
        <v>5093</v>
      </c>
      <c r="G78" s="300" t="s">
        <v>1166</v>
      </c>
      <c r="H78" s="300" t="s">
        <v>1117</v>
      </c>
      <c r="I78" s="300" t="s">
        <v>449</v>
      </c>
    </row>
    <row r="79" spans="2:9" ht="14.5">
      <c r="B79" s="300" t="s">
        <v>926</v>
      </c>
      <c r="C79" s="300" t="s">
        <v>1167</v>
      </c>
      <c r="D79" s="300" t="s">
        <v>1168</v>
      </c>
      <c r="E79" s="300" t="s">
        <v>928</v>
      </c>
      <c r="F79" s="378" t="s">
        <v>5093</v>
      </c>
      <c r="G79" s="300" t="s">
        <v>1166</v>
      </c>
      <c r="H79" s="300" t="s">
        <v>1117</v>
      </c>
      <c r="I79" s="300" t="s">
        <v>449</v>
      </c>
    </row>
    <row r="80" spans="2:9" ht="14.5">
      <c r="B80" s="300" t="s">
        <v>926</v>
      </c>
      <c r="C80" s="300" t="s">
        <v>1169</v>
      </c>
      <c r="D80" s="300" t="s">
        <v>1165</v>
      </c>
      <c r="E80" s="300" t="s">
        <v>928</v>
      </c>
      <c r="F80" s="378" t="s">
        <v>5093</v>
      </c>
      <c r="G80" s="300" t="s">
        <v>1170</v>
      </c>
      <c r="H80" s="300" t="s">
        <v>1117</v>
      </c>
      <c r="I80" s="300" t="s">
        <v>449</v>
      </c>
    </row>
    <row r="81" spans="2:9" ht="14.5">
      <c r="B81" s="300" t="s">
        <v>926</v>
      </c>
      <c r="C81" s="300" t="s">
        <v>1171</v>
      </c>
      <c r="D81" s="300" t="s">
        <v>1172</v>
      </c>
      <c r="E81" s="300" t="s">
        <v>928</v>
      </c>
      <c r="F81" s="378" t="s">
        <v>5090</v>
      </c>
      <c r="G81" s="300" t="s">
        <v>1116</v>
      </c>
      <c r="H81" s="300" t="s">
        <v>1117</v>
      </c>
      <c r="I81" s="300" t="s">
        <v>449</v>
      </c>
    </row>
    <row r="82" spans="2:9" ht="14.5">
      <c r="B82" s="300" t="s">
        <v>926</v>
      </c>
      <c r="C82" s="300" t="s">
        <v>1173</v>
      </c>
      <c r="D82" s="300" t="s">
        <v>1174</v>
      </c>
      <c r="E82" s="300" t="s">
        <v>928</v>
      </c>
      <c r="F82" s="378" t="s">
        <v>5092</v>
      </c>
      <c r="G82" s="300" t="s">
        <v>1143</v>
      </c>
      <c r="H82" s="300" t="s">
        <v>1117</v>
      </c>
      <c r="I82" s="300" t="s">
        <v>449</v>
      </c>
    </row>
    <row r="83" spans="2:9" ht="14.5">
      <c r="B83" s="300" t="s">
        <v>926</v>
      </c>
      <c r="C83" s="300" t="s">
        <v>1175</v>
      </c>
      <c r="D83" s="300" t="s">
        <v>1176</v>
      </c>
      <c r="E83" s="300" t="s">
        <v>928</v>
      </c>
      <c r="F83" s="300" t="s">
        <v>1177</v>
      </c>
      <c r="G83" s="300" t="s">
        <v>1178</v>
      </c>
      <c r="H83" s="300" t="s">
        <v>1117</v>
      </c>
      <c r="I83" s="300" t="s">
        <v>449</v>
      </c>
    </row>
    <row r="84" spans="2:9" ht="14.5">
      <c r="B84" s="300" t="s">
        <v>926</v>
      </c>
      <c r="C84" s="300" t="s">
        <v>1179</v>
      </c>
      <c r="D84" s="300" t="s">
        <v>1180</v>
      </c>
      <c r="E84" s="300" t="s">
        <v>928</v>
      </c>
      <c r="F84" s="300" t="s">
        <v>1181</v>
      </c>
      <c r="G84" s="300" t="s">
        <v>1182</v>
      </c>
      <c r="H84" s="300" t="s">
        <v>1117</v>
      </c>
      <c r="I84" s="300" t="s">
        <v>449</v>
      </c>
    </row>
    <row r="85" spans="2:9" ht="14.5">
      <c r="B85" s="300" t="s">
        <v>926</v>
      </c>
      <c r="C85" s="300" t="s">
        <v>1183</v>
      </c>
      <c r="D85" s="300" t="s">
        <v>1184</v>
      </c>
      <c r="E85" s="300" t="s">
        <v>928</v>
      </c>
      <c r="F85" s="300" t="s">
        <v>1185</v>
      </c>
      <c r="G85" s="300" t="s">
        <v>1186</v>
      </c>
      <c r="H85" s="300" t="s">
        <v>1117</v>
      </c>
      <c r="I85" s="300" t="s">
        <v>449</v>
      </c>
    </row>
    <row r="86" spans="2:9" ht="14.5">
      <c r="B86" s="300" t="s">
        <v>926</v>
      </c>
      <c r="C86" s="300" t="s">
        <v>1187</v>
      </c>
      <c r="D86" s="300" t="s">
        <v>1188</v>
      </c>
      <c r="E86" s="300" t="s">
        <v>928</v>
      </c>
      <c r="F86" s="300" t="s">
        <v>1189</v>
      </c>
      <c r="G86" s="300" t="s">
        <v>1190</v>
      </c>
      <c r="H86" s="300" t="s">
        <v>1117</v>
      </c>
      <c r="I86" s="300" t="s">
        <v>449</v>
      </c>
    </row>
    <row r="87" spans="2:9" ht="14.5">
      <c r="B87" s="300" t="s">
        <v>926</v>
      </c>
      <c r="C87" s="300" t="s">
        <v>1191</v>
      </c>
      <c r="D87" s="300" t="s">
        <v>1192</v>
      </c>
      <c r="E87" s="300" t="s">
        <v>928</v>
      </c>
      <c r="F87" s="300" t="s">
        <v>1193</v>
      </c>
      <c r="G87" s="300" t="s">
        <v>1194</v>
      </c>
      <c r="H87" s="300" t="s">
        <v>1117</v>
      </c>
      <c r="I87" s="300" t="s">
        <v>449</v>
      </c>
    </row>
    <row r="88" spans="2:9" ht="14.5">
      <c r="B88" s="300" t="s">
        <v>926</v>
      </c>
      <c r="C88" s="300" t="s">
        <v>1195</v>
      </c>
      <c r="D88" s="300" t="s">
        <v>1196</v>
      </c>
      <c r="E88" s="300" t="s">
        <v>928</v>
      </c>
      <c r="F88" s="378" t="s">
        <v>5092</v>
      </c>
      <c r="G88" s="300" t="s">
        <v>1143</v>
      </c>
      <c r="H88" s="300" t="s">
        <v>1117</v>
      </c>
      <c r="I88" s="300" t="s">
        <v>449</v>
      </c>
    </row>
    <row r="89" spans="2:9" ht="14.5">
      <c r="B89" s="300" t="s">
        <v>926</v>
      </c>
      <c r="C89" s="300" t="s">
        <v>1197</v>
      </c>
      <c r="D89" s="300" t="s">
        <v>1198</v>
      </c>
      <c r="E89" s="300" t="s">
        <v>928</v>
      </c>
      <c r="F89" s="300" t="s">
        <v>1199</v>
      </c>
      <c r="G89" s="300" t="s">
        <v>1200</v>
      </c>
      <c r="H89" s="300" t="s">
        <v>1117</v>
      </c>
      <c r="I89" s="300" t="s">
        <v>449</v>
      </c>
    </row>
    <row r="90" spans="2:9" ht="14.5">
      <c r="B90" s="300" t="s">
        <v>926</v>
      </c>
      <c r="C90" s="300" t="s">
        <v>1201</v>
      </c>
      <c r="D90" s="300" t="s">
        <v>1202</v>
      </c>
      <c r="E90" s="300" t="s">
        <v>928</v>
      </c>
      <c r="F90" s="378" t="s">
        <v>5094</v>
      </c>
      <c r="G90" s="300" t="s">
        <v>1203</v>
      </c>
      <c r="H90" s="300" t="s">
        <v>1117</v>
      </c>
      <c r="I90" s="300" t="s">
        <v>449</v>
      </c>
    </row>
    <row r="91" spans="2:9" ht="14.5">
      <c r="B91" s="300" t="s">
        <v>926</v>
      </c>
      <c r="C91" s="300" t="s">
        <v>1204</v>
      </c>
      <c r="D91" s="300" t="s">
        <v>1205</v>
      </c>
      <c r="E91" s="300" t="s">
        <v>928</v>
      </c>
      <c r="F91" s="378" t="s">
        <v>5094</v>
      </c>
      <c r="G91" s="300" t="s">
        <v>1203</v>
      </c>
      <c r="H91" s="300" t="s">
        <v>1117</v>
      </c>
      <c r="I91" s="300" t="s">
        <v>449</v>
      </c>
    </row>
    <row r="92" spans="2:9" ht="14.5">
      <c r="B92" s="300" t="s">
        <v>926</v>
      </c>
      <c r="C92" s="300" t="s">
        <v>1206</v>
      </c>
      <c r="D92" s="300" t="s">
        <v>1207</v>
      </c>
      <c r="E92" s="300" t="s">
        <v>928</v>
      </c>
      <c r="F92" s="300" t="s">
        <v>1208</v>
      </c>
      <c r="G92" s="300" t="s">
        <v>1209</v>
      </c>
      <c r="H92" s="300" t="s">
        <v>1117</v>
      </c>
      <c r="I92" s="300" t="s">
        <v>449</v>
      </c>
    </row>
    <row r="93" spans="2:9" ht="14.5">
      <c r="B93" s="300" t="s">
        <v>926</v>
      </c>
      <c r="C93" s="300" t="s">
        <v>1210</v>
      </c>
      <c r="D93" s="300" t="s">
        <v>1211</v>
      </c>
      <c r="E93" s="300" t="s">
        <v>928</v>
      </c>
      <c r="F93" s="300" t="s">
        <v>1212</v>
      </c>
      <c r="G93" s="300" t="s">
        <v>1213</v>
      </c>
      <c r="H93" s="300" t="s">
        <v>1117</v>
      </c>
      <c r="I93" s="300" t="s">
        <v>449</v>
      </c>
    </row>
    <row r="94" spans="2:9" ht="14.5">
      <c r="B94" s="300" t="s">
        <v>926</v>
      </c>
      <c r="C94" s="300" t="s">
        <v>1214</v>
      </c>
      <c r="D94" s="300" t="s">
        <v>1215</v>
      </c>
      <c r="E94" s="300" t="s">
        <v>928</v>
      </c>
      <c r="F94" s="378" t="s">
        <v>5094</v>
      </c>
      <c r="G94" s="300" t="s">
        <v>1203</v>
      </c>
      <c r="H94" s="300" t="s">
        <v>1117</v>
      </c>
      <c r="I94" s="300" t="s">
        <v>449</v>
      </c>
    </row>
    <row r="95" spans="2:9" ht="14.5">
      <c r="B95" s="300" t="s">
        <v>926</v>
      </c>
      <c r="C95" s="300" t="s">
        <v>1216</v>
      </c>
      <c r="D95" s="300" t="s">
        <v>1217</v>
      </c>
      <c r="E95" s="300" t="s">
        <v>928</v>
      </c>
      <c r="F95" s="300" t="s">
        <v>1218</v>
      </c>
      <c r="G95" s="300" t="s">
        <v>1219</v>
      </c>
      <c r="H95" s="300" t="s">
        <v>1117</v>
      </c>
      <c r="I95" s="300" t="s">
        <v>449</v>
      </c>
    </row>
    <row r="96" spans="2:9" ht="14.5">
      <c r="B96" s="300" t="s">
        <v>926</v>
      </c>
      <c r="C96" s="300" t="s">
        <v>1220</v>
      </c>
      <c r="D96" s="300" t="s">
        <v>1221</v>
      </c>
      <c r="E96" s="300" t="s">
        <v>928</v>
      </c>
      <c r="F96" s="300" t="s">
        <v>1222</v>
      </c>
      <c r="G96" s="300" t="s">
        <v>1223</v>
      </c>
      <c r="H96" s="300" t="s">
        <v>1117</v>
      </c>
      <c r="I96" s="300" t="s">
        <v>449</v>
      </c>
    </row>
    <row r="97" spans="2:9" ht="14.5">
      <c r="B97" s="300" t="s">
        <v>926</v>
      </c>
      <c r="C97" s="300" t="s">
        <v>1224</v>
      </c>
      <c r="D97" s="300" t="s">
        <v>1225</v>
      </c>
      <c r="E97" s="300" t="s">
        <v>928</v>
      </c>
      <c r="F97" s="378" t="s">
        <v>5095</v>
      </c>
      <c r="G97" s="300" t="s">
        <v>1226</v>
      </c>
      <c r="H97" s="300" t="s">
        <v>1227</v>
      </c>
      <c r="I97" s="300" t="s">
        <v>449</v>
      </c>
    </row>
    <row r="98" spans="2:9" ht="14.5">
      <c r="B98" s="300" t="s">
        <v>926</v>
      </c>
      <c r="C98" s="300" t="s">
        <v>1228</v>
      </c>
      <c r="D98" s="300" t="s">
        <v>1229</v>
      </c>
      <c r="E98" s="300" t="s">
        <v>928</v>
      </c>
      <c r="F98" s="378" t="s">
        <v>5096</v>
      </c>
      <c r="G98" s="300" t="s">
        <v>1230</v>
      </c>
      <c r="H98" s="300" t="s">
        <v>1227</v>
      </c>
      <c r="I98" s="300" t="s">
        <v>449</v>
      </c>
    </row>
    <row r="99" spans="2:9" ht="14.5">
      <c r="B99" s="300" t="s">
        <v>926</v>
      </c>
      <c r="C99" s="300" t="s">
        <v>1231</v>
      </c>
      <c r="D99" s="300" t="s">
        <v>1232</v>
      </c>
      <c r="E99" s="300" t="s">
        <v>928</v>
      </c>
      <c r="F99" s="300" t="s">
        <v>1233</v>
      </c>
      <c r="G99" s="300" t="s">
        <v>1234</v>
      </c>
      <c r="H99" s="300" t="s">
        <v>1227</v>
      </c>
      <c r="I99" s="300" t="s">
        <v>449</v>
      </c>
    </row>
    <row r="100" spans="2:9" ht="14.5">
      <c r="B100" s="300" t="s">
        <v>926</v>
      </c>
      <c r="C100" s="300" t="s">
        <v>1235</v>
      </c>
      <c r="D100" s="300" t="s">
        <v>1236</v>
      </c>
      <c r="E100" s="300" t="s">
        <v>928</v>
      </c>
      <c r="F100" s="300" t="s">
        <v>1237</v>
      </c>
      <c r="G100" s="300" t="s">
        <v>1238</v>
      </c>
      <c r="H100" s="300" t="s">
        <v>1227</v>
      </c>
      <c r="I100" s="300" t="s">
        <v>449</v>
      </c>
    </row>
    <row r="101" spans="2:9" ht="14.5">
      <c r="B101" s="300" t="s">
        <v>926</v>
      </c>
      <c r="C101" s="300" t="s">
        <v>1239</v>
      </c>
      <c r="D101" s="300" t="s">
        <v>1240</v>
      </c>
      <c r="E101" s="300" t="s">
        <v>928</v>
      </c>
      <c r="F101" s="300" t="s">
        <v>1233</v>
      </c>
      <c r="G101" s="300" t="s">
        <v>1234</v>
      </c>
      <c r="H101" s="300" t="s">
        <v>1227</v>
      </c>
      <c r="I101" s="300" t="s">
        <v>449</v>
      </c>
    </row>
    <row r="102" spans="2:9" ht="14.5">
      <c r="B102" s="300" t="s">
        <v>926</v>
      </c>
      <c r="C102" s="300" t="s">
        <v>1241</v>
      </c>
      <c r="D102" s="300" t="s">
        <v>1242</v>
      </c>
      <c r="E102" s="300" t="s">
        <v>928</v>
      </c>
      <c r="F102" s="300" t="s">
        <v>1243</v>
      </c>
      <c r="G102" s="300" t="s">
        <v>1244</v>
      </c>
      <c r="H102" s="300" t="s">
        <v>1227</v>
      </c>
      <c r="I102" s="300" t="s">
        <v>449</v>
      </c>
    </row>
    <row r="103" spans="2:9" ht="14.5">
      <c r="B103" s="300" t="s">
        <v>926</v>
      </c>
      <c r="C103" s="300" t="s">
        <v>1245</v>
      </c>
      <c r="D103" s="300" t="s">
        <v>1246</v>
      </c>
      <c r="E103" s="300" t="s">
        <v>928</v>
      </c>
      <c r="F103" s="300" t="s">
        <v>1243</v>
      </c>
      <c r="G103" s="300" t="s">
        <v>1244</v>
      </c>
      <c r="H103" s="300" t="s">
        <v>1227</v>
      </c>
      <c r="I103" s="300" t="s">
        <v>449</v>
      </c>
    </row>
    <row r="104" spans="2:9" ht="14.5">
      <c r="B104" s="300" t="s">
        <v>926</v>
      </c>
      <c r="C104" s="300" t="s">
        <v>1247</v>
      </c>
      <c r="D104" s="300" t="s">
        <v>1248</v>
      </c>
      <c r="E104" s="300" t="s">
        <v>928</v>
      </c>
      <c r="F104" s="378" t="s">
        <v>5097</v>
      </c>
      <c r="G104" s="300" t="s">
        <v>1249</v>
      </c>
      <c r="H104" s="300" t="s">
        <v>1227</v>
      </c>
      <c r="I104" s="300" t="s">
        <v>449</v>
      </c>
    </row>
    <row r="105" spans="2:9" ht="14.5">
      <c r="B105" s="300" t="s">
        <v>926</v>
      </c>
      <c r="C105" s="300" t="s">
        <v>1250</v>
      </c>
      <c r="D105" s="300" t="s">
        <v>1251</v>
      </c>
      <c r="E105" s="300" t="s">
        <v>928</v>
      </c>
      <c r="F105" s="300" t="s">
        <v>1252</v>
      </c>
      <c r="G105" s="300" t="s">
        <v>1253</v>
      </c>
      <c r="H105" s="300" t="s">
        <v>1227</v>
      </c>
      <c r="I105" s="300" t="s">
        <v>449</v>
      </c>
    </row>
    <row r="106" spans="2:9" ht="14.5">
      <c r="B106" s="300" t="s">
        <v>926</v>
      </c>
      <c r="C106" s="300" t="s">
        <v>1254</v>
      </c>
      <c r="D106" s="300" t="s">
        <v>1255</v>
      </c>
      <c r="E106" s="300" t="s">
        <v>928</v>
      </c>
      <c r="F106" s="300" t="s">
        <v>1256</v>
      </c>
      <c r="G106" s="300" t="s">
        <v>1257</v>
      </c>
      <c r="H106" s="300" t="s">
        <v>1227</v>
      </c>
      <c r="I106" s="300" t="s">
        <v>449</v>
      </c>
    </row>
    <row r="107" spans="2:9" ht="14.5">
      <c r="B107" s="300" t="s">
        <v>926</v>
      </c>
      <c r="C107" s="300" t="s">
        <v>1258</v>
      </c>
      <c r="D107" s="300" t="s">
        <v>1259</v>
      </c>
      <c r="E107" s="300" t="s">
        <v>928</v>
      </c>
      <c r="F107" s="300" t="s">
        <v>1252</v>
      </c>
      <c r="G107" s="300" t="s">
        <v>1253</v>
      </c>
      <c r="H107" s="300" t="s">
        <v>1227</v>
      </c>
      <c r="I107" s="300" t="s">
        <v>449</v>
      </c>
    </row>
    <row r="108" spans="2:9" ht="14.5">
      <c r="B108" s="300" t="s">
        <v>926</v>
      </c>
      <c r="C108" s="300" t="s">
        <v>1260</v>
      </c>
      <c r="D108" s="300" t="s">
        <v>1261</v>
      </c>
      <c r="E108" s="300" t="s">
        <v>928</v>
      </c>
      <c r="F108" s="378" t="s">
        <v>5098</v>
      </c>
      <c r="G108" s="300" t="s">
        <v>1262</v>
      </c>
      <c r="H108" s="300" t="s">
        <v>1227</v>
      </c>
      <c r="I108" s="300" t="s">
        <v>449</v>
      </c>
    </row>
    <row r="109" spans="2:9" ht="14.5">
      <c r="B109" s="300" t="s">
        <v>926</v>
      </c>
      <c r="C109" s="300" t="s">
        <v>1263</v>
      </c>
      <c r="D109" s="300" t="s">
        <v>1264</v>
      </c>
      <c r="E109" s="300" t="s">
        <v>928</v>
      </c>
      <c r="F109" s="300" t="s">
        <v>1265</v>
      </c>
      <c r="G109" s="300" t="s">
        <v>1266</v>
      </c>
      <c r="H109" s="300" t="s">
        <v>1227</v>
      </c>
      <c r="I109" s="300" t="s">
        <v>449</v>
      </c>
    </row>
    <row r="110" spans="2:9" ht="14.5">
      <c r="B110" s="300" t="s">
        <v>926</v>
      </c>
      <c r="C110" s="300" t="s">
        <v>1267</v>
      </c>
      <c r="D110" s="300" t="s">
        <v>1268</v>
      </c>
      <c r="E110" s="300" t="s">
        <v>928</v>
      </c>
      <c r="F110" s="300" t="s">
        <v>1269</v>
      </c>
      <c r="G110" s="300" t="s">
        <v>1270</v>
      </c>
      <c r="H110" s="300" t="s">
        <v>1227</v>
      </c>
      <c r="I110" s="300" t="s">
        <v>449</v>
      </c>
    </row>
    <row r="111" spans="2:9" ht="14.5">
      <c r="B111" s="300" t="s">
        <v>926</v>
      </c>
      <c r="C111" s="300" t="s">
        <v>1271</v>
      </c>
      <c r="D111" s="300" t="s">
        <v>1272</v>
      </c>
      <c r="E111" s="300" t="s">
        <v>928</v>
      </c>
      <c r="F111" s="378" t="s">
        <v>5099</v>
      </c>
      <c r="G111" s="300" t="s">
        <v>1273</v>
      </c>
      <c r="H111" s="300" t="s">
        <v>1227</v>
      </c>
      <c r="I111" s="300" t="s">
        <v>449</v>
      </c>
    </row>
    <row r="112" spans="2:9" ht="14.5">
      <c r="B112" s="300" t="s">
        <v>926</v>
      </c>
      <c r="C112" s="300" t="s">
        <v>1274</v>
      </c>
      <c r="D112" s="300" t="s">
        <v>1275</v>
      </c>
      <c r="E112" s="300" t="s">
        <v>928</v>
      </c>
      <c r="F112" s="300" t="s">
        <v>1276</v>
      </c>
      <c r="G112" s="300" t="s">
        <v>1277</v>
      </c>
      <c r="H112" s="300" t="s">
        <v>1227</v>
      </c>
      <c r="I112" s="300" t="s">
        <v>449</v>
      </c>
    </row>
    <row r="113" spans="2:9" ht="14.5">
      <c r="B113" s="300" t="s">
        <v>926</v>
      </c>
      <c r="C113" s="300" t="s">
        <v>1278</v>
      </c>
      <c r="D113" s="300" t="s">
        <v>1279</v>
      </c>
      <c r="E113" s="300" t="s">
        <v>928</v>
      </c>
      <c r="F113" s="300" t="s">
        <v>1280</v>
      </c>
      <c r="G113" s="300" t="s">
        <v>1281</v>
      </c>
      <c r="H113" s="300" t="s">
        <v>1227</v>
      </c>
      <c r="I113" s="300" t="s">
        <v>449</v>
      </c>
    </row>
    <row r="114" spans="2:9" ht="14.5">
      <c r="B114" s="300" t="s">
        <v>926</v>
      </c>
      <c r="C114" s="300" t="s">
        <v>1282</v>
      </c>
      <c r="D114" s="300" t="s">
        <v>1283</v>
      </c>
      <c r="E114" s="300" t="s">
        <v>928</v>
      </c>
      <c r="F114" s="378" t="s">
        <v>5100</v>
      </c>
      <c r="G114" s="300" t="s">
        <v>1284</v>
      </c>
      <c r="H114" s="300" t="s">
        <v>1227</v>
      </c>
      <c r="I114" s="300" t="s">
        <v>449</v>
      </c>
    </row>
    <row r="115" spans="2:9" ht="14.5">
      <c r="B115" s="300" t="s">
        <v>926</v>
      </c>
      <c r="C115" s="300" t="s">
        <v>1285</v>
      </c>
      <c r="D115" s="300" t="s">
        <v>1286</v>
      </c>
      <c r="E115" s="300" t="s">
        <v>928</v>
      </c>
      <c r="F115" s="300" t="s">
        <v>1287</v>
      </c>
      <c r="G115" s="300" t="s">
        <v>1288</v>
      </c>
      <c r="H115" s="300" t="s">
        <v>1227</v>
      </c>
      <c r="I115" s="300" t="s">
        <v>449</v>
      </c>
    </row>
    <row r="116" spans="2:9" ht="14.5">
      <c r="B116" s="300" t="s">
        <v>926</v>
      </c>
      <c r="C116" s="300" t="s">
        <v>1289</v>
      </c>
      <c r="D116" s="300" t="s">
        <v>1290</v>
      </c>
      <c r="E116" s="300" t="s">
        <v>928</v>
      </c>
      <c r="F116" s="378" t="s">
        <v>5101</v>
      </c>
      <c r="G116" s="300" t="s">
        <v>1291</v>
      </c>
      <c r="H116" s="300" t="s">
        <v>1227</v>
      </c>
      <c r="I116" s="300" t="s">
        <v>449</v>
      </c>
    </row>
    <row r="117" spans="2:9" ht="14.5">
      <c r="B117" s="300" t="s">
        <v>926</v>
      </c>
      <c r="C117" s="300" t="s">
        <v>1292</v>
      </c>
      <c r="D117" s="300" t="s">
        <v>1293</v>
      </c>
      <c r="E117" s="300" t="s">
        <v>928</v>
      </c>
      <c r="F117" s="300" t="s">
        <v>1294</v>
      </c>
      <c r="G117" s="300" t="s">
        <v>1295</v>
      </c>
      <c r="H117" s="300" t="s">
        <v>1227</v>
      </c>
      <c r="I117" s="300" t="s">
        <v>449</v>
      </c>
    </row>
    <row r="118" spans="2:9" ht="14.5">
      <c r="B118" s="300" t="s">
        <v>926</v>
      </c>
      <c r="C118" s="300" t="s">
        <v>1296</v>
      </c>
      <c r="D118" s="300" t="s">
        <v>1297</v>
      </c>
      <c r="E118" s="300" t="s">
        <v>928</v>
      </c>
      <c r="F118" s="300" t="s">
        <v>1298</v>
      </c>
      <c r="G118" s="300" t="s">
        <v>1299</v>
      </c>
      <c r="H118" s="300" t="s">
        <v>1227</v>
      </c>
      <c r="I118" s="300" t="s">
        <v>449</v>
      </c>
    </row>
    <row r="119" spans="2:9" ht="14.5">
      <c r="B119" s="300" t="s">
        <v>926</v>
      </c>
      <c r="C119" s="300" t="s">
        <v>1300</v>
      </c>
      <c r="D119" s="300" t="s">
        <v>1301</v>
      </c>
      <c r="E119" s="300" t="s">
        <v>928</v>
      </c>
      <c r="F119" s="378" t="s">
        <v>5102</v>
      </c>
      <c r="G119" s="300" t="s">
        <v>1302</v>
      </c>
      <c r="H119" s="300" t="s">
        <v>1227</v>
      </c>
      <c r="I119" s="300" t="s">
        <v>449</v>
      </c>
    </row>
    <row r="120" spans="2:9" ht="14.5">
      <c r="B120" s="300" t="s">
        <v>926</v>
      </c>
      <c r="C120" s="300" t="s">
        <v>1303</v>
      </c>
      <c r="D120" s="300" t="s">
        <v>1304</v>
      </c>
      <c r="E120" s="300" t="s">
        <v>928</v>
      </c>
      <c r="F120" s="300" t="s">
        <v>1305</v>
      </c>
      <c r="G120" s="300" t="s">
        <v>1306</v>
      </c>
      <c r="H120" s="300" t="s">
        <v>1227</v>
      </c>
      <c r="I120" s="300" t="s">
        <v>449</v>
      </c>
    </row>
    <row r="121" spans="2:9" ht="14.5">
      <c r="B121" s="300" t="s">
        <v>926</v>
      </c>
      <c r="C121" s="300" t="s">
        <v>1307</v>
      </c>
      <c r="D121" s="300" t="s">
        <v>1308</v>
      </c>
      <c r="E121" s="300" t="s">
        <v>928</v>
      </c>
      <c r="F121" s="300" t="s">
        <v>1309</v>
      </c>
      <c r="G121" s="300" t="s">
        <v>1310</v>
      </c>
      <c r="H121" s="300" t="s">
        <v>1227</v>
      </c>
      <c r="I121" s="300" t="s">
        <v>449</v>
      </c>
    </row>
    <row r="122" spans="2:9" ht="14.5">
      <c r="B122" s="300" t="s">
        <v>926</v>
      </c>
      <c r="C122" s="300" t="s">
        <v>1311</v>
      </c>
      <c r="D122" s="300" t="s">
        <v>1312</v>
      </c>
      <c r="E122" s="300" t="s">
        <v>928</v>
      </c>
      <c r="F122" s="378" t="s">
        <v>5103</v>
      </c>
      <c r="G122" s="300" t="s">
        <v>1313</v>
      </c>
      <c r="H122" s="300" t="s">
        <v>1227</v>
      </c>
      <c r="I122" s="300" t="s">
        <v>449</v>
      </c>
    </row>
    <row r="123" spans="2:9" ht="14.5">
      <c r="B123" s="300" t="s">
        <v>926</v>
      </c>
      <c r="C123" s="300" t="s">
        <v>1314</v>
      </c>
      <c r="D123" s="300" t="s">
        <v>1315</v>
      </c>
      <c r="E123" s="300" t="s">
        <v>928</v>
      </c>
      <c r="F123" s="300" t="s">
        <v>1316</v>
      </c>
      <c r="G123" s="300" t="s">
        <v>1317</v>
      </c>
      <c r="H123" s="300" t="s">
        <v>1227</v>
      </c>
      <c r="I123" s="300" t="s">
        <v>449</v>
      </c>
    </row>
    <row r="124" spans="2:9" ht="14.5">
      <c r="B124" s="300" t="s">
        <v>926</v>
      </c>
      <c r="C124" s="300" t="s">
        <v>1318</v>
      </c>
      <c r="D124" s="300" t="s">
        <v>1319</v>
      </c>
      <c r="E124" s="300" t="s">
        <v>928</v>
      </c>
      <c r="F124" s="300" t="s">
        <v>1280</v>
      </c>
      <c r="G124" s="300" t="s">
        <v>1281</v>
      </c>
      <c r="H124" s="300" t="s">
        <v>1227</v>
      </c>
      <c r="I124" s="300" t="s">
        <v>449</v>
      </c>
    </row>
    <row r="125" spans="2:9" ht="14.5">
      <c r="B125" s="300" t="s">
        <v>926</v>
      </c>
      <c r="C125" s="300" t="s">
        <v>1320</v>
      </c>
      <c r="D125" s="300" t="s">
        <v>1321</v>
      </c>
      <c r="E125" s="300" t="s">
        <v>928</v>
      </c>
      <c r="F125" s="300" t="s">
        <v>1322</v>
      </c>
      <c r="G125" s="300" t="s">
        <v>1323</v>
      </c>
      <c r="H125" s="300" t="s">
        <v>1227</v>
      </c>
      <c r="I125" s="300" t="s">
        <v>449</v>
      </c>
    </row>
    <row r="126" spans="2:9" ht="14.5">
      <c r="B126" s="300" t="s">
        <v>926</v>
      </c>
      <c r="C126" s="300" t="s">
        <v>1324</v>
      </c>
      <c r="D126" s="300" t="s">
        <v>1325</v>
      </c>
      <c r="E126" s="300" t="s">
        <v>928</v>
      </c>
      <c r="F126" s="300" t="s">
        <v>1326</v>
      </c>
      <c r="G126" s="300" t="s">
        <v>1327</v>
      </c>
      <c r="H126" s="300" t="s">
        <v>1227</v>
      </c>
      <c r="I126" s="300" t="s">
        <v>449</v>
      </c>
    </row>
    <row r="127" spans="2:9" ht="14.5">
      <c r="B127" s="300" t="s">
        <v>926</v>
      </c>
      <c r="C127" s="300" t="s">
        <v>1328</v>
      </c>
      <c r="D127" s="300" t="s">
        <v>1329</v>
      </c>
      <c r="E127" s="300" t="s">
        <v>928</v>
      </c>
      <c r="F127" s="378" t="s">
        <v>5104</v>
      </c>
      <c r="G127" s="300" t="s">
        <v>1330</v>
      </c>
      <c r="H127" s="300" t="s">
        <v>1227</v>
      </c>
      <c r="I127" s="300" t="s">
        <v>449</v>
      </c>
    </row>
    <row r="128" spans="2:9" ht="14.5">
      <c r="B128" s="300" t="s">
        <v>926</v>
      </c>
      <c r="C128" s="300" t="s">
        <v>1331</v>
      </c>
      <c r="D128" s="300" t="s">
        <v>1332</v>
      </c>
      <c r="E128" s="300" t="s">
        <v>928</v>
      </c>
      <c r="F128" s="378" t="s">
        <v>2015</v>
      </c>
      <c r="G128" s="300" t="s">
        <v>1333</v>
      </c>
      <c r="H128" s="300" t="s">
        <v>1227</v>
      </c>
      <c r="I128" s="300" t="s">
        <v>449</v>
      </c>
    </row>
    <row r="129" spans="2:9" ht="14.5">
      <c r="B129" s="300" t="s">
        <v>926</v>
      </c>
      <c r="C129" s="300" t="s">
        <v>1334</v>
      </c>
      <c r="D129" s="300" t="s">
        <v>1335</v>
      </c>
      <c r="E129" s="300" t="s">
        <v>928</v>
      </c>
      <c r="F129" s="300" t="s">
        <v>1336</v>
      </c>
      <c r="G129" s="300" t="s">
        <v>1337</v>
      </c>
      <c r="H129" s="300" t="s">
        <v>1227</v>
      </c>
      <c r="I129" s="300" t="s">
        <v>449</v>
      </c>
    </row>
    <row r="130" spans="2:9" ht="14.5">
      <c r="B130" s="300" t="s">
        <v>926</v>
      </c>
      <c r="C130" s="300" t="s">
        <v>1338</v>
      </c>
      <c r="D130" s="300" t="s">
        <v>1339</v>
      </c>
      <c r="E130" s="300" t="s">
        <v>928</v>
      </c>
      <c r="F130" s="378" t="s">
        <v>2015</v>
      </c>
      <c r="G130" s="300" t="s">
        <v>1333</v>
      </c>
      <c r="H130" s="300" t="s">
        <v>1227</v>
      </c>
      <c r="I130" s="300" t="s">
        <v>449</v>
      </c>
    </row>
    <row r="131" spans="2:9" ht="14.5">
      <c r="B131" s="300" t="s">
        <v>926</v>
      </c>
      <c r="C131" s="300" t="s">
        <v>1340</v>
      </c>
      <c r="D131" s="300" t="s">
        <v>1341</v>
      </c>
      <c r="E131" s="300" t="s">
        <v>928</v>
      </c>
      <c r="F131" s="300" t="s">
        <v>1342</v>
      </c>
      <c r="G131" s="300" t="s">
        <v>1343</v>
      </c>
      <c r="H131" s="300" t="s">
        <v>1227</v>
      </c>
      <c r="I131" s="300" t="s">
        <v>449</v>
      </c>
    </row>
    <row r="132" spans="2:9" ht="14.5">
      <c r="B132" s="300" t="s">
        <v>926</v>
      </c>
      <c r="C132" s="300" t="s">
        <v>1344</v>
      </c>
      <c r="D132" s="300" t="s">
        <v>1345</v>
      </c>
      <c r="E132" s="300" t="s">
        <v>928</v>
      </c>
      <c r="F132" s="378" t="s">
        <v>2015</v>
      </c>
      <c r="G132" s="300" t="s">
        <v>1333</v>
      </c>
      <c r="H132" s="300" t="s">
        <v>1227</v>
      </c>
      <c r="I132" s="300" t="s">
        <v>449</v>
      </c>
    </row>
    <row r="133" spans="2:9" ht="14.5">
      <c r="B133" s="300" t="s">
        <v>926</v>
      </c>
      <c r="C133" s="300" t="s">
        <v>1346</v>
      </c>
      <c r="D133" s="300" t="s">
        <v>1347</v>
      </c>
      <c r="E133" s="300" t="s">
        <v>928</v>
      </c>
      <c r="F133" s="300" t="s">
        <v>1348</v>
      </c>
      <c r="G133" s="300" t="s">
        <v>1349</v>
      </c>
      <c r="H133" s="300" t="s">
        <v>1227</v>
      </c>
      <c r="I133" s="300" t="s">
        <v>449</v>
      </c>
    </row>
    <row r="134" spans="2:9" ht="14.5">
      <c r="B134" s="300" t="s">
        <v>926</v>
      </c>
      <c r="C134" s="300" t="s">
        <v>1350</v>
      </c>
      <c r="D134" s="300" t="s">
        <v>1351</v>
      </c>
      <c r="E134" s="300" t="s">
        <v>928</v>
      </c>
      <c r="F134" s="378" t="s">
        <v>2015</v>
      </c>
      <c r="G134" s="300" t="s">
        <v>1333</v>
      </c>
      <c r="H134" s="300" t="s">
        <v>1227</v>
      </c>
      <c r="I134" s="300" t="s">
        <v>449</v>
      </c>
    </row>
    <row r="135" spans="2:9" ht="14.5">
      <c r="B135" s="300" t="s">
        <v>926</v>
      </c>
      <c r="C135" s="300" t="s">
        <v>1352</v>
      </c>
      <c r="D135" s="300" t="s">
        <v>1353</v>
      </c>
      <c r="E135" s="300" t="s">
        <v>928</v>
      </c>
      <c r="F135" s="300" t="s">
        <v>1354</v>
      </c>
      <c r="G135" s="300" t="s">
        <v>1355</v>
      </c>
      <c r="H135" s="300" t="s">
        <v>1227</v>
      </c>
      <c r="I135" s="300" t="s">
        <v>449</v>
      </c>
    </row>
    <row r="136" spans="2:9" ht="14.5">
      <c r="B136" s="300" t="s">
        <v>926</v>
      </c>
      <c r="C136" s="300" t="s">
        <v>1356</v>
      </c>
      <c r="D136" s="300" t="s">
        <v>1357</v>
      </c>
      <c r="E136" s="300" t="s">
        <v>928</v>
      </c>
      <c r="F136" s="378" t="s">
        <v>5104</v>
      </c>
      <c r="G136" s="300" t="s">
        <v>1330</v>
      </c>
      <c r="H136" s="300" t="s">
        <v>1227</v>
      </c>
      <c r="I136" s="300" t="s">
        <v>449</v>
      </c>
    </row>
    <row r="137" spans="2:9" ht="14.5">
      <c r="B137" s="300" t="s">
        <v>926</v>
      </c>
      <c r="C137" s="300" t="s">
        <v>1358</v>
      </c>
      <c r="D137" s="300" t="s">
        <v>1359</v>
      </c>
      <c r="E137" s="300" t="s">
        <v>928</v>
      </c>
      <c r="F137" s="378" t="s">
        <v>5105</v>
      </c>
      <c r="G137" s="300" t="s">
        <v>1360</v>
      </c>
      <c r="H137" s="300" t="s">
        <v>1227</v>
      </c>
      <c r="I137" s="300" t="s">
        <v>449</v>
      </c>
    </row>
    <row r="138" spans="2:9" ht="14.5">
      <c r="B138" s="300" t="s">
        <v>926</v>
      </c>
      <c r="C138" s="300" t="s">
        <v>1361</v>
      </c>
      <c r="D138" s="300" t="s">
        <v>1362</v>
      </c>
      <c r="E138" s="300" t="s">
        <v>928</v>
      </c>
      <c r="F138" s="300" t="s">
        <v>1363</v>
      </c>
      <c r="G138" s="300" t="s">
        <v>1364</v>
      </c>
      <c r="H138" s="300" t="s">
        <v>1227</v>
      </c>
      <c r="I138" s="300" t="s">
        <v>449</v>
      </c>
    </row>
    <row r="139" spans="2:9" ht="14.5">
      <c r="B139" s="300" t="s">
        <v>926</v>
      </c>
      <c r="C139" s="300" t="s">
        <v>1365</v>
      </c>
      <c r="D139" s="300" t="s">
        <v>1366</v>
      </c>
      <c r="E139" s="300" t="s">
        <v>928</v>
      </c>
      <c r="F139" s="378" t="s">
        <v>5105</v>
      </c>
      <c r="G139" s="300" t="s">
        <v>1360</v>
      </c>
      <c r="H139" s="300" t="s">
        <v>1227</v>
      </c>
      <c r="I139" s="300" t="s">
        <v>449</v>
      </c>
    </row>
    <row r="140" spans="2:9" ht="14.5">
      <c r="B140" s="300" t="s">
        <v>926</v>
      </c>
      <c r="C140" s="300" t="s">
        <v>1367</v>
      </c>
      <c r="D140" s="300" t="s">
        <v>1368</v>
      </c>
      <c r="E140" s="300" t="s">
        <v>928</v>
      </c>
      <c r="F140" s="300" t="s">
        <v>1369</v>
      </c>
      <c r="G140" s="300" t="s">
        <v>1370</v>
      </c>
      <c r="H140" s="300" t="s">
        <v>1227</v>
      </c>
      <c r="I140" s="300" t="s">
        <v>449</v>
      </c>
    </row>
    <row r="141" spans="2:9" ht="14.5">
      <c r="B141" s="300" t="s">
        <v>926</v>
      </c>
      <c r="C141" s="300" t="s">
        <v>1371</v>
      </c>
      <c r="D141" s="300" t="s">
        <v>1372</v>
      </c>
      <c r="E141" s="300" t="s">
        <v>928</v>
      </c>
      <c r="F141" s="378" t="s">
        <v>5106</v>
      </c>
      <c r="G141" s="300" t="s">
        <v>1373</v>
      </c>
      <c r="H141" s="300" t="s">
        <v>1374</v>
      </c>
      <c r="I141" s="300" t="s">
        <v>449</v>
      </c>
    </row>
    <row r="142" spans="2:9" ht="14.5">
      <c r="B142" s="300" t="s">
        <v>926</v>
      </c>
      <c r="C142" s="300" t="s">
        <v>1375</v>
      </c>
      <c r="D142" s="300" t="s">
        <v>1376</v>
      </c>
      <c r="E142" s="300" t="s">
        <v>928</v>
      </c>
      <c r="F142" s="378" t="s">
        <v>5107</v>
      </c>
      <c r="G142" s="300" t="s">
        <v>1377</v>
      </c>
      <c r="H142" s="300" t="s">
        <v>1374</v>
      </c>
      <c r="I142" s="300" t="s">
        <v>449</v>
      </c>
    </row>
    <row r="143" spans="2:9" ht="14.5">
      <c r="B143" s="300" t="s">
        <v>926</v>
      </c>
      <c r="C143" s="300" t="s">
        <v>1378</v>
      </c>
      <c r="D143" s="300" t="s">
        <v>1379</v>
      </c>
      <c r="E143" s="300" t="s">
        <v>928</v>
      </c>
      <c r="F143" s="300" t="s">
        <v>1380</v>
      </c>
      <c r="G143" s="300" t="s">
        <v>1381</v>
      </c>
      <c r="H143" s="300" t="s">
        <v>1374</v>
      </c>
      <c r="I143" s="300" t="s">
        <v>449</v>
      </c>
    </row>
    <row r="144" spans="2:9" ht="14.5">
      <c r="B144" s="300" t="s">
        <v>926</v>
      </c>
      <c r="C144" s="300" t="s">
        <v>1382</v>
      </c>
      <c r="D144" s="300" t="s">
        <v>1383</v>
      </c>
      <c r="E144" s="300" t="s">
        <v>928</v>
      </c>
      <c r="F144" s="378" t="s">
        <v>5107</v>
      </c>
      <c r="G144" s="300" t="s">
        <v>1377</v>
      </c>
      <c r="H144" s="300" t="s">
        <v>1374</v>
      </c>
      <c r="I144" s="300" t="s">
        <v>449</v>
      </c>
    </row>
    <row r="145" spans="2:9" ht="14.5">
      <c r="B145" s="300" t="s">
        <v>926</v>
      </c>
      <c r="C145" s="300" t="s">
        <v>1384</v>
      </c>
      <c r="D145" s="300" t="s">
        <v>1385</v>
      </c>
      <c r="E145" s="300" t="s">
        <v>928</v>
      </c>
      <c r="F145" s="300" t="s">
        <v>1386</v>
      </c>
      <c r="G145" s="300" t="s">
        <v>1387</v>
      </c>
      <c r="H145" s="300" t="s">
        <v>1374</v>
      </c>
      <c r="I145" s="300" t="s">
        <v>449</v>
      </c>
    </row>
    <row r="146" spans="2:9" ht="14.5">
      <c r="B146" s="300" t="s">
        <v>926</v>
      </c>
      <c r="C146" s="300" t="s">
        <v>1388</v>
      </c>
      <c r="D146" s="300" t="s">
        <v>1389</v>
      </c>
      <c r="E146" s="300" t="s">
        <v>928</v>
      </c>
      <c r="F146" s="378" t="s">
        <v>5107</v>
      </c>
      <c r="G146" s="300" t="s">
        <v>1377</v>
      </c>
      <c r="H146" s="300" t="s">
        <v>1374</v>
      </c>
      <c r="I146" s="300" t="s">
        <v>449</v>
      </c>
    </row>
    <row r="147" spans="2:9" ht="14.5">
      <c r="B147" s="300" t="s">
        <v>926</v>
      </c>
      <c r="C147" s="300" t="s">
        <v>1390</v>
      </c>
      <c r="D147" s="300" t="s">
        <v>1391</v>
      </c>
      <c r="E147" s="300" t="s">
        <v>928</v>
      </c>
      <c r="F147" s="300" t="s">
        <v>1392</v>
      </c>
      <c r="G147" s="300" t="s">
        <v>1393</v>
      </c>
      <c r="H147" s="300" t="s">
        <v>1374</v>
      </c>
      <c r="I147" s="300" t="s">
        <v>449</v>
      </c>
    </row>
    <row r="148" spans="2:9" ht="14.5">
      <c r="B148" s="300" t="s">
        <v>926</v>
      </c>
      <c r="C148" s="300" t="s">
        <v>1394</v>
      </c>
      <c r="D148" s="300" t="s">
        <v>1395</v>
      </c>
      <c r="E148" s="300" t="s">
        <v>928</v>
      </c>
      <c r="F148" s="378" t="s">
        <v>5106</v>
      </c>
      <c r="G148" s="300" t="s">
        <v>1373</v>
      </c>
      <c r="H148" s="300" t="s">
        <v>1374</v>
      </c>
      <c r="I148" s="300" t="s">
        <v>449</v>
      </c>
    </row>
    <row r="149" spans="2:9" ht="14.5">
      <c r="B149" s="300" t="s">
        <v>926</v>
      </c>
      <c r="C149" s="300" t="s">
        <v>1396</v>
      </c>
      <c r="D149" s="300" t="s">
        <v>1397</v>
      </c>
      <c r="E149" s="300" t="s">
        <v>928</v>
      </c>
      <c r="F149" s="378" t="s">
        <v>2110</v>
      </c>
      <c r="G149" s="300" t="s">
        <v>1398</v>
      </c>
      <c r="H149" s="300" t="s">
        <v>1374</v>
      </c>
      <c r="I149" s="300" t="s">
        <v>449</v>
      </c>
    </row>
    <row r="150" spans="2:9" ht="14.5">
      <c r="B150" s="300" t="s">
        <v>926</v>
      </c>
      <c r="C150" s="300" t="s">
        <v>1399</v>
      </c>
      <c r="D150" s="300" t="s">
        <v>1400</v>
      </c>
      <c r="E150" s="300" t="s">
        <v>928</v>
      </c>
      <c r="F150" s="300" t="s">
        <v>1401</v>
      </c>
      <c r="G150" s="300" t="s">
        <v>1402</v>
      </c>
      <c r="H150" s="300" t="s">
        <v>1374</v>
      </c>
      <c r="I150" s="300" t="s">
        <v>449</v>
      </c>
    </row>
    <row r="151" spans="2:9" ht="14.5">
      <c r="B151" s="300" t="s">
        <v>926</v>
      </c>
      <c r="C151" s="300" t="s">
        <v>1403</v>
      </c>
      <c r="D151" s="300" t="s">
        <v>1404</v>
      </c>
      <c r="E151" s="300" t="s">
        <v>928</v>
      </c>
      <c r="F151" s="378" t="s">
        <v>2110</v>
      </c>
      <c r="G151" s="300" t="s">
        <v>1398</v>
      </c>
      <c r="H151" s="300" t="s">
        <v>1374</v>
      </c>
      <c r="I151" s="300" t="s">
        <v>449</v>
      </c>
    </row>
    <row r="152" spans="2:9" ht="14.5">
      <c r="B152" s="300" t="s">
        <v>926</v>
      </c>
      <c r="C152" s="300" t="s">
        <v>1405</v>
      </c>
      <c r="D152" s="300" t="s">
        <v>1406</v>
      </c>
      <c r="E152" s="300" t="s">
        <v>928</v>
      </c>
      <c r="F152" s="300" t="s">
        <v>1407</v>
      </c>
      <c r="G152" s="300" t="s">
        <v>1408</v>
      </c>
      <c r="H152" s="300" t="s">
        <v>1374</v>
      </c>
      <c r="I152" s="300" t="s">
        <v>449</v>
      </c>
    </row>
    <row r="153" spans="2:9" ht="14.5">
      <c r="B153" s="300" t="s">
        <v>926</v>
      </c>
      <c r="C153" s="300" t="s">
        <v>1409</v>
      </c>
      <c r="D153" s="300" t="s">
        <v>1410</v>
      </c>
      <c r="E153" s="300" t="s">
        <v>928</v>
      </c>
      <c r="F153" s="378" t="s">
        <v>2110</v>
      </c>
      <c r="G153" s="300" t="s">
        <v>1398</v>
      </c>
      <c r="H153" s="300" t="s">
        <v>1374</v>
      </c>
      <c r="I153" s="300" t="s">
        <v>449</v>
      </c>
    </row>
    <row r="154" spans="2:9" ht="14.5">
      <c r="B154" s="300" t="s">
        <v>926</v>
      </c>
      <c r="C154" s="300" t="s">
        <v>1411</v>
      </c>
      <c r="D154" s="300" t="s">
        <v>1412</v>
      </c>
      <c r="E154" s="300" t="s">
        <v>928</v>
      </c>
      <c r="F154" s="300" t="s">
        <v>1413</v>
      </c>
      <c r="G154" s="300" t="s">
        <v>1414</v>
      </c>
      <c r="H154" s="300" t="s">
        <v>1374</v>
      </c>
      <c r="I154" s="300" t="s">
        <v>449</v>
      </c>
    </row>
    <row r="155" spans="2:9" ht="14.5">
      <c r="B155" s="300" t="s">
        <v>926</v>
      </c>
      <c r="C155" s="300" t="s">
        <v>1415</v>
      </c>
      <c r="D155" s="300" t="s">
        <v>1416</v>
      </c>
      <c r="E155" s="300" t="s">
        <v>928</v>
      </c>
      <c r="F155" s="378" t="s">
        <v>2110</v>
      </c>
      <c r="G155" s="300" t="s">
        <v>1398</v>
      </c>
      <c r="H155" s="300" t="s">
        <v>1374</v>
      </c>
      <c r="I155" s="300" t="s">
        <v>449</v>
      </c>
    </row>
    <row r="156" spans="2:9" ht="14.5">
      <c r="B156" s="300" t="s">
        <v>926</v>
      </c>
      <c r="C156" s="300" t="s">
        <v>1417</v>
      </c>
      <c r="D156" s="300" t="s">
        <v>1418</v>
      </c>
      <c r="E156" s="300" t="s">
        <v>928</v>
      </c>
      <c r="F156" s="300" t="s">
        <v>1419</v>
      </c>
      <c r="G156" s="300" t="s">
        <v>1420</v>
      </c>
      <c r="H156" s="300" t="s">
        <v>1374</v>
      </c>
      <c r="I156" s="300" t="s">
        <v>449</v>
      </c>
    </row>
    <row r="157" spans="2:9" ht="14.5">
      <c r="B157" s="300" t="s">
        <v>926</v>
      </c>
      <c r="C157" s="300" t="s">
        <v>1421</v>
      </c>
      <c r="D157" s="300" t="s">
        <v>1422</v>
      </c>
      <c r="E157" s="300" t="s">
        <v>928</v>
      </c>
      <c r="F157" s="378" t="s">
        <v>2110</v>
      </c>
      <c r="G157" s="300" t="s">
        <v>1398</v>
      </c>
      <c r="H157" s="300" t="s">
        <v>1374</v>
      </c>
      <c r="I157" s="300" t="s">
        <v>449</v>
      </c>
    </row>
    <row r="158" spans="2:9" ht="14.5">
      <c r="B158" s="300" t="s">
        <v>926</v>
      </c>
      <c r="C158" s="300" t="s">
        <v>1423</v>
      </c>
      <c r="D158" s="300" t="s">
        <v>1424</v>
      </c>
      <c r="E158" s="300" t="s">
        <v>928</v>
      </c>
      <c r="F158" s="300" t="s">
        <v>1419</v>
      </c>
      <c r="G158" s="300" t="s">
        <v>1420</v>
      </c>
      <c r="H158" s="300" t="s">
        <v>1374</v>
      </c>
      <c r="I158" s="300" t="s">
        <v>449</v>
      </c>
    </row>
    <row r="159" spans="2:9" ht="14.5">
      <c r="B159" s="300" t="s">
        <v>926</v>
      </c>
      <c r="C159" s="300" t="s">
        <v>1425</v>
      </c>
      <c r="D159" s="300" t="s">
        <v>1426</v>
      </c>
      <c r="E159" s="300" t="s">
        <v>928</v>
      </c>
      <c r="F159" s="378" t="s">
        <v>2110</v>
      </c>
      <c r="G159" s="300" t="s">
        <v>1398</v>
      </c>
      <c r="H159" s="300" t="s">
        <v>1374</v>
      </c>
      <c r="I159" s="300" t="s">
        <v>449</v>
      </c>
    </row>
    <row r="160" spans="2:9" ht="14.5">
      <c r="B160" s="300" t="s">
        <v>926</v>
      </c>
      <c r="C160" s="300" t="s">
        <v>1427</v>
      </c>
      <c r="D160" s="300" t="s">
        <v>1428</v>
      </c>
      <c r="E160" s="300" t="s">
        <v>928</v>
      </c>
      <c r="F160" s="300" t="s">
        <v>1419</v>
      </c>
      <c r="G160" s="300" t="s">
        <v>1420</v>
      </c>
      <c r="H160" s="300" t="s">
        <v>1374</v>
      </c>
      <c r="I160" s="300" t="s">
        <v>449</v>
      </c>
    </row>
    <row r="161" spans="2:9" ht="14.5">
      <c r="B161" s="300" t="s">
        <v>926</v>
      </c>
      <c r="C161" s="300" t="s">
        <v>1429</v>
      </c>
      <c r="D161" s="300" t="s">
        <v>1430</v>
      </c>
      <c r="E161" s="300" t="s">
        <v>928</v>
      </c>
      <c r="F161" s="378" t="s">
        <v>2110</v>
      </c>
      <c r="G161" s="300" t="s">
        <v>1398</v>
      </c>
      <c r="H161" s="300" t="s">
        <v>1374</v>
      </c>
      <c r="I161" s="300" t="s">
        <v>449</v>
      </c>
    </row>
    <row r="162" spans="2:9" ht="14.5">
      <c r="B162" s="300" t="s">
        <v>926</v>
      </c>
      <c r="C162" s="300" t="s">
        <v>1431</v>
      </c>
      <c r="D162" s="300" t="s">
        <v>1432</v>
      </c>
      <c r="E162" s="300" t="s">
        <v>928</v>
      </c>
      <c r="F162" s="300" t="s">
        <v>1433</v>
      </c>
      <c r="G162" s="300" t="s">
        <v>1434</v>
      </c>
      <c r="H162" s="300" t="s">
        <v>1374</v>
      </c>
      <c r="I162" s="300" t="s">
        <v>449</v>
      </c>
    </row>
    <row r="163" spans="2:9" ht="14.5">
      <c r="B163" s="300" t="s">
        <v>926</v>
      </c>
      <c r="C163" s="300" t="s">
        <v>1435</v>
      </c>
      <c r="D163" s="300" t="s">
        <v>1436</v>
      </c>
      <c r="E163" s="300" t="s">
        <v>928</v>
      </c>
      <c r="F163" s="300" t="s">
        <v>1419</v>
      </c>
      <c r="G163" s="300" t="s">
        <v>1420</v>
      </c>
      <c r="H163" s="300" t="s">
        <v>1374</v>
      </c>
      <c r="I163" s="300" t="s">
        <v>449</v>
      </c>
    </row>
    <row r="164" spans="2:9" ht="14.5">
      <c r="B164" s="300" t="s">
        <v>926</v>
      </c>
      <c r="C164" s="300" t="s">
        <v>1437</v>
      </c>
      <c r="D164" s="300" t="s">
        <v>1438</v>
      </c>
      <c r="E164" s="300" t="s">
        <v>928</v>
      </c>
      <c r="F164" s="300" t="s">
        <v>1439</v>
      </c>
      <c r="G164" s="300" t="s">
        <v>1440</v>
      </c>
      <c r="H164" s="300" t="s">
        <v>1441</v>
      </c>
      <c r="I164" s="300" t="s">
        <v>449</v>
      </c>
    </row>
    <row r="165" spans="2:9" ht="14.5">
      <c r="B165" s="300" t="s">
        <v>926</v>
      </c>
      <c r="C165" s="300" t="s">
        <v>1442</v>
      </c>
      <c r="D165" s="300" t="s">
        <v>1443</v>
      </c>
      <c r="E165" s="300" t="s">
        <v>928</v>
      </c>
      <c r="F165" s="300" t="s">
        <v>1439</v>
      </c>
      <c r="G165" s="300" t="s">
        <v>1440</v>
      </c>
      <c r="H165" s="300" t="s">
        <v>1441</v>
      </c>
      <c r="I165" s="300" t="s">
        <v>449</v>
      </c>
    </row>
    <row r="166" spans="2:9" ht="14.5">
      <c r="B166" s="300" t="s">
        <v>926</v>
      </c>
      <c r="C166" s="300" t="s">
        <v>1444</v>
      </c>
      <c r="D166" s="300" t="s">
        <v>1445</v>
      </c>
      <c r="E166" s="300" t="s">
        <v>928</v>
      </c>
      <c r="F166" s="300" t="s">
        <v>1446</v>
      </c>
      <c r="G166" s="300" t="s">
        <v>1447</v>
      </c>
      <c r="H166" s="300" t="s">
        <v>1441</v>
      </c>
      <c r="I166" s="300" t="s">
        <v>449</v>
      </c>
    </row>
    <row r="167" spans="2:9" ht="14.5">
      <c r="B167" s="300" t="s">
        <v>926</v>
      </c>
      <c r="C167" s="300" t="s">
        <v>1448</v>
      </c>
      <c r="D167" s="300" t="s">
        <v>1449</v>
      </c>
      <c r="E167" s="300" t="s">
        <v>928</v>
      </c>
      <c r="F167" s="300" t="s">
        <v>1450</v>
      </c>
      <c r="G167" s="300" t="s">
        <v>1451</v>
      </c>
      <c r="H167" s="300" t="s">
        <v>1441</v>
      </c>
      <c r="I167" s="300" t="s">
        <v>449</v>
      </c>
    </row>
    <row r="168" spans="2:9" ht="14.5">
      <c r="B168" s="300" t="s">
        <v>926</v>
      </c>
      <c r="C168" s="300" t="s">
        <v>1452</v>
      </c>
      <c r="D168" s="300" t="s">
        <v>1453</v>
      </c>
      <c r="E168" s="300" t="s">
        <v>928</v>
      </c>
      <c r="F168" s="300" t="s">
        <v>1439</v>
      </c>
      <c r="G168" s="300" t="s">
        <v>1440</v>
      </c>
      <c r="H168" s="300" t="s">
        <v>1441</v>
      </c>
      <c r="I168" s="300" t="s">
        <v>449</v>
      </c>
    </row>
    <row r="169" spans="2:9" ht="14.5">
      <c r="B169" s="300" t="s">
        <v>926</v>
      </c>
      <c r="C169" s="300" t="s">
        <v>1454</v>
      </c>
      <c r="D169" s="300" t="s">
        <v>1455</v>
      </c>
      <c r="E169" s="300" t="s">
        <v>928</v>
      </c>
      <c r="F169" s="300" t="s">
        <v>1450</v>
      </c>
      <c r="G169" s="300" t="s">
        <v>1451</v>
      </c>
      <c r="H169" s="300" t="s">
        <v>1441</v>
      </c>
      <c r="I169" s="300" t="s">
        <v>449</v>
      </c>
    </row>
    <row r="170" spans="2:9" ht="14.5">
      <c r="B170" s="300" t="s">
        <v>926</v>
      </c>
      <c r="C170" s="300" t="s">
        <v>1456</v>
      </c>
      <c r="D170" s="300" t="s">
        <v>1457</v>
      </c>
      <c r="E170" s="300" t="s">
        <v>928</v>
      </c>
      <c r="F170" s="300" t="s">
        <v>1439</v>
      </c>
      <c r="G170" s="300" t="s">
        <v>1440</v>
      </c>
      <c r="H170" s="300" t="s">
        <v>1441</v>
      </c>
      <c r="I170" s="300" t="s">
        <v>449</v>
      </c>
    </row>
    <row r="171" spans="2:9" ht="14.5">
      <c r="B171" s="300" t="s">
        <v>926</v>
      </c>
      <c r="C171" s="300" t="s">
        <v>1458</v>
      </c>
      <c r="D171" s="300" t="s">
        <v>1459</v>
      </c>
      <c r="E171" s="300" t="s">
        <v>928</v>
      </c>
      <c r="F171" s="378" t="s">
        <v>5108</v>
      </c>
      <c r="G171" s="300" t="s">
        <v>1460</v>
      </c>
      <c r="H171" s="300" t="s">
        <v>1441</v>
      </c>
      <c r="I171" s="300" t="s">
        <v>449</v>
      </c>
    </row>
    <row r="172" spans="2:9" ht="14.5">
      <c r="B172" s="300" t="s">
        <v>926</v>
      </c>
      <c r="C172" s="300" t="s">
        <v>1461</v>
      </c>
      <c r="D172" s="300" t="s">
        <v>1462</v>
      </c>
      <c r="E172" s="300" t="s">
        <v>928</v>
      </c>
      <c r="F172" s="300" t="s">
        <v>1463</v>
      </c>
      <c r="G172" s="300" t="s">
        <v>1464</v>
      </c>
      <c r="H172" s="300" t="s">
        <v>1441</v>
      </c>
      <c r="I172" s="300" t="s">
        <v>449</v>
      </c>
    </row>
    <row r="173" spans="2:9" ht="14.5">
      <c r="B173" s="300" t="s">
        <v>926</v>
      </c>
      <c r="C173" s="300" t="s">
        <v>1465</v>
      </c>
      <c r="D173" s="300" t="s">
        <v>1466</v>
      </c>
      <c r="E173" s="300" t="s">
        <v>928</v>
      </c>
      <c r="F173" s="300" t="s">
        <v>1463</v>
      </c>
      <c r="G173" s="300" t="s">
        <v>1464</v>
      </c>
      <c r="H173" s="300" t="s">
        <v>1441</v>
      </c>
      <c r="I173" s="300" t="s">
        <v>449</v>
      </c>
    </row>
    <row r="174" spans="2:9" ht="14.5">
      <c r="B174" s="300" t="s">
        <v>926</v>
      </c>
      <c r="C174" s="300" t="s">
        <v>1467</v>
      </c>
      <c r="D174" s="300" t="s">
        <v>1468</v>
      </c>
      <c r="E174" s="300" t="s">
        <v>928</v>
      </c>
      <c r="F174" s="300" t="s">
        <v>1463</v>
      </c>
      <c r="G174" s="300" t="s">
        <v>1464</v>
      </c>
      <c r="H174" s="300" t="s">
        <v>1441</v>
      </c>
      <c r="I174" s="300" t="s">
        <v>449</v>
      </c>
    </row>
    <row r="175" spans="2:9" ht="14.5">
      <c r="B175" s="300" t="s">
        <v>926</v>
      </c>
      <c r="C175" s="300" t="s">
        <v>1469</v>
      </c>
      <c r="D175" s="300" t="s">
        <v>1470</v>
      </c>
      <c r="E175" s="300" t="s">
        <v>928</v>
      </c>
      <c r="F175" s="300" t="s">
        <v>1463</v>
      </c>
      <c r="G175" s="300" t="s">
        <v>1464</v>
      </c>
      <c r="H175" s="300" t="s">
        <v>1441</v>
      </c>
      <c r="I175" s="300" t="s">
        <v>449</v>
      </c>
    </row>
    <row r="176" spans="2:9" ht="14.5">
      <c r="B176" s="300" t="s">
        <v>926</v>
      </c>
      <c r="C176" s="300" t="s">
        <v>1471</v>
      </c>
      <c r="D176" s="300" t="s">
        <v>1472</v>
      </c>
      <c r="E176" s="300" t="s">
        <v>928</v>
      </c>
      <c r="F176" s="300" t="s">
        <v>1463</v>
      </c>
      <c r="G176" s="300" t="s">
        <v>1464</v>
      </c>
      <c r="H176" s="300" t="s">
        <v>1441</v>
      </c>
      <c r="I176" s="300" t="s">
        <v>449</v>
      </c>
    </row>
    <row r="177" spans="2:9" ht="14.5">
      <c r="B177" s="300" t="s">
        <v>926</v>
      </c>
      <c r="C177" s="300" t="s">
        <v>1473</v>
      </c>
      <c r="D177" s="300" t="s">
        <v>1474</v>
      </c>
      <c r="E177" s="300" t="s">
        <v>928</v>
      </c>
      <c r="F177" s="300" t="s">
        <v>1463</v>
      </c>
      <c r="G177" s="300" t="s">
        <v>1464</v>
      </c>
      <c r="H177" s="300" t="s">
        <v>1441</v>
      </c>
      <c r="I177" s="300" t="s">
        <v>449</v>
      </c>
    </row>
    <row r="178" spans="2:9" ht="14.5">
      <c r="B178" s="300" t="s">
        <v>926</v>
      </c>
      <c r="C178" s="300" t="s">
        <v>1475</v>
      </c>
      <c r="D178" s="300" t="s">
        <v>1476</v>
      </c>
      <c r="E178" s="300" t="s">
        <v>928</v>
      </c>
      <c r="F178" s="300" t="s">
        <v>1463</v>
      </c>
      <c r="G178" s="300" t="s">
        <v>1464</v>
      </c>
      <c r="H178" s="300" t="s">
        <v>1441</v>
      </c>
      <c r="I178" s="300" t="s">
        <v>449</v>
      </c>
    </row>
    <row r="179" spans="2:9" ht="14.5">
      <c r="B179" s="300" t="s">
        <v>926</v>
      </c>
      <c r="C179" s="300" t="s">
        <v>1477</v>
      </c>
      <c r="D179" s="300" t="s">
        <v>1478</v>
      </c>
      <c r="E179" s="300" t="s">
        <v>928</v>
      </c>
      <c r="F179" s="378" t="s">
        <v>5109</v>
      </c>
      <c r="G179" s="300" t="s">
        <v>1479</v>
      </c>
      <c r="H179" s="300" t="s">
        <v>1441</v>
      </c>
      <c r="I179" s="300" t="s">
        <v>449</v>
      </c>
    </row>
    <row r="180" spans="2:9" ht="14.5">
      <c r="B180" s="300" t="s">
        <v>926</v>
      </c>
      <c r="C180" s="300" t="s">
        <v>1480</v>
      </c>
      <c r="D180" s="300" t="s">
        <v>1481</v>
      </c>
      <c r="E180" s="300" t="s">
        <v>928</v>
      </c>
      <c r="F180" s="300" t="s">
        <v>1482</v>
      </c>
      <c r="G180" s="300" t="s">
        <v>1483</v>
      </c>
      <c r="H180" s="300" t="s">
        <v>1441</v>
      </c>
      <c r="I180" s="300" t="s">
        <v>449</v>
      </c>
    </row>
    <row r="181" spans="2:9" ht="14.5">
      <c r="B181" s="300" t="s">
        <v>926</v>
      </c>
      <c r="C181" s="300" t="s">
        <v>1484</v>
      </c>
      <c r="D181" s="300" t="s">
        <v>1485</v>
      </c>
      <c r="E181" s="300" t="s">
        <v>928</v>
      </c>
      <c r="F181" s="378" t="s">
        <v>5110</v>
      </c>
      <c r="G181" s="300" t="s">
        <v>1486</v>
      </c>
      <c r="H181" s="300" t="s">
        <v>1441</v>
      </c>
      <c r="I181" s="300" t="s">
        <v>449</v>
      </c>
    </row>
    <row r="182" spans="2:9" ht="14.5">
      <c r="B182" s="300" t="s">
        <v>926</v>
      </c>
      <c r="C182" s="300" t="s">
        <v>1487</v>
      </c>
      <c r="D182" s="300" t="s">
        <v>1488</v>
      </c>
      <c r="E182" s="300" t="s">
        <v>928</v>
      </c>
      <c r="F182" s="378" t="s">
        <v>2222</v>
      </c>
      <c r="G182" s="300" t="s">
        <v>1489</v>
      </c>
      <c r="H182" s="300" t="s">
        <v>1490</v>
      </c>
      <c r="I182" s="300" t="s">
        <v>449</v>
      </c>
    </row>
    <row r="183" spans="2:9" ht="14.5">
      <c r="B183" s="300" t="s">
        <v>926</v>
      </c>
      <c r="C183" s="300" t="s">
        <v>1491</v>
      </c>
      <c r="D183" s="300" t="s">
        <v>1492</v>
      </c>
      <c r="E183" s="300" t="s">
        <v>928</v>
      </c>
      <c r="F183" s="300" t="s">
        <v>1493</v>
      </c>
      <c r="G183" s="300" t="s">
        <v>1494</v>
      </c>
      <c r="H183" s="300" t="s">
        <v>1490</v>
      </c>
      <c r="I183" s="300" t="s">
        <v>449</v>
      </c>
    </row>
    <row r="184" spans="2:9" ht="14.5">
      <c r="B184" s="300" t="s">
        <v>926</v>
      </c>
      <c r="C184" s="300" t="s">
        <v>1495</v>
      </c>
      <c r="D184" s="300" t="s">
        <v>1496</v>
      </c>
      <c r="E184" s="300" t="s">
        <v>928</v>
      </c>
      <c r="F184" s="378" t="s">
        <v>5111</v>
      </c>
      <c r="G184" s="300" t="s">
        <v>1497</v>
      </c>
      <c r="H184" s="300" t="s">
        <v>1441</v>
      </c>
      <c r="I184" s="300" t="s">
        <v>449</v>
      </c>
    </row>
    <row r="185" spans="2:9" ht="14.5">
      <c r="B185" s="300" t="s">
        <v>926</v>
      </c>
      <c r="C185" s="300" t="s">
        <v>1498</v>
      </c>
      <c r="D185" s="300" t="s">
        <v>1499</v>
      </c>
      <c r="E185" s="300" t="s">
        <v>928</v>
      </c>
      <c r="F185" s="300" t="s">
        <v>1500</v>
      </c>
      <c r="G185" s="300" t="s">
        <v>1501</v>
      </c>
      <c r="H185" s="300" t="s">
        <v>1441</v>
      </c>
      <c r="I185" s="300" t="s">
        <v>449</v>
      </c>
    </row>
    <row r="186" spans="2:9" ht="14.5">
      <c r="B186" s="300" t="s">
        <v>926</v>
      </c>
      <c r="C186" s="300" t="s">
        <v>1502</v>
      </c>
      <c r="D186" s="300" t="s">
        <v>1503</v>
      </c>
      <c r="E186" s="300" t="s">
        <v>928</v>
      </c>
      <c r="F186" s="378" t="s">
        <v>5112</v>
      </c>
      <c r="G186" s="300" t="s">
        <v>1504</v>
      </c>
      <c r="H186" s="300" t="s">
        <v>1441</v>
      </c>
      <c r="I186" s="300" t="s">
        <v>449</v>
      </c>
    </row>
    <row r="187" spans="2:9" ht="14.5">
      <c r="B187" s="300" t="s">
        <v>926</v>
      </c>
      <c r="C187" s="300" t="s">
        <v>1505</v>
      </c>
      <c r="D187" s="300" t="s">
        <v>1506</v>
      </c>
      <c r="E187" s="300" t="s">
        <v>928</v>
      </c>
      <c r="F187" s="300" t="s">
        <v>1507</v>
      </c>
      <c r="G187" s="300" t="s">
        <v>1508</v>
      </c>
      <c r="H187" s="300" t="s">
        <v>1441</v>
      </c>
      <c r="I187" s="300" t="s">
        <v>449</v>
      </c>
    </row>
    <row r="188" spans="2:9" ht="14.5">
      <c r="B188" s="300" t="s">
        <v>926</v>
      </c>
      <c r="C188" s="300" t="s">
        <v>1509</v>
      </c>
      <c r="D188" s="300" t="s">
        <v>1510</v>
      </c>
      <c r="E188" s="300" t="s">
        <v>928</v>
      </c>
      <c r="F188" s="300" t="s">
        <v>1511</v>
      </c>
      <c r="G188" s="300" t="s">
        <v>1512</v>
      </c>
      <c r="H188" s="300" t="s">
        <v>1441</v>
      </c>
      <c r="I188" s="300" t="s">
        <v>449</v>
      </c>
    </row>
    <row r="189" spans="2:9" ht="14.5">
      <c r="B189" s="300" t="s">
        <v>926</v>
      </c>
      <c r="C189" s="300" t="s">
        <v>1513</v>
      </c>
      <c r="D189" s="300" t="s">
        <v>1514</v>
      </c>
      <c r="E189" s="300" t="s">
        <v>928</v>
      </c>
      <c r="F189" s="378" t="s">
        <v>5112</v>
      </c>
      <c r="G189" s="300" t="s">
        <v>1504</v>
      </c>
      <c r="H189" s="300" t="s">
        <v>1441</v>
      </c>
      <c r="I189" s="300" t="s">
        <v>449</v>
      </c>
    </row>
    <row r="190" spans="2:9" ht="14.5">
      <c r="B190" s="300" t="s">
        <v>926</v>
      </c>
      <c r="C190" s="300" t="s">
        <v>1515</v>
      </c>
      <c r="D190" s="300" t="s">
        <v>1516</v>
      </c>
      <c r="E190" s="300" t="s">
        <v>928</v>
      </c>
      <c r="F190" s="300" t="s">
        <v>1517</v>
      </c>
      <c r="G190" s="300" t="s">
        <v>1518</v>
      </c>
      <c r="H190" s="300" t="s">
        <v>1441</v>
      </c>
      <c r="I190" s="300" t="s">
        <v>449</v>
      </c>
    </row>
    <row r="191" spans="2:9" ht="14.5">
      <c r="B191" s="300" t="s">
        <v>926</v>
      </c>
      <c r="C191" s="300" t="s">
        <v>1519</v>
      </c>
      <c r="D191" s="300" t="s">
        <v>1520</v>
      </c>
      <c r="E191" s="300" t="s">
        <v>928</v>
      </c>
      <c r="F191" s="300" t="s">
        <v>1482</v>
      </c>
      <c r="G191" s="300" t="s">
        <v>1483</v>
      </c>
      <c r="H191" s="300" t="s">
        <v>1441</v>
      </c>
      <c r="I191" s="300" t="s">
        <v>449</v>
      </c>
    </row>
    <row r="192" spans="2:9" ht="14.5">
      <c r="B192" s="300" t="s">
        <v>926</v>
      </c>
      <c r="C192" s="300" t="s">
        <v>1521</v>
      </c>
      <c r="D192" s="300" t="s">
        <v>1522</v>
      </c>
      <c r="E192" s="300" t="s">
        <v>928</v>
      </c>
      <c r="F192" s="300" t="s">
        <v>1523</v>
      </c>
      <c r="G192" s="300" t="s">
        <v>1524</v>
      </c>
      <c r="H192" s="300" t="s">
        <v>1441</v>
      </c>
      <c r="I192" s="300" t="s">
        <v>449</v>
      </c>
    </row>
    <row r="193" spans="2:9" ht="14.5">
      <c r="B193" s="300" t="s">
        <v>926</v>
      </c>
      <c r="C193" s="300" t="s">
        <v>1525</v>
      </c>
      <c r="D193" s="300" t="s">
        <v>1526</v>
      </c>
      <c r="E193" s="300" t="s">
        <v>928</v>
      </c>
      <c r="F193" s="300" t="s">
        <v>1511</v>
      </c>
      <c r="G193" s="300" t="s">
        <v>1512</v>
      </c>
      <c r="H193" s="300" t="s">
        <v>1441</v>
      </c>
      <c r="I193" s="300" t="s">
        <v>449</v>
      </c>
    </row>
    <row r="194" spans="2:9" ht="14.5">
      <c r="B194" s="300" t="s">
        <v>926</v>
      </c>
      <c r="C194" s="300" t="s">
        <v>1527</v>
      </c>
      <c r="D194" s="300" t="s">
        <v>1528</v>
      </c>
      <c r="E194" s="300" t="s">
        <v>928</v>
      </c>
      <c r="F194" s="300" t="s">
        <v>1511</v>
      </c>
      <c r="G194" s="300" t="s">
        <v>1512</v>
      </c>
      <c r="H194" s="300" t="s">
        <v>1441</v>
      </c>
      <c r="I194" s="300" t="s">
        <v>449</v>
      </c>
    </row>
    <row r="195" spans="2:9" ht="14.5">
      <c r="B195" s="300" t="s">
        <v>926</v>
      </c>
      <c r="C195" s="300" t="s">
        <v>1529</v>
      </c>
      <c r="D195" s="300" t="s">
        <v>1530</v>
      </c>
      <c r="E195" s="300" t="s">
        <v>928</v>
      </c>
      <c r="F195" s="300" t="s">
        <v>1463</v>
      </c>
      <c r="G195" s="300" t="s">
        <v>1464</v>
      </c>
      <c r="H195" s="300" t="s">
        <v>1441</v>
      </c>
      <c r="I195" s="300" t="s">
        <v>449</v>
      </c>
    </row>
    <row r="196" spans="2:9" ht="14.5">
      <c r="B196" s="300" t="s">
        <v>926</v>
      </c>
      <c r="C196" s="300" t="s">
        <v>1531</v>
      </c>
      <c r="D196" s="300" t="s">
        <v>1532</v>
      </c>
      <c r="E196" s="300" t="s">
        <v>928</v>
      </c>
      <c r="F196" s="300" t="s">
        <v>1511</v>
      </c>
      <c r="G196" s="300" t="s">
        <v>1512</v>
      </c>
      <c r="H196" s="300" t="s">
        <v>1441</v>
      </c>
      <c r="I196" s="300" t="s">
        <v>449</v>
      </c>
    </row>
    <row r="197" spans="2:9" ht="14.5">
      <c r="B197" s="300" t="s">
        <v>926</v>
      </c>
      <c r="C197" s="300" t="s">
        <v>1533</v>
      </c>
      <c r="D197" s="300" t="s">
        <v>1534</v>
      </c>
      <c r="E197" s="300" t="s">
        <v>928</v>
      </c>
      <c r="F197" s="378" t="s">
        <v>5113</v>
      </c>
      <c r="G197" s="300" t="s">
        <v>1535</v>
      </c>
      <c r="H197" s="300" t="s">
        <v>1441</v>
      </c>
      <c r="I197" s="300" t="s">
        <v>449</v>
      </c>
    </row>
    <row r="198" spans="2:9" ht="14.5">
      <c r="B198" s="300" t="s">
        <v>926</v>
      </c>
      <c r="C198" s="300" t="s">
        <v>1536</v>
      </c>
      <c r="D198" s="300" t="s">
        <v>1537</v>
      </c>
      <c r="E198" s="300" t="s">
        <v>928</v>
      </c>
      <c r="F198" s="378" t="s">
        <v>5114</v>
      </c>
      <c r="G198" s="300" t="s">
        <v>1538</v>
      </c>
      <c r="H198" s="300" t="s">
        <v>1441</v>
      </c>
      <c r="I198" s="300" t="s">
        <v>449</v>
      </c>
    </row>
    <row r="199" spans="2:9" ht="14.5">
      <c r="B199" s="300" t="s">
        <v>926</v>
      </c>
      <c r="C199" s="300" t="s">
        <v>1539</v>
      </c>
      <c r="D199" s="300" t="s">
        <v>1540</v>
      </c>
      <c r="E199" s="300" t="s">
        <v>928</v>
      </c>
      <c r="F199" s="300" t="s">
        <v>1541</v>
      </c>
      <c r="G199" s="300" t="s">
        <v>1542</v>
      </c>
      <c r="H199" s="300" t="s">
        <v>1441</v>
      </c>
      <c r="I199" s="300" t="s">
        <v>449</v>
      </c>
    </row>
    <row r="200" spans="2:9" ht="14.5">
      <c r="B200" s="300" t="s">
        <v>926</v>
      </c>
      <c r="C200" s="300" t="s">
        <v>1543</v>
      </c>
      <c r="D200" s="300" t="s">
        <v>1544</v>
      </c>
      <c r="E200" s="300" t="s">
        <v>928</v>
      </c>
      <c r="F200" s="300" t="s">
        <v>1541</v>
      </c>
      <c r="G200" s="300" t="s">
        <v>1542</v>
      </c>
      <c r="H200" s="300" t="s">
        <v>1441</v>
      </c>
      <c r="I200" s="300" t="s">
        <v>449</v>
      </c>
    </row>
    <row r="201" spans="2:9" ht="14.5">
      <c r="B201" s="300" t="s">
        <v>926</v>
      </c>
      <c r="C201" s="300" t="s">
        <v>1545</v>
      </c>
      <c r="D201" s="300" t="s">
        <v>1546</v>
      </c>
      <c r="E201" s="300" t="s">
        <v>928</v>
      </c>
      <c r="F201" s="300" t="s">
        <v>1541</v>
      </c>
      <c r="G201" s="300" t="s">
        <v>1542</v>
      </c>
      <c r="H201" s="300" t="s">
        <v>1441</v>
      </c>
      <c r="I201" s="300" t="s">
        <v>449</v>
      </c>
    </row>
    <row r="202" spans="2:9" ht="14.5">
      <c r="B202" s="300" t="s">
        <v>926</v>
      </c>
      <c r="C202" s="300" t="s">
        <v>1547</v>
      </c>
      <c r="D202" s="300" t="s">
        <v>1548</v>
      </c>
      <c r="E202" s="300" t="s">
        <v>928</v>
      </c>
      <c r="F202" s="300" t="s">
        <v>1541</v>
      </c>
      <c r="G202" s="300" t="s">
        <v>1542</v>
      </c>
      <c r="H202" s="300" t="s">
        <v>1441</v>
      </c>
      <c r="I202" s="300" t="s">
        <v>449</v>
      </c>
    </row>
    <row r="203" spans="2:9" ht="14.5">
      <c r="B203" s="300" t="s">
        <v>926</v>
      </c>
      <c r="C203" s="300" t="s">
        <v>1549</v>
      </c>
      <c r="D203" s="300" t="s">
        <v>1550</v>
      </c>
      <c r="E203" s="300" t="s">
        <v>928</v>
      </c>
      <c r="F203" s="300" t="s">
        <v>1551</v>
      </c>
      <c r="G203" s="300" t="s">
        <v>1552</v>
      </c>
      <c r="H203" s="300" t="s">
        <v>1441</v>
      </c>
      <c r="I203" s="300" t="s">
        <v>449</v>
      </c>
    </row>
    <row r="204" spans="2:9" ht="14.5">
      <c r="B204" s="300" t="s">
        <v>926</v>
      </c>
      <c r="C204" s="300" t="s">
        <v>1553</v>
      </c>
      <c r="D204" s="300" t="s">
        <v>1554</v>
      </c>
      <c r="E204" s="300" t="s">
        <v>928</v>
      </c>
      <c r="F204" s="378" t="s">
        <v>5114</v>
      </c>
      <c r="G204" s="300" t="s">
        <v>1538</v>
      </c>
      <c r="H204" s="300" t="s">
        <v>1441</v>
      </c>
      <c r="I204" s="300" t="s">
        <v>449</v>
      </c>
    </row>
    <row r="205" spans="2:9" ht="14.5">
      <c r="B205" s="300" t="s">
        <v>926</v>
      </c>
      <c r="C205" s="300" t="s">
        <v>1555</v>
      </c>
      <c r="D205" s="300" t="s">
        <v>1556</v>
      </c>
      <c r="E205" s="300" t="s">
        <v>928</v>
      </c>
      <c r="F205" s="300" t="s">
        <v>1557</v>
      </c>
      <c r="G205" s="300" t="s">
        <v>1558</v>
      </c>
      <c r="H205" s="300" t="s">
        <v>1441</v>
      </c>
      <c r="I205" s="300" t="s">
        <v>449</v>
      </c>
    </row>
    <row r="206" spans="2:9" ht="14.5">
      <c r="B206" s="300" t="s">
        <v>926</v>
      </c>
      <c r="C206" s="300" t="s">
        <v>1559</v>
      </c>
      <c r="D206" s="300" t="s">
        <v>1560</v>
      </c>
      <c r="E206" s="300" t="s">
        <v>928</v>
      </c>
      <c r="F206" s="300" t="s">
        <v>1557</v>
      </c>
      <c r="G206" s="300" t="s">
        <v>1558</v>
      </c>
      <c r="H206" s="300" t="s">
        <v>1441</v>
      </c>
      <c r="I206" s="300" t="s">
        <v>449</v>
      </c>
    </row>
    <row r="207" spans="2:9" ht="14.5">
      <c r="B207" s="300" t="s">
        <v>926</v>
      </c>
      <c r="C207" s="300" t="s">
        <v>1561</v>
      </c>
      <c r="D207" s="300" t="s">
        <v>1562</v>
      </c>
      <c r="E207" s="300" t="s">
        <v>928</v>
      </c>
      <c r="F207" s="300" t="s">
        <v>1557</v>
      </c>
      <c r="G207" s="300" t="s">
        <v>1558</v>
      </c>
      <c r="H207" s="300" t="s">
        <v>1441</v>
      </c>
      <c r="I207" s="300" t="s">
        <v>449</v>
      </c>
    </row>
    <row r="208" spans="2:9" ht="14.5">
      <c r="B208" s="300" t="s">
        <v>926</v>
      </c>
      <c r="C208" s="300" t="s">
        <v>1563</v>
      </c>
      <c r="D208" s="300" t="s">
        <v>1564</v>
      </c>
      <c r="E208" s="300" t="s">
        <v>928</v>
      </c>
      <c r="F208" s="300" t="s">
        <v>1557</v>
      </c>
      <c r="G208" s="300" t="s">
        <v>1558</v>
      </c>
      <c r="H208" s="300" t="s">
        <v>1441</v>
      </c>
      <c r="I208" s="300" t="s">
        <v>449</v>
      </c>
    </row>
    <row r="209" spans="2:9" ht="14.5">
      <c r="B209" s="300" t="s">
        <v>926</v>
      </c>
      <c r="C209" s="300" t="s">
        <v>1565</v>
      </c>
      <c r="D209" s="300" t="s">
        <v>1566</v>
      </c>
      <c r="E209" s="300" t="s">
        <v>928</v>
      </c>
      <c r="F209" s="300" t="s">
        <v>1551</v>
      </c>
      <c r="G209" s="300" t="s">
        <v>1552</v>
      </c>
      <c r="H209" s="300" t="s">
        <v>1441</v>
      </c>
      <c r="I209" s="300" t="s">
        <v>449</v>
      </c>
    </row>
    <row r="210" spans="2:9" ht="14.5">
      <c r="B210" s="300" t="s">
        <v>926</v>
      </c>
      <c r="C210" s="300" t="s">
        <v>1567</v>
      </c>
      <c r="D210" s="300" t="s">
        <v>1568</v>
      </c>
      <c r="E210" s="300" t="s">
        <v>928</v>
      </c>
      <c r="F210" s="300" t="s">
        <v>1551</v>
      </c>
      <c r="G210" s="300" t="s">
        <v>1552</v>
      </c>
      <c r="H210" s="300" t="s">
        <v>1441</v>
      </c>
      <c r="I210" s="300" t="s">
        <v>449</v>
      </c>
    </row>
    <row r="211" spans="2:9" ht="14.5">
      <c r="B211" s="300" t="s">
        <v>926</v>
      </c>
      <c r="C211" s="300" t="s">
        <v>1569</v>
      </c>
      <c r="D211" s="300" t="s">
        <v>1570</v>
      </c>
      <c r="E211" s="300" t="s">
        <v>928</v>
      </c>
      <c r="F211" s="378" t="s">
        <v>5114</v>
      </c>
      <c r="G211" s="300" t="s">
        <v>1538</v>
      </c>
      <c r="H211" s="300" t="s">
        <v>1441</v>
      </c>
      <c r="I211" s="300" t="s">
        <v>449</v>
      </c>
    </row>
    <row r="212" spans="2:9" ht="14.5">
      <c r="B212" s="300" t="s">
        <v>926</v>
      </c>
      <c r="C212" s="300" t="s">
        <v>1571</v>
      </c>
      <c r="D212" s="300" t="s">
        <v>1572</v>
      </c>
      <c r="E212" s="300" t="s">
        <v>928</v>
      </c>
      <c r="F212" s="300" t="s">
        <v>1573</v>
      </c>
      <c r="G212" s="300" t="s">
        <v>1574</v>
      </c>
      <c r="H212" s="300" t="s">
        <v>1441</v>
      </c>
      <c r="I212" s="300" t="s">
        <v>449</v>
      </c>
    </row>
    <row r="213" spans="2:9" ht="14.5">
      <c r="B213" s="300" t="s">
        <v>926</v>
      </c>
      <c r="C213" s="300" t="s">
        <v>1575</v>
      </c>
      <c r="D213" s="300" t="s">
        <v>1576</v>
      </c>
      <c r="E213" s="300" t="s">
        <v>928</v>
      </c>
      <c r="F213" s="300" t="s">
        <v>1573</v>
      </c>
      <c r="G213" s="300" t="s">
        <v>1574</v>
      </c>
      <c r="H213" s="300" t="s">
        <v>1441</v>
      </c>
      <c r="I213" s="300" t="s">
        <v>449</v>
      </c>
    </row>
    <row r="214" spans="2:9" ht="14.5">
      <c r="B214" s="300" t="s">
        <v>926</v>
      </c>
      <c r="C214" s="300" t="s">
        <v>1577</v>
      </c>
      <c r="D214" s="300" t="s">
        <v>1578</v>
      </c>
      <c r="E214" s="300" t="s">
        <v>928</v>
      </c>
      <c r="F214" s="300" t="s">
        <v>1573</v>
      </c>
      <c r="G214" s="300" t="s">
        <v>1574</v>
      </c>
      <c r="H214" s="300" t="s">
        <v>1441</v>
      </c>
      <c r="I214" s="300" t="s">
        <v>449</v>
      </c>
    </row>
    <row r="215" spans="2:9" ht="14.5">
      <c r="B215" s="300" t="s">
        <v>926</v>
      </c>
      <c r="C215" s="300" t="s">
        <v>1579</v>
      </c>
      <c r="D215" s="300" t="s">
        <v>1580</v>
      </c>
      <c r="E215" s="300" t="s">
        <v>928</v>
      </c>
      <c r="F215" s="300" t="s">
        <v>1581</v>
      </c>
      <c r="G215" s="300" t="s">
        <v>1582</v>
      </c>
      <c r="H215" s="300" t="s">
        <v>1441</v>
      </c>
      <c r="I215" s="300" t="s">
        <v>449</v>
      </c>
    </row>
    <row r="216" spans="2:9" ht="14.5">
      <c r="B216" s="300" t="s">
        <v>926</v>
      </c>
      <c r="C216" s="300" t="s">
        <v>1583</v>
      </c>
      <c r="D216" s="300" t="s">
        <v>1584</v>
      </c>
      <c r="E216" s="300" t="s">
        <v>928</v>
      </c>
      <c r="F216" s="300" t="s">
        <v>1585</v>
      </c>
      <c r="G216" s="300" t="s">
        <v>1586</v>
      </c>
      <c r="H216" s="300" t="s">
        <v>1441</v>
      </c>
      <c r="I216" s="300" t="s">
        <v>449</v>
      </c>
    </row>
    <row r="217" spans="2:9" ht="14.5">
      <c r="B217" s="300" t="s">
        <v>926</v>
      </c>
      <c r="C217" s="300" t="s">
        <v>1587</v>
      </c>
      <c r="D217" s="300" t="s">
        <v>1588</v>
      </c>
      <c r="E217" s="300" t="s">
        <v>928</v>
      </c>
      <c r="F217" s="300" t="s">
        <v>1589</v>
      </c>
      <c r="G217" s="300" t="s">
        <v>1590</v>
      </c>
      <c r="H217" s="300" t="s">
        <v>1441</v>
      </c>
      <c r="I217" s="300" t="s">
        <v>449</v>
      </c>
    </row>
    <row r="218" spans="2:9" ht="14.5">
      <c r="B218" s="300" t="s">
        <v>926</v>
      </c>
      <c r="C218" s="300" t="s">
        <v>1591</v>
      </c>
      <c r="D218" s="300" t="s">
        <v>1592</v>
      </c>
      <c r="E218" s="300" t="s">
        <v>928</v>
      </c>
      <c r="F218" s="300" t="s">
        <v>1581</v>
      </c>
      <c r="G218" s="300" t="s">
        <v>1582</v>
      </c>
      <c r="H218" s="300" t="s">
        <v>1441</v>
      </c>
      <c r="I218" s="300" t="s">
        <v>449</v>
      </c>
    </row>
    <row r="219" spans="2:9" ht="14.5">
      <c r="B219" s="300" t="s">
        <v>926</v>
      </c>
      <c r="C219" s="300" t="s">
        <v>1593</v>
      </c>
      <c r="D219" s="300" t="s">
        <v>1594</v>
      </c>
      <c r="E219" s="300" t="s">
        <v>928</v>
      </c>
      <c r="F219" s="300" t="s">
        <v>1595</v>
      </c>
      <c r="G219" s="300" t="s">
        <v>1596</v>
      </c>
      <c r="H219" s="300" t="s">
        <v>1441</v>
      </c>
      <c r="I219" s="300" t="s">
        <v>449</v>
      </c>
    </row>
    <row r="220" spans="2:9" ht="14.5">
      <c r="B220" s="300" t="s">
        <v>926</v>
      </c>
      <c r="C220" s="300" t="s">
        <v>1597</v>
      </c>
      <c r="D220" s="300" t="s">
        <v>1598</v>
      </c>
      <c r="E220" s="300" t="s">
        <v>928</v>
      </c>
      <c r="F220" s="300" t="s">
        <v>1599</v>
      </c>
      <c r="G220" s="300" t="s">
        <v>1600</v>
      </c>
      <c r="H220" s="300" t="s">
        <v>1441</v>
      </c>
      <c r="I220" s="300" t="s">
        <v>449</v>
      </c>
    </row>
    <row r="221" spans="2:9" ht="14.5">
      <c r="B221" s="300" t="s">
        <v>926</v>
      </c>
      <c r="C221" s="300" t="s">
        <v>1601</v>
      </c>
      <c r="D221" s="300" t="s">
        <v>1602</v>
      </c>
      <c r="E221" s="300" t="s">
        <v>928</v>
      </c>
      <c r="F221" s="300" t="s">
        <v>1585</v>
      </c>
      <c r="G221" s="300" t="s">
        <v>1586</v>
      </c>
      <c r="H221" s="300" t="s">
        <v>1441</v>
      </c>
      <c r="I221" s="300" t="s">
        <v>449</v>
      </c>
    </row>
    <row r="222" spans="2:9" ht="14.5">
      <c r="B222" s="300" t="s">
        <v>926</v>
      </c>
      <c r="C222" s="300" t="s">
        <v>1603</v>
      </c>
      <c r="D222" s="300" t="s">
        <v>1604</v>
      </c>
      <c r="E222" s="300" t="s">
        <v>928</v>
      </c>
      <c r="F222" s="300" t="s">
        <v>1589</v>
      </c>
      <c r="G222" s="300" t="s">
        <v>1590</v>
      </c>
      <c r="H222" s="300" t="s">
        <v>1441</v>
      </c>
      <c r="I222" s="300" t="s">
        <v>449</v>
      </c>
    </row>
    <row r="223" spans="2:9" ht="14.5">
      <c r="B223" s="300" t="s">
        <v>926</v>
      </c>
      <c r="C223" s="300" t="s">
        <v>1605</v>
      </c>
      <c r="D223" s="300" t="s">
        <v>1606</v>
      </c>
      <c r="E223" s="300" t="s">
        <v>928</v>
      </c>
      <c r="F223" s="300" t="s">
        <v>1589</v>
      </c>
      <c r="G223" s="300" t="s">
        <v>1590</v>
      </c>
      <c r="H223" s="300" t="s">
        <v>1441</v>
      </c>
      <c r="I223" s="300" t="s">
        <v>449</v>
      </c>
    </row>
    <row r="224" spans="2:9" ht="14.5">
      <c r="B224" s="300" t="s">
        <v>926</v>
      </c>
      <c r="C224" s="300" t="s">
        <v>1607</v>
      </c>
      <c r="D224" s="300" t="s">
        <v>1608</v>
      </c>
      <c r="E224" s="300" t="s">
        <v>928</v>
      </c>
      <c r="F224" s="378" t="s">
        <v>5115</v>
      </c>
      <c r="G224" s="300" t="s">
        <v>1609</v>
      </c>
      <c r="H224" s="300" t="s">
        <v>1610</v>
      </c>
      <c r="I224" s="300" t="s">
        <v>449</v>
      </c>
    </row>
    <row r="225" spans="2:9" ht="14.5">
      <c r="B225" s="300" t="s">
        <v>926</v>
      </c>
      <c r="C225" s="300" t="s">
        <v>1611</v>
      </c>
      <c r="D225" s="300" t="s">
        <v>1612</v>
      </c>
      <c r="E225" s="300" t="s">
        <v>928</v>
      </c>
      <c r="F225" s="378" t="s">
        <v>5116</v>
      </c>
      <c r="G225" s="300" t="s">
        <v>1613</v>
      </c>
      <c r="H225" s="300" t="s">
        <v>1610</v>
      </c>
      <c r="I225" s="300" t="s">
        <v>449</v>
      </c>
    </row>
    <row r="226" spans="2:9" ht="14.5">
      <c r="B226" s="300" t="s">
        <v>926</v>
      </c>
      <c r="C226" s="300" t="s">
        <v>1614</v>
      </c>
      <c r="D226" s="300" t="s">
        <v>1615</v>
      </c>
      <c r="E226" s="300" t="s">
        <v>928</v>
      </c>
      <c r="F226" s="300" t="s">
        <v>1616</v>
      </c>
      <c r="G226" s="300" t="s">
        <v>1617</v>
      </c>
      <c r="H226" s="300" t="s">
        <v>1610</v>
      </c>
      <c r="I226" s="300" t="s">
        <v>449</v>
      </c>
    </row>
    <row r="227" spans="2:9" ht="14.5">
      <c r="B227" s="300" t="s">
        <v>926</v>
      </c>
      <c r="C227" s="300" t="s">
        <v>1618</v>
      </c>
      <c r="D227" s="300" t="s">
        <v>1619</v>
      </c>
      <c r="E227" s="300" t="s">
        <v>928</v>
      </c>
      <c r="F227" s="300" t="s">
        <v>1620</v>
      </c>
      <c r="G227" s="300" t="s">
        <v>1621</v>
      </c>
      <c r="H227" s="300" t="s">
        <v>1610</v>
      </c>
      <c r="I227" s="300" t="s">
        <v>449</v>
      </c>
    </row>
    <row r="228" spans="2:9" ht="14.5">
      <c r="B228" s="300" t="s">
        <v>926</v>
      </c>
      <c r="C228" s="300" t="s">
        <v>1622</v>
      </c>
      <c r="D228" s="300" t="s">
        <v>1623</v>
      </c>
      <c r="E228" s="300" t="s">
        <v>928</v>
      </c>
      <c r="F228" s="378" t="s">
        <v>5117</v>
      </c>
      <c r="G228" s="300" t="s">
        <v>1624</v>
      </c>
      <c r="H228" s="300" t="s">
        <v>1610</v>
      </c>
      <c r="I228" s="300" t="s">
        <v>449</v>
      </c>
    </row>
    <row r="229" spans="2:9" ht="14.5">
      <c r="B229" s="300" t="s">
        <v>926</v>
      </c>
      <c r="C229" s="300" t="s">
        <v>1625</v>
      </c>
      <c r="D229" s="300" t="s">
        <v>1626</v>
      </c>
      <c r="E229" s="300" t="s">
        <v>928</v>
      </c>
      <c r="F229" s="300" t="s">
        <v>1627</v>
      </c>
      <c r="G229" s="300" t="s">
        <v>1628</v>
      </c>
      <c r="H229" s="300" t="s">
        <v>1610</v>
      </c>
      <c r="I229" s="300" t="s">
        <v>449</v>
      </c>
    </row>
    <row r="230" spans="2:9" ht="14.5">
      <c r="B230" s="300" t="s">
        <v>926</v>
      </c>
      <c r="C230" s="300" t="s">
        <v>1629</v>
      </c>
      <c r="D230" s="300" t="s">
        <v>1630</v>
      </c>
      <c r="E230" s="300" t="s">
        <v>928</v>
      </c>
      <c r="F230" s="300" t="s">
        <v>1631</v>
      </c>
      <c r="G230" s="300" t="s">
        <v>1632</v>
      </c>
      <c r="H230" s="300" t="s">
        <v>1610</v>
      </c>
      <c r="I230" s="300" t="s">
        <v>449</v>
      </c>
    </row>
    <row r="231" spans="2:9" ht="14.5">
      <c r="B231" s="300" t="s">
        <v>926</v>
      </c>
      <c r="C231" s="300" t="s">
        <v>1633</v>
      </c>
      <c r="D231" s="300" t="s">
        <v>1634</v>
      </c>
      <c r="E231" s="300" t="s">
        <v>928</v>
      </c>
      <c r="F231" s="378" t="s">
        <v>5118</v>
      </c>
      <c r="G231" s="300" t="s">
        <v>1635</v>
      </c>
      <c r="H231" s="300" t="s">
        <v>1610</v>
      </c>
      <c r="I231" s="300" t="s">
        <v>449</v>
      </c>
    </row>
    <row r="232" spans="2:9" ht="14.5">
      <c r="B232" s="300" t="s">
        <v>926</v>
      </c>
      <c r="C232" s="300" t="s">
        <v>1636</v>
      </c>
      <c r="D232" s="300" t="s">
        <v>1637</v>
      </c>
      <c r="E232" s="300" t="s">
        <v>928</v>
      </c>
      <c r="F232" s="300" t="s">
        <v>1638</v>
      </c>
      <c r="G232" s="300" t="s">
        <v>1639</v>
      </c>
      <c r="H232" s="300" t="s">
        <v>1610</v>
      </c>
      <c r="I232" s="300" t="s">
        <v>449</v>
      </c>
    </row>
    <row r="233" spans="2:9" ht="14.5">
      <c r="B233" s="300" t="s">
        <v>926</v>
      </c>
      <c r="C233" s="300" t="s">
        <v>1640</v>
      </c>
      <c r="D233" s="300" t="s">
        <v>1641</v>
      </c>
      <c r="E233" s="300" t="s">
        <v>928</v>
      </c>
      <c r="F233" s="300" t="s">
        <v>1642</v>
      </c>
      <c r="G233" s="300" t="s">
        <v>1643</v>
      </c>
      <c r="H233" s="300" t="s">
        <v>1490</v>
      </c>
      <c r="I233" s="300" t="s">
        <v>449</v>
      </c>
    </row>
    <row r="234" spans="2:9" ht="14.5">
      <c r="B234" s="300" t="s">
        <v>926</v>
      </c>
      <c r="C234" s="300" t="s">
        <v>1644</v>
      </c>
      <c r="D234" s="300" t="s">
        <v>1645</v>
      </c>
      <c r="E234" s="300" t="s">
        <v>928</v>
      </c>
      <c r="F234" s="300" t="s">
        <v>1646</v>
      </c>
      <c r="G234" s="300" t="s">
        <v>1647</v>
      </c>
      <c r="H234" s="300" t="s">
        <v>1610</v>
      </c>
      <c r="I234" s="300" t="s">
        <v>449</v>
      </c>
    </row>
    <row r="235" spans="2:9" ht="14.5">
      <c r="B235" s="300" t="s">
        <v>926</v>
      </c>
      <c r="C235" s="300" t="s">
        <v>1648</v>
      </c>
      <c r="D235" s="300" t="s">
        <v>1649</v>
      </c>
      <c r="E235" s="300" t="s">
        <v>928</v>
      </c>
      <c r="F235" s="300" t="s">
        <v>1638</v>
      </c>
      <c r="G235" s="300" t="s">
        <v>1639</v>
      </c>
      <c r="H235" s="300" t="s">
        <v>1610</v>
      </c>
      <c r="I235" s="300" t="s">
        <v>449</v>
      </c>
    </row>
    <row r="236" spans="2:9" ht="14.5">
      <c r="B236" s="300" t="s">
        <v>926</v>
      </c>
      <c r="C236" s="300" t="s">
        <v>1650</v>
      </c>
      <c r="D236" s="300" t="s">
        <v>1651</v>
      </c>
      <c r="E236" s="300" t="s">
        <v>928</v>
      </c>
      <c r="F236" s="300" t="s">
        <v>1652</v>
      </c>
      <c r="G236" s="300" t="s">
        <v>1653</v>
      </c>
      <c r="H236" s="300" t="s">
        <v>1610</v>
      </c>
      <c r="I236" s="300" t="s">
        <v>449</v>
      </c>
    </row>
    <row r="237" spans="2:9" ht="14.5">
      <c r="B237" s="300" t="s">
        <v>926</v>
      </c>
      <c r="C237" s="300" t="s">
        <v>1654</v>
      </c>
      <c r="D237" s="300" t="s">
        <v>1655</v>
      </c>
      <c r="E237" s="300" t="s">
        <v>928</v>
      </c>
      <c r="F237" s="300" t="s">
        <v>1652</v>
      </c>
      <c r="G237" s="300" t="s">
        <v>1653</v>
      </c>
      <c r="H237" s="300" t="s">
        <v>1610</v>
      </c>
      <c r="I237" s="300" t="s">
        <v>449</v>
      </c>
    </row>
    <row r="238" spans="2:9" ht="14.5">
      <c r="B238" s="300" t="s">
        <v>926</v>
      </c>
      <c r="C238" s="300" t="s">
        <v>1656</v>
      </c>
      <c r="D238" s="300" t="s">
        <v>1657</v>
      </c>
      <c r="E238" s="300" t="s">
        <v>928</v>
      </c>
      <c r="F238" s="378" t="s">
        <v>5118</v>
      </c>
      <c r="G238" s="300" t="s">
        <v>1635</v>
      </c>
      <c r="H238" s="300" t="s">
        <v>1610</v>
      </c>
      <c r="I238" s="300" t="s">
        <v>449</v>
      </c>
    </row>
    <row r="239" spans="2:9" ht="14.5">
      <c r="B239" s="300" t="s">
        <v>926</v>
      </c>
      <c r="C239" s="300" t="s">
        <v>1658</v>
      </c>
      <c r="D239" s="300" t="s">
        <v>1659</v>
      </c>
      <c r="E239" s="300" t="s">
        <v>928</v>
      </c>
      <c r="F239" s="300" t="s">
        <v>1660</v>
      </c>
      <c r="G239" s="300" t="s">
        <v>1661</v>
      </c>
      <c r="H239" s="300" t="s">
        <v>1610</v>
      </c>
      <c r="I239" s="300" t="s">
        <v>449</v>
      </c>
    </row>
    <row r="240" spans="2:9" ht="14.5">
      <c r="B240" s="300" t="s">
        <v>926</v>
      </c>
      <c r="C240" s="300" t="s">
        <v>1662</v>
      </c>
      <c r="D240" s="300" t="s">
        <v>1663</v>
      </c>
      <c r="E240" s="300" t="s">
        <v>928</v>
      </c>
      <c r="F240" s="378" t="s">
        <v>2222</v>
      </c>
      <c r="G240" s="300" t="s">
        <v>1489</v>
      </c>
      <c r="H240" s="300" t="s">
        <v>1490</v>
      </c>
      <c r="I240" s="300" t="s">
        <v>449</v>
      </c>
    </row>
    <row r="241" spans="2:9" ht="14.5">
      <c r="B241" s="300" t="s">
        <v>926</v>
      </c>
      <c r="C241" s="300" t="s">
        <v>1664</v>
      </c>
      <c r="D241" s="300" t="s">
        <v>1665</v>
      </c>
      <c r="E241" s="300" t="s">
        <v>928</v>
      </c>
      <c r="F241" s="300" t="s">
        <v>1493</v>
      </c>
      <c r="G241" s="300" t="s">
        <v>1494</v>
      </c>
      <c r="H241" s="300" t="s">
        <v>1490</v>
      </c>
      <c r="I241" s="300" t="s">
        <v>449</v>
      </c>
    </row>
    <row r="242" spans="2:9" ht="14.5">
      <c r="B242" s="300" t="s">
        <v>926</v>
      </c>
      <c r="C242" s="300" t="s">
        <v>1666</v>
      </c>
      <c r="D242" s="300" t="s">
        <v>1667</v>
      </c>
      <c r="E242" s="300" t="s">
        <v>928</v>
      </c>
      <c r="F242" s="378" t="s">
        <v>5118</v>
      </c>
      <c r="G242" s="300" t="s">
        <v>1635</v>
      </c>
      <c r="H242" s="300" t="s">
        <v>1610</v>
      </c>
      <c r="I242" s="300" t="s">
        <v>449</v>
      </c>
    </row>
    <row r="243" spans="2:9" ht="14.5">
      <c r="B243" s="300" t="s">
        <v>926</v>
      </c>
      <c r="C243" s="300" t="s">
        <v>1668</v>
      </c>
      <c r="D243" s="300" t="s">
        <v>1669</v>
      </c>
      <c r="E243" s="300" t="s">
        <v>928</v>
      </c>
      <c r="F243" s="300" t="s">
        <v>1670</v>
      </c>
      <c r="G243" s="300" t="s">
        <v>1671</v>
      </c>
      <c r="H243" s="300" t="s">
        <v>1610</v>
      </c>
      <c r="I243" s="300" t="s">
        <v>449</v>
      </c>
    </row>
    <row r="244" spans="2:9" ht="14.5">
      <c r="B244" s="300" t="s">
        <v>926</v>
      </c>
      <c r="C244" s="300" t="s">
        <v>1672</v>
      </c>
      <c r="D244" s="300" t="s">
        <v>1673</v>
      </c>
      <c r="E244" s="300" t="s">
        <v>928</v>
      </c>
      <c r="F244" s="300" t="s">
        <v>1674</v>
      </c>
      <c r="G244" s="300" t="s">
        <v>1675</v>
      </c>
      <c r="H244" s="300" t="s">
        <v>1610</v>
      </c>
      <c r="I244" s="300" t="s">
        <v>449</v>
      </c>
    </row>
    <row r="245" spans="2:9" ht="14.5">
      <c r="B245" s="300" t="s">
        <v>926</v>
      </c>
      <c r="C245" s="300" t="s">
        <v>1676</v>
      </c>
      <c r="D245" s="300" t="s">
        <v>1677</v>
      </c>
      <c r="E245" s="300" t="s">
        <v>928</v>
      </c>
      <c r="F245" s="300" t="s">
        <v>1678</v>
      </c>
      <c r="G245" s="300" t="s">
        <v>1679</v>
      </c>
      <c r="H245" s="300" t="s">
        <v>1610</v>
      </c>
      <c r="I245" s="300" t="s">
        <v>449</v>
      </c>
    </row>
    <row r="246" spans="2:9" ht="14.5">
      <c r="B246" s="300" t="s">
        <v>926</v>
      </c>
      <c r="C246" s="300" t="s">
        <v>1680</v>
      </c>
      <c r="D246" s="300" t="s">
        <v>1681</v>
      </c>
      <c r="E246" s="300" t="s">
        <v>928</v>
      </c>
      <c r="F246" s="300" t="s">
        <v>1674</v>
      </c>
      <c r="G246" s="300" t="s">
        <v>1675</v>
      </c>
      <c r="H246" s="300" t="s">
        <v>1610</v>
      </c>
      <c r="I246" s="300" t="s">
        <v>449</v>
      </c>
    </row>
    <row r="247" spans="2:9" ht="14.5">
      <c r="B247" s="300" t="s">
        <v>926</v>
      </c>
      <c r="C247" s="300" t="s">
        <v>1682</v>
      </c>
      <c r="D247" s="300" t="s">
        <v>1683</v>
      </c>
      <c r="E247" s="300" t="s">
        <v>928</v>
      </c>
      <c r="F247" s="378" t="s">
        <v>5119</v>
      </c>
      <c r="G247" s="300" t="s">
        <v>1684</v>
      </c>
      <c r="H247" s="300" t="s">
        <v>1490</v>
      </c>
      <c r="I247" s="300" t="s">
        <v>449</v>
      </c>
    </row>
    <row r="248" spans="2:9" ht="14.5">
      <c r="B248" s="300" t="s">
        <v>926</v>
      </c>
      <c r="C248" s="300" t="s">
        <v>1685</v>
      </c>
      <c r="D248" s="300" t="s">
        <v>1686</v>
      </c>
      <c r="E248" s="300" t="s">
        <v>928</v>
      </c>
      <c r="F248" s="378" t="s">
        <v>2197</v>
      </c>
      <c r="G248" s="300" t="s">
        <v>1687</v>
      </c>
      <c r="H248" s="300" t="s">
        <v>1490</v>
      </c>
      <c r="I248" s="300" t="s">
        <v>449</v>
      </c>
    </row>
    <row r="249" spans="2:9" ht="14.5">
      <c r="B249" s="300" t="s">
        <v>926</v>
      </c>
      <c r="C249" s="300" t="s">
        <v>1688</v>
      </c>
      <c r="D249" s="300" t="s">
        <v>1689</v>
      </c>
      <c r="E249" s="300" t="s">
        <v>928</v>
      </c>
      <c r="F249" s="300" t="s">
        <v>1690</v>
      </c>
      <c r="G249" s="300" t="s">
        <v>1691</v>
      </c>
      <c r="H249" s="300" t="s">
        <v>1490</v>
      </c>
      <c r="I249" s="300" t="s">
        <v>449</v>
      </c>
    </row>
    <row r="250" spans="2:9" ht="14.5">
      <c r="B250" s="300" t="s">
        <v>926</v>
      </c>
      <c r="C250" s="300" t="s">
        <v>1692</v>
      </c>
      <c r="D250" s="300" t="s">
        <v>1693</v>
      </c>
      <c r="E250" s="300" t="s">
        <v>928</v>
      </c>
      <c r="F250" s="300" t="s">
        <v>1694</v>
      </c>
      <c r="G250" s="300" t="s">
        <v>1695</v>
      </c>
      <c r="H250" s="300" t="s">
        <v>1490</v>
      </c>
      <c r="I250" s="300" t="s">
        <v>449</v>
      </c>
    </row>
    <row r="251" spans="2:9" ht="14.5">
      <c r="B251" s="300" t="s">
        <v>926</v>
      </c>
      <c r="C251" s="300" t="s">
        <v>1696</v>
      </c>
      <c r="D251" s="300" t="s">
        <v>1697</v>
      </c>
      <c r="E251" s="300" t="s">
        <v>928</v>
      </c>
      <c r="F251" s="300" t="s">
        <v>1698</v>
      </c>
      <c r="G251" s="300" t="s">
        <v>1699</v>
      </c>
      <c r="H251" s="300" t="s">
        <v>1490</v>
      </c>
      <c r="I251" s="300" t="s">
        <v>449</v>
      </c>
    </row>
    <row r="252" spans="2:9" ht="14.5">
      <c r="B252" s="300" t="s">
        <v>926</v>
      </c>
      <c r="C252" s="300" t="s">
        <v>1700</v>
      </c>
      <c r="D252" s="300" t="s">
        <v>1701</v>
      </c>
      <c r="E252" s="300" t="s">
        <v>928</v>
      </c>
      <c r="F252" s="378" t="s">
        <v>5120</v>
      </c>
      <c r="G252" s="300" t="s">
        <v>1702</v>
      </c>
      <c r="H252" s="300" t="s">
        <v>1490</v>
      </c>
      <c r="I252" s="300" t="s">
        <v>449</v>
      </c>
    </row>
    <row r="253" spans="2:9" ht="14.5">
      <c r="B253" s="300" t="s">
        <v>926</v>
      </c>
      <c r="C253" s="300" t="s">
        <v>1703</v>
      </c>
      <c r="D253" s="300" t="s">
        <v>1704</v>
      </c>
      <c r="E253" s="300" t="s">
        <v>928</v>
      </c>
      <c r="F253" s="300" t="s">
        <v>1705</v>
      </c>
      <c r="G253" s="300" t="s">
        <v>1706</v>
      </c>
      <c r="H253" s="300" t="s">
        <v>1490</v>
      </c>
      <c r="I253" s="300" t="s">
        <v>449</v>
      </c>
    </row>
    <row r="254" spans="2:9" ht="14.5">
      <c r="B254" s="300" t="s">
        <v>926</v>
      </c>
      <c r="C254" s="300" t="s">
        <v>1707</v>
      </c>
      <c r="D254" s="300" t="s">
        <v>1708</v>
      </c>
      <c r="E254" s="300" t="s">
        <v>928</v>
      </c>
      <c r="F254" s="300" t="s">
        <v>1705</v>
      </c>
      <c r="G254" s="300" t="s">
        <v>1706</v>
      </c>
      <c r="H254" s="300" t="s">
        <v>1490</v>
      </c>
      <c r="I254" s="300" t="s">
        <v>449</v>
      </c>
    </row>
    <row r="255" spans="2:9" ht="14.5">
      <c r="B255" s="300" t="s">
        <v>926</v>
      </c>
      <c r="C255" s="300" t="s">
        <v>1709</v>
      </c>
      <c r="D255" s="300" t="s">
        <v>1710</v>
      </c>
      <c r="E255" s="300" t="s">
        <v>928</v>
      </c>
      <c r="F255" s="300" t="s">
        <v>1705</v>
      </c>
      <c r="G255" s="300" t="s">
        <v>1706</v>
      </c>
      <c r="H255" s="300" t="s">
        <v>1490</v>
      </c>
      <c r="I255" s="300" t="s">
        <v>449</v>
      </c>
    </row>
    <row r="256" spans="2:9" ht="14.5">
      <c r="B256" s="300" t="s">
        <v>926</v>
      </c>
      <c r="C256" s="300" t="s">
        <v>1711</v>
      </c>
      <c r="D256" s="300" t="s">
        <v>1712</v>
      </c>
      <c r="E256" s="300" t="s">
        <v>928</v>
      </c>
      <c r="F256" s="378" t="s">
        <v>2205</v>
      </c>
      <c r="G256" s="300" t="s">
        <v>1713</v>
      </c>
      <c r="H256" s="300" t="s">
        <v>1490</v>
      </c>
      <c r="I256" s="300" t="s">
        <v>449</v>
      </c>
    </row>
    <row r="257" spans="2:9" ht="14.5">
      <c r="B257" s="300" t="s">
        <v>926</v>
      </c>
      <c r="C257" s="300" t="s">
        <v>1714</v>
      </c>
      <c r="D257" s="300" t="s">
        <v>1715</v>
      </c>
      <c r="E257" s="300" t="s">
        <v>928</v>
      </c>
      <c r="F257" s="300" t="s">
        <v>1716</v>
      </c>
      <c r="G257" s="300" t="s">
        <v>1717</v>
      </c>
      <c r="H257" s="300" t="s">
        <v>1490</v>
      </c>
      <c r="I257" s="300" t="s">
        <v>449</v>
      </c>
    </row>
    <row r="258" spans="2:9" ht="14.5">
      <c r="B258" s="300" t="s">
        <v>926</v>
      </c>
      <c r="C258" s="300" t="s">
        <v>1718</v>
      </c>
      <c r="D258" s="300" t="s">
        <v>1719</v>
      </c>
      <c r="E258" s="300" t="s">
        <v>928</v>
      </c>
      <c r="F258" s="300" t="s">
        <v>1720</v>
      </c>
      <c r="G258" s="300" t="s">
        <v>1721</v>
      </c>
      <c r="H258" s="300" t="s">
        <v>1490</v>
      </c>
      <c r="I258" s="300" t="s">
        <v>449</v>
      </c>
    </row>
    <row r="259" spans="2:9" ht="14.5">
      <c r="B259" s="300" t="s">
        <v>926</v>
      </c>
      <c r="C259" s="300" t="s">
        <v>1722</v>
      </c>
      <c r="D259" s="300" t="s">
        <v>1723</v>
      </c>
      <c r="E259" s="300" t="s">
        <v>928</v>
      </c>
      <c r="F259" s="300" t="s">
        <v>1690</v>
      </c>
      <c r="G259" s="300" t="s">
        <v>1691</v>
      </c>
      <c r="H259" s="300" t="s">
        <v>1490</v>
      </c>
      <c r="I259" s="300" t="s">
        <v>449</v>
      </c>
    </row>
    <row r="260" spans="2:9" ht="14.5">
      <c r="B260" s="300" t="s">
        <v>926</v>
      </c>
      <c r="C260" s="300" t="s">
        <v>1724</v>
      </c>
      <c r="D260" s="300" t="s">
        <v>1725</v>
      </c>
      <c r="E260" s="300" t="s">
        <v>928</v>
      </c>
      <c r="F260" s="300" t="s">
        <v>1726</v>
      </c>
      <c r="G260" s="300" t="s">
        <v>1727</v>
      </c>
      <c r="H260" s="300" t="s">
        <v>1490</v>
      </c>
      <c r="I260" s="300" t="s">
        <v>449</v>
      </c>
    </row>
    <row r="261" spans="2:9" ht="14.5">
      <c r="B261" s="300" t="s">
        <v>926</v>
      </c>
      <c r="C261" s="300" t="s">
        <v>1728</v>
      </c>
      <c r="D261" s="300" t="s">
        <v>1729</v>
      </c>
      <c r="E261" s="300" t="s">
        <v>928</v>
      </c>
      <c r="F261" s="300" t="s">
        <v>1726</v>
      </c>
      <c r="G261" s="300" t="s">
        <v>1727</v>
      </c>
      <c r="H261" s="300" t="s">
        <v>1490</v>
      </c>
      <c r="I261" s="300" t="s">
        <v>449</v>
      </c>
    </row>
    <row r="262" spans="2:9" ht="14.5">
      <c r="B262" s="300" t="s">
        <v>926</v>
      </c>
      <c r="C262" s="300" t="s">
        <v>1730</v>
      </c>
      <c r="D262" s="300" t="s">
        <v>1731</v>
      </c>
      <c r="E262" s="300" t="s">
        <v>928</v>
      </c>
      <c r="F262" s="300" t="s">
        <v>1726</v>
      </c>
      <c r="G262" s="300" t="s">
        <v>1727</v>
      </c>
      <c r="H262" s="300" t="s">
        <v>1490</v>
      </c>
      <c r="I262" s="300" t="s">
        <v>449</v>
      </c>
    </row>
    <row r="263" spans="2:9" ht="14.5">
      <c r="B263" s="300" t="s">
        <v>926</v>
      </c>
      <c r="C263" s="300" t="s">
        <v>1732</v>
      </c>
      <c r="D263" s="300" t="s">
        <v>1733</v>
      </c>
      <c r="E263" s="300" t="s">
        <v>928</v>
      </c>
      <c r="F263" s="378" t="s">
        <v>5121</v>
      </c>
      <c r="G263" s="300" t="s">
        <v>1734</v>
      </c>
      <c r="H263" s="300" t="s">
        <v>1735</v>
      </c>
      <c r="I263" s="300" t="s">
        <v>449</v>
      </c>
    </row>
    <row r="264" spans="2:9" ht="14.5">
      <c r="B264" s="300" t="s">
        <v>926</v>
      </c>
      <c r="C264" s="300" t="s">
        <v>1736</v>
      </c>
      <c r="D264" s="300" t="s">
        <v>1737</v>
      </c>
      <c r="E264" s="300" t="s">
        <v>928</v>
      </c>
      <c r="F264" s="378" t="s">
        <v>5122</v>
      </c>
      <c r="G264" s="300" t="s">
        <v>1738</v>
      </c>
      <c r="H264" s="300" t="s">
        <v>1735</v>
      </c>
      <c r="I264" s="300" t="s">
        <v>449</v>
      </c>
    </row>
    <row r="265" spans="2:9" ht="14.5">
      <c r="B265" s="300" t="s">
        <v>926</v>
      </c>
      <c r="C265" s="300" t="s">
        <v>1739</v>
      </c>
      <c r="D265" s="300" t="s">
        <v>1740</v>
      </c>
      <c r="E265" s="300" t="s">
        <v>928</v>
      </c>
      <c r="F265" s="300" t="s">
        <v>1741</v>
      </c>
      <c r="G265" s="300" t="s">
        <v>1742</v>
      </c>
      <c r="H265" s="300" t="s">
        <v>1735</v>
      </c>
      <c r="I265" s="300" t="s">
        <v>449</v>
      </c>
    </row>
    <row r="266" spans="2:9" ht="14.5">
      <c r="B266" s="300" t="s">
        <v>926</v>
      </c>
      <c r="C266" s="300" t="s">
        <v>1743</v>
      </c>
      <c r="D266" s="300" t="s">
        <v>1744</v>
      </c>
      <c r="E266" s="300" t="s">
        <v>928</v>
      </c>
      <c r="F266" s="300" t="s">
        <v>1745</v>
      </c>
      <c r="G266" s="300" t="s">
        <v>1746</v>
      </c>
      <c r="H266" s="300" t="s">
        <v>1735</v>
      </c>
      <c r="I266" s="300" t="s">
        <v>449</v>
      </c>
    </row>
    <row r="267" spans="2:9" ht="14.5">
      <c r="B267" s="300" t="s">
        <v>926</v>
      </c>
      <c r="C267" s="300" t="s">
        <v>1747</v>
      </c>
      <c r="D267" s="300" t="s">
        <v>1748</v>
      </c>
      <c r="E267" s="300" t="s">
        <v>928</v>
      </c>
      <c r="F267" s="300" t="s">
        <v>1749</v>
      </c>
      <c r="G267" s="300" t="s">
        <v>1750</v>
      </c>
      <c r="H267" s="300" t="s">
        <v>1735</v>
      </c>
      <c r="I267" s="300" t="s">
        <v>449</v>
      </c>
    </row>
    <row r="268" spans="2:9" ht="14.5">
      <c r="B268" s="300" t="s">
        <v>926</v>
      </c>
      <c r="C268" s="300" t="s">
        <v>1751</v>
      </c>
      <c r="D268" s="300" t="s">
        <v>1752</v>
      </c>
      <c r="E268" s="300" t="s">
        <v>928</v>
      </c>
      <c r="F268" s="300" t="s">
        <v>1753</v>
      </c>
      <c r="G268" s="300" t="s">
        <v>1754</v>
      </c>
      <c r="H268" s="300" t="s">
        <v>1610</v>
      </c>
      <c r="I268" s="300" t="s">
        <v>449</v>
      </c>
    </row>
    <row r="269" spans="2:9" ht="14.5">
      <c r="B269" s="300" t="s">
        <v>926</v>
      </c>
      <c r="C269" s="300" t="s">
        <v>1755</v>
      </c>
      <c r="D269" s="300" t="s">
        <v>1756</v>
      </c>
      <c r="E269" s="300" t="s">
        <v>928</v>
      </c>
      <c r="F269" s="300" t="s">
        <v>1757</v>
      </c>
      <c r="G269" s="300" t="s">
        <v>1758</v>
      </c>
      <c r="H269" s="300" t="s">
        <v>1735</v>
      </c>
      <c r="I269" s="300" t="s">
        <v>449</v>
      </c>
    </row>
    <row r="270" spans="2:9" ht="14.5">
      <c r="B270" s="300" t="s">
        <v>926</v>
      </c>
      <c r="C270" s="300" t="s">
        <v>1759</v>
      </c>
      <c r="D270" s="300" t="s">
        <v>1760</v>
      </c>
      <c r="E270" s="300" t="s">
        <v>928</v>
      </c>
      <c r="F270" s="300" t="s">
        <v>1761</v>
      </c>
      <c r="G270" s="300" t="s">
        <v>1762</v>
      </c>
      <c r="H270" s="300" t="s">
        <v>1763</v>
      </c>
      <c r="I270" s="300" t="s">
        <v>449</v>
      </c>
    </row>
    <row r="271" spans="2:9" ht="14.5">
      <c r="B271" s="300" t="s">
        <v>926</v>
      </c>
      <c r="C271" s="300" t="s">
        <v>1764</v>
      </c>
      <c r="D271" s="300" t="s">
        <v>1765</v>
      </c>
      <c r="E271" s="300" t="s">
        <v>928</v>
      </c>
      <c r="F271" s="300" t="s">
        <v>1761</v>
      </c>
      <c r="G271" s="300" t="s">
        <v>1762</v>
      </c>
      <c r="H271" s="300" t="s">
        <v>1763</v>
      </c>
      <c r="I271" s="300" t="s">
        <v>449</v>
      </c>
    </row>
    <row r="272" spans="2:9" ht="14.5">
      <c r="B272" s="300" t="s">
        <v>926</v>
      </c>
      <c r="C272" s="300" t="s">
        <v>1766</v>
      </c>
      <c r="D272" s="300" t="s">
        <v>1767</v>
      </c>
      <c r="E272" s="300" t="s">
        <v>928</v>
      </c>
      <c r="F272" s="378" t="s">
        <v>5123</v>
      </c>
      <c r="G272" s="300" t="s">
        <v>1768</v>
      </c>
      <c r="H272" s="300" t="s">
        <v>1735</v>
      </c>
      <c r="I272" s="300" t="s">
        <v>449</v>
      </c>
    </row>
    <row r="273" spans="2:9" ht="14.5">
      <c r="B273" s="300" t="s">
        <v>926</v>
      </c>
      <c r="C273" s="300" t="s">
        <v>1769</v>
      </c>
      <c r="D273" s="300" t="s">
        <v>1770</v>
      </c>
      <c r="E273" s="300" t="s">
        <v>928</v>
      </c>
      <c r="F273" s="300" t="s">
        <v>1771</v>
      </c>
      <c r="G273" s="300" t="s">
        <v>1772</v>
      </c>
      <c r="H273" s="300" t="s">
        <v>1735</v>
      </c>
      <c r="I273" s="300" t="s">
        <v>449</v>
      </c>
    </row>
    <row r="274" spans="2:9" ht="14.5">
      <c r="B274" s="300" t="s">
        <v>926</v>
      </c>
      <c r="C274" s="300" t="s">
        <v>1773</v>
      </c>
      <c r="D274" s="300" t="s">
        <v>1774</v>
      </c>
      <c r="E274" s="300" t="s">
        <v>928</v>
      </c>
      <c r="F274" s="300" t="s">
        <v>1775</v>
      </c>
      <c r="G274" s="300" t="s">
        <v>1776</v>
      </c>
      <c r="H274" s="300" t="s">
        <v>1735</v>
      </c>
      <c r="I274" s="300" t="s">
        <v>449</v>
      </c>
    </row>
    <row r="275" spans="2:9" ht="14.5">
      <c r="B275" s="300" t="s">
        <v>926</v>
      </c>
      <c r="C275" s="300" t="s">
        <v>1777</v>
      </c>
      <c r="D275" s="300" t="s">
        <v>1778</v>
      </c>
      <c r="E275" s="300" t="s">
        <v>928</v>
      </c>
      <c r="F275" s="300" t="s">
        <v>1779</v>
      </c>
      <c r="G275" s="300" t="s">
        <v>1780</v>
      </c>
      <c r="H275" s="300" t="s">
        <v>1735</v>
      </c>
      <c r="I275" s="300" t="s">
        <v>449</v>
      </c>
    </row>
    <row r="276" spans="2:9" ht="14.5">
      <c r="B276" s="300" t="s">
        <v>926</v>
      </c>
      <c r="C276" s="300" t="s">
        <v>1781</v>
      </c>
      <c r="D276" s="300" t="s">
        <v>1782</v>
      </c>
      <c r="E276" s="300" t="s">
        <v>928</v>
      </c>
      <c r="F276" s="378" t="s">
        <v>5123</v>
      </c>
      <c r="G276" s="300" t="s">
        <v>1768</v>
      </c>
      <c r="H276" s="300" t="s">
        <v>1735</v>
      </c>
      <c r="I276" s="300" t="s">
        <v>449</v>
      </c>
    </row>
    <row r="277" spans="2:9" ht="14.5">
      <c r="B277" s="300" t="s">
        <v>926</v>
      </c>
      <c r="C277" s="300" t="s">
        <v>1783</v>
      </c>
      <c r="D277" s="300" t="s">
        <v>1784</v>
      </c>
      <c r="E277" s="300" t="s">
        <v>928</v>
      </c>
      <c r="F277" s="300" t="s">
        <v>1779</v>
      </c>
      <c r="G277" s="300" t="s">
        <v>1780</v>
      </c>
      <c r="H277" s="300" t="s">
        <v>1735</v>
      </c>
      <c r="I277" s="300" t="s">
        <v>449</v>
      </c>
    </row>
    <row r="278" spans="2:9" ht="14.5">
      <c r="B278" s="300" t="s">
        <v>926</v>
      </c>
      <c r="C278" s="300" t="s">
        <v>1785</v>
      </c>
      <c r="D278" s="300" t="s">
        <v>1786</v>
      </c>
      <c r="E278" s="300" t="s">
        <v>928</v>
      </c>
      <c r="F278" s="300" t="s">
        <v>1787</v>
      </c>
      <c r="G278" s="300" t="s">
        <v>1788</v>
      </c>
      <c r="H278" s="300" t="s">
        <v>1735</v>
      </c>
      <c r="I278" s="300" t="s">
        <v>449</v>
      </c>
    </row>
    <row r="279" spans="2:9" ht="14.5">
      <c r="B279" s="300" t="s">
        <v>926</v>
      </c>
      <c r="C279" s="300" t="s">
        <v>1789</v>
      </c>
      <c r="D279" s="300" t="s">
        <v>1790</v>
      </c>
      <c r="E279" s="300" t="s">
        <v>928</v>
      </c>
      <c r="F279" s="300" t="s">
        <v>1791</v>
      </c>
      <c r="G279" s="300" t="s">
        <v>1792</v>
      </c>
      <c r="H279" s="300" t="s">
        <v>1735</v>
      </c>
      <c r="I279" s="300" t="s">
        <v>449</v>
      </c>
    </row>
    <row r="280" spans="2:9" ht="14.5">
      <c r="B280" s="300" t="s">
        <v>926</v>
      </c>
      <c r="C280" s="300" t="s">
        <v>1793</v>
      </c>
      <c r="D280" s="300" t="s">
        <v>1794</v>
      </c>
      <c r="E280" s="300" t="s">
        <v>928</v>
      </c>
      <c r="F280" s="300" t="s">
        <v>1795</v>
      </c>
      <c r="G280" s="300" t="s">
        <v>1796</v>
      </c>
      <c r="H280" s="300" t="s">
        <v>1735</v>
      </c>
      <c r="I280" s="300" t="s">
        <v>449</v>
      </c>
    </row>
    <row r="281" spans="2:9" ht="14.5">
      <c r="B281" s="300" t="s">
        <v>926</v>
      </c>
      <c r="C281" s="300" t="s">
        <v>1797</v>
      </c>
      <c r="D281" s="300" t="s">
        <v>1798</v>
      </c>
      <c r="E281" s="300" t="s">
        <v>928</v>
      </c>
      <c r="F281" s="378" t="s">
        <v>2056</v>
      </c>
      <c r="G281" s="300" t="s">
        <v>1799</v>
      </c>
      <c r="H281" s="300" t="s">
        <v>1490</v>
      </c>
      <c r="I281" s="300" t="s">
        <v>449</v>
      </c>
    </row>
    <row r="282" spans="2:9" ht="14.5">
      <c r="B282" s="300" t="s">
        <v>926</v>
      </c>
      <c r="C282" s="300" t="s">
        <v>1800</v>
      </c>
      <c r="D282" s="300" t="s">
        <v>1801</v>
      </c>
      <c r="E282" s="300" t="s">
        <v>928</v>
      </c>
      <c r="F282" s="378" t="s">
        <v>2056</v>
      </c>
      <c r="G282" s="300" t="s">
        <v>1799</v>
      </c>
      <c r="H282" s="300" t="s">
        <v>1490</v>
      </c>
      <c r="I282" s="300" t="s">
        <v>449</v>
      </c>
    </row>
    <row r="283" spans="2:9" ht="14.5">
      <c r="B283" s="300" t="s">
        <v>926</v>
      </c>
      <c r="C283" s="300" t="s">
        <v>1802</v>
      </c>
      <c r="D283" s="300" t="s">
        <v>1803</v>
      </c>
      <c r="E283" s="300" t="s">
        <v>928</v>
      </c>
      <c r="F283" s="300" t="s">
        <v>1804</v>
      </c>
      <c r="G283" s="300" t="s">
        <v>1805</v>
      </c>
      <c r="H283" s="300" t="s">
        <v>1490</v>
      </c>
      <c r="I283" s="300" t="s">
        <v>449</v>
      </c>
    </row>
    <row r="284" spans="2:9" ht="14.5">
      <c r="B284" s="300" t="s">
        <v>926</v>
      </c>
      <c r="C284" s="300" t="s">
        <v>1806</v>
      </c>
      <c r="D284" s="300" t="s">
        <v>1807</v>
      </c>
      <c r="E284" s="300" t="s">
        <v>928</v>
      </c>
      <c r="F284" s="300" t="s">
        <v>1808</v>
      </c>
      <c r="G284" s="300" t="s">
        <v>1809</v>
      </c>
      <c r="H284" s="300" t="s">
        <v>1490</v>
      </c>
      <c r="I284" s="300" t="s">
        <v>449</v>
      </c>
    </row>
    <row r="285" spans="2:9" ht="14.5">
      <c r="B285" s="300" t="s">
        <v>926</v>
      </c>
      <c r="C285" s="300" t="s">
        <v>1810</v>
      </c>
      <c r="D285" s="300" t="s">
        <v>1811</v>
      </c>
      <c r="E285" s="300" t="s">
        <v>928</v>
      </c>
      <c r="F285" s="300" t="s">
        <v>1808</v>
      </c>
      <c r="G285" s="300" t="s">
        <v>1809</v>
      </c>
      <c r="H285" s="300" t="s">
        <v>1490</v>
      </c>
      <c r="I285" s="300" t="s">
        <v>449</v>
      </c>
    </row>
    <row r="286" spans="2:9" ht="14.5">
      <c r="B286" s="300" t="s">
        <v>926</v>
      </c>
      <c r="C286" s="300" t="s">
        <v>1812</v>
      </c>
      <c r="D286" s="300" t="s">
        <v>1813</v>
      </c>
      <c r="E286" s="300" t="s">
        <v>928</v>
      </c>
      <c r="F286" s="378" t="s">
        <v>2056</v>
      </c>
      <c r="G286" s="300" t="s">
        <v>1799</v>
      </c>
      <c r="H286" s="300" t="s">
        <v>1490</v>
      </c>
      <c r="I286" s="300" t="s">
        <v>449</v>
      </c>
    </row>
    <row r="287" spans="2:9" ht="14.5">
      <c r="B287" s="300" t="s">
        <v>926</v>
      </c>
      <c r="C287" s="300" t="s">
        <v>1814</v>
      </c>
      <c r="D287" s="300" t="s">
        <v>1813</v>
      </c>
      <c r="E287" s="300" t="s">
        <v>928</v>
      </c>
      <c r="F287" s="300" t="s">
        <v>1808</v>
      </c>
      <c r="G287" s="300" t="s">
        <v>1809</v>
      </c>
      <c r="H287" s="300" t="s">
        <v>1490</v>
      </c>
      <c r="I287" s="300" t="s">
        <v>449</v>
      </c>
    </row>
    <row r="288" spans="2:9" ht="14.5">
      <c r="B288" s="300" t="s">
        <v>926</v>
      </c>
      <c r="C288" s="300" t="s">
        <v>1815</v>
      </c>
      <c r="D288" s="300" t="s">
        <v>1816</v>
      </c>
      <c r="E288" s="300" t="s">
        <v>928</v>
      </c>
      <c r="F288" s="378" t="s">
        <v>2987</v>
      </c>
      <c r="G288" s="300" t="s">
        <v>1817</v>
      </c>
      <c r="H288" s="300" t="s">
        <v>1818</v>
      </c>
      <c r="I288" s="300" t="s">
        <v>446</v>
      </c>
    </row>
    <row r="289" spans="2:9" ht="14.5">
      <c r="B289" s="300" t="s">
        <v>926</v>
      </c>
      <c r="C289" s="300" t="s">
        <v>1819</v>
      </c>
      <c r="D289" s="300" t="s">
        <v>1820</v>
      </c>
      <c r="E289" s="300" t="s">
        <v>928</v>
      </c>
      <c r="F289" s="300" t="s">
        <v>1821</v>
      </c>
      <c r="G289" s="300" t="s">
        <v>1822</v>
      </c>
      <c r="H289" s="300" t="s">
        <v>1818</v>
      </c>
      <c r="I289" s="300" t="s">
        <v>446</v>
      </c>
    </row>
    <row r="290" spans="2:9" ht="14.5">
      <c r="B290" s="300" t="s">
        <v>926</v>
      </c>
      <c r="C290" s="300" t="s">
        <v>1823</v>
      </c>
      <c r="D290" s="300" t="s">
        <v>1824</v>
      </c>
      <c r="E290" s="300" t="s">
        <v>928</v>
      </c>
      <c r="F290" s="300" t="s">
        <v>1825</v>
      </c>
      <c r="G290" s="300" t="s">
        <v>1826</v>
      </c>
      <c r="H290" s="300" t="s">
        <v>1818</v>
      </c>
      <c r="I290" s="300" t="s">
        <v>446</v>
      </c>
    </row>
    <row r="291" spans="2:9" ht="14.5">
      <c r="B291" s="300" t="s">
        <v>926</v>
      </c>
      <c r="C291" s="300" t="s">
        <v>1827</v>
      </c>
      <c r="D291" s="300" t="s">
        <v>1828</v>
      </c>
      <c r="E291" s="300" t="s">
        <v>928</v>
      </c>
      <c r="F291" s="378" t="s">
        <v>2987</v>
      </c>
      <c r="G291" s="300" t="s">
        <v>1817</v>
      </c>
      <c r="H291" s="300" t="s">
        <v>1818</v>
      </c>
      <c r="I291" s="300" t="s">
        <v>446</v>
      </c>
    </row>
    <row r="292" spans="2:9" ht="14.5">
      <c r="B292" s="300" t="s">
        <v>926</v>
      </c>
      <c r="C292" s="300" t="s">
        <v>1829</v>
      </c>
      <c r="D292" s="300" t="s">
        <v>1830</v>
      </c>
      <c r="E292" s="300" t="s">
        <v>928</v>
      </c>
      <c r="F292" s="300" t="s">
        <v>1831</v>
      </c>
      <c r="G292" s="300" t="s">
        <v>1832</v>
      </c>
      <c r="H292" s="300" t="s">
        <v>1818</v>
      </c>
      <c r="I292" s="300" t="s">
        <v>446</v>
      </c>
    </row>
    <row r="293" spans="2:9" ht="14.5">
      <c r="B293" s="300" t="s">
        <v>926</v>
      </c>
      <c r="C293" s="300" t="s">
        <v>1833</v>
      </c>
      <c r="D293" s="300" t="s">
        <v>1834</v>
      </c>
      <c r="E293" s="300" t="s">
        <v>928</v>
      </c>
      <c r="F293" s="300" t="s">
        <v>1825</v>
      </c>
      <c r="G293" s="300" t="s">
        <v>1826</v>
      </c>
      <c r="H293" s="300" t="s">
        <v>1818</v>
      </c>
      <c r="I293" s="300" t="s">
        <v>446</v>
      </c>
    </row>
    <row r="294" spans="2:9" ht="14.5">
      <c r="B294" s="300" t="s">
        <v>926</v>
      </c>
      <c r="C294" s="300" t="s">
        <v>1835</v>
      </c>
      <c r="D294" s="300" t="s">
        <v>1836</v>
      </c>
      <c r="E294" s="300" t="s">
        <v>928</v>
      </c>
      <c r="F294" s="300" t="s">
        <v>1837</v>
      </c>
      <c r="G294" s="300" t="s">
        <v>1838</v>
      </c>
      <c r="H294" s="300" t="s">
        <v>1040</v>
      </c>
      <c r="I294" s="300" t="s">
        <v>446</v>
      </c>
    </row>
    <row r="295" spans="2:9" ht="14.5">
      <c r="B295" s="300" t="s">
        <v>926</v>
      </c>
      <c r="C295" s="300" t="s">
        <v>1839</v>
      </c>
      <c r="D295" s="300" t="s">
        <v>1836</v>
      </c>
      <c r="E295" s="300" t="s">
        <v>928</v>
      </c>
      <c r="F295" s="300" t="s">
        <v>1837</v>
      </c>
      <c r="G295" s="300" t="s">
        <v>1838</v>
      </c>
      <c r="H295" s="300" t="s">
        <v>1040</v>
      </c>
      <c r="I295" s="300" t="s">
        <v>446</v>
      </c>
    </row>
    <row r="296" spans="2:9" ht="14.5">
      <c r="B296" s="300" t="s">
        <v>926</v>
      </c>
      <c r="C296" s="300" t="s">
        <v>1840</v>
      </c>
      <c r="D296" s="300" t="s">
        <v>1841</v>
      </c>
      <c r="E296" s="300" t="s">
        <v>928</v>
      </c>
      <c r="F296" s="378" t="s">
        <v>5124</v>
      </c>
      <c r="G296" s="300" t="s">
        <v>1842</v>
      </c>
      <c r="H296" s="300" t="s">
        <v>1843</v>
      </c>
      <c r="I296" s="300" t="s">
        <v>449</v>
      </c>
    </row>
    <row r="297" spans="2:9" ht="14.5">
      <c r="B297" s="300" t="s">
        <v>926</v>
      </c>
      <c r="C297" s="300" t="s">
        <v>1844</v>
      </c>
      <c r="D297" s="300" t="s">
        <v>1845</v>
      </c>
      <c r="E297" s="300" t="s">
        <v>928</v>
      </c>
      <c r="F297" s="300" t="s">
        <v>1846</v>
      </c>
      <c r="G297" s="300" t="s">
        <v>1847</v>
      </c>
      <c r="H297" s="300" t="s">
        <v>1843</v>
      </c>
      <c r="I297" s="300" t="s">
        <v>449</v>
      </c>
    </row>
    <row r="298" spans="2:9" ht="14.5">
      <c r="B298" s="300" t="s">
        <v>926</v>
      </c>
      <c r="C298" s="300" t="s">
        <v>1848</v>
      </c>
      <c r="D298" s="300" t="s">
        <v>1849</v>
      </c>
      <c r="E298" s="300" t="s">
        <v>928</v>
      </c>
      <c r="F298" s="300" t="s">
        <v>1846</v>
      </c>
      <c r="G298" s="300" t="s">
        <v>1847</v>
      </c>
      <c r="H298" s="300" t="s">
        <v>1843</v>
      </c>
      <c r="I298" s="300" t="s">
        <v>449</v>
      </c>
    </row>
    <row r="299" spans="2:9" ht="14.5">
      <c r="B299" s="300" t="s">
        <v>926</v>
      </c>
      <c r="C299" s="300" t="s">
        <v>1850</v>
      </c>
      <c r="D299" s="300" t="s">
        <v>1851</v>
      </c>
      <c r="E299" s="300" t="s">
        <v>928</v>
      </c>
      <c r="F299" s="300" t="s">
        <v>1852</v>
      </c>
      <c r="G299" s="300" t="s">
        <v>1851</v>
      </c>
      <c r="H299" s="300" t="s">
        <v>1843</v>
      </c>
      <c r="I299" s="300" t="s">
        <v>449</v>
      </c>
    </row>
    <row r="300" spans="2:9" ht="14.5">
      <c r="B300" s="300" t="s">
        <v>926</v>
      </c>
      <c r="C300" s="300" t="s">
        <v>1853</v>
      </c>
      <c r="D300" s="300" t="s">
        <v>1854</v>
      </c>
      <c r="E300" s="300" t="s">
        <v>928</v>
      </c>
      <c r="F300" s="300" t="s">
        <v>1846</v>
      </c>
      <c r="G300" s="300" t="s">
        <v>1847</v>
      </c>
      <c r="H300" s="300" t="s">
        <v>1843</v>
      </c>
      <c r="I300" s="300" t="s">
        <v>449</v>
      </c>
    </row>
    <row r="301" spans="2:9" ht="14.5">
      <c r="B301" s="300" t="s">
        <v>926</v>
      </c>
      <c r="C301" s="300" t="s">
        <v>1855</v>
      </c>
      <c r="D301" s="300" t="s">
        <v>1856</v>
      </c>
      <c r="E301" s="300" t="s">
        <v>928</v>
      </c>
      <c r="F301" s="378" t="s">
        <v>5125</v>
      </c>
      <c r="G301" s="300" t="s">
        <v>1857</v>
      </c>
      <c r="H301" s="300" t="s">
        <v>1843</v>
      </c>
      <c r="I301" s="300" t="s">
        <v>449</v>
      </c>
    </row>
    <row r="302" spans="2:9" ht="14.5">
      <c r="B302" s="300" t="s">
        <v>926</v>
      </c>
      <c r="C302" s="300" t="s">
        <v>1858</v>
      </c>
      <c r="D302" s="300" t="s">
        <v>1859</v>
      </c>
      <c r="E302" s="300" t="s">
        <v>928</v>
      </c>
      <c r="F302" s="300" t="s">
        <v>1860</v>
      </c>
      <c r="G302" s="300" t="s">
        <v>1861</v>
      </c>
      <c r="H302" s="300" t="s">
        <v>1843</v>
      </c>
      <c r="I302" s="300" t="s">
        <v>449</v>
      </c>
    </row>
    <row r="303" spans="2:9" ht="14.5">
      <c r="B303" s="300" t="s">
        <v>926</v>
      </c>
      <c r="C303" s="300" t="s">
        <v>1862</v>
      </c>
      <c r="D303" s="300" t="s">
        <v>1863</v>
      </c>
      <c r="E303" s="300" t="s">
        <v>928</v>
      </c>
      <c r="F303" s="378" t="s">
        <v>5126</v>
      </c>
      <c r="G303" s="300" t="s">
        <v>1864</v>
      </c>
      <c r="H303" s="300" t="s">
        <v>1843</v>
      </c>
      <c r="I303" s="300" t="s">
        <v>449</v>
      </c>
    </row>
    <row r="304" spans="2:9" ht="14.5">
      <c r="B304" s="300" t="s">
        <v>926</v>
      </c>
      <c r="C304" s="300" t="s">
        <v>1865</v>
      </c>
      <c r="D304" s="300" t="s">
        <v>1866</v>
      </c>
      <c r="E304" s="300" t="s">
        <v>928</v>
      </c>
      <c r="F304" s="300" t="s">
        <v>1867</v>
      </c>
      <c r="G304" s="300" t="s">
        <v>1866</v>
      </c>
      <c r="H304" s="300" t="s">
        <v>1843</v>
      </c>
      <c r="I304" s="300" t="s">
        <v>449</v>
      </c>
    </row>
    <row r="305" spans="2:9" ht="14.5">
      <c r="B305" s="300" t="s">
        <v>926</v>
      </c>
      <c r="C305" s="300" t="s">
        <v>1868</v>
      </c>
      <c r="D305" s="300" t="s">
        <v>1869</v>
      </c>
      <c r="E305" s="300" t="s">
        <v>928</v>
      </c>
      <c r="F305" s="378" t="s">
        <v>5127</v>
      </c>
      <c r="G305" s="300" t="s">
        <v>1870</v>
      </c>
      <c r="H305" s="300" t="s">
        <v>1843</v>
      </c>
      <c r="I305" s="300" t="s">
        <v>449</v>
      </c>
    </row>
    <row r="306" spans="2:9" ht="14.5">
      <c r="B306" s="300" t="s">
        <v>926</v>
      </c>
      <c r="C306" s="300" t="s">
        <v>1871</v>
      </c>
      <c r="D306" s="300" t="s">
        <v>1872</v>
      </c>
      <c r="E306" s="300" t="s">
        <v>928</v>
      </c>
      <c r="F306" s="300" t="s">
        <v>1873</v>
      </c>
      <c r="G306" s="300" t="s">
        <v>1874</v>
      </c>
      <c r="H306" s="300" t="s">
        <v>1875</v>
      </c>
      <c r="I306" s="300" t="s">
        <v>449</v>
      </c>
    </row>
    <row r="307" spans="2:9" ht="14.5">
      <c r="B307" s="300" t="s">
        <v>926</v>
      </c>
      <c r="C307" s="300" t="s">
        <v>1876</v>
      </c>
      <c r="D307" s="300" t="s">
        <v>1877</v>
      </c>
      <c r="E307" s="300" t="s">
        <v>928</v>
      </c>
      <c r="F307" s="300" t="s">
        <v>1878</v>
      </c>
      <c r="G307" s="300" t="s">
        <v>1879</v>
      </c>
      <c r="H307" s="300" t="s">
        <v>1843</v>
      </c>
      <c r="I307" s="300" t="s">
        <v>449</v>
      </c>
    </row>
    <row r="308" spans="2:9" ht="14.5">
      <c r="B308" s="300" t="s">
        <v>926</v>
      </c>
      <c r="C308" s="300" t="s">
        <v>1880</v>
      </c>
      <c r="D308" s="300" t="s">
        <v>1881</v>
      </c>
      <c r="E308" s="300" t="s">
        <v>928</v>
      </c>
      <c r="F308" s="300" t="s">
        <v>1882</v>
      </c>
      <c r="G308" s="300" t="s">
        <v>1883</v>
      </c>
      <c r="H308" s="300" t="s">
        <v>1875</v>
      </c>
      <c r="I308" s="300" t="s">
        <v>449</v>
      </c>
    </row>
    <row r="309" spans="2:9" ht="14.5">
      <c r="B309" s="300" t="s">
        <v>926</v>
      </c>
      <c r="C309" s="300" t="s">
        <v>1884</v>
      </c>
      <c r="D309" s="300" t="s">
        <v>1885</v>
      </c>
      <c r="E309" s="300" t="s">
        <v>928</v>
      </c>
      <c r="F309" s="300" t="s">
        <v>1882</v>
      </c>
      <c r="G309" s="300" t="s">
        <v>1883</v>
      </c>
      <c r="H309" s="300" t="s">
        <v>1875</v>
      </c>
      <c r="I309" s="300" t="s">
        <v>449</v>
      </c>
    </row>
    <row r="310" spans="2:9" ht="14.5">
      <c r="B310" s="300" t="s">
        <v>926</v>
      </c>
      <c r="C310" s="300" t="s">
        <v>1886</v>
      </c>
      <c r="D310" s="300" t="s">
        <v>1887</v>
      </c>
      <c r="E310" s="300" t="s">
        <v>928</v>
      </c>
      <c r="F310" s="300" t="s">
        <v>1882</v>
      </c>
      <c r="G310" s="300" t="s">
        <v>1883</v>
      </c>
      <c r="H310" s="300" t="s">
        <v>1875</v>
      </c>
      <c r="I310" s="300" t="s">
        <v>449</v>
      </c>
    </row>
    <row r="311" spans="2:9" ht="14.5">
      <c r="B311" s="300" t="s">
        <v>926</v>
      </c>
      <c r="C311" s="300" t="s">
        <v>1888</v>
      </c>
      <c r="D311" s="300" t="s">
        <v>1889</v>
      </c>
      <c r="E311" s="300" t="s">
        <v>928</v>
      </c>
      <c r="F311" s="378" t="s">
        <v>5127</v>
      </c>
      <c r="G311" s="300" t="s">
        <v>1870</v>
      </c>
      <c r="H311" s="300" t="s">
        <v>1843</v>
      </c>
      <c r="I311" s="300" t="s">
        <v>449</v>
      </c>
    </row>
    <row r="312" spans="2:9" ht="14.5">
      <c r="B312" s="300" t="s">
        <v>926</v>
      </c>
      <c r="C312" s="300" t="s">
        <v>1890</v>
      </c>
      <c r="D312" s="300" t="s">
        <v>1891</v>
      </c>
      <c r="E312" s="300" t="s">
        <v>928</v>
      </c>
      <c r="F312" s="300" t="s">
        <v>1892</v>
      </c>
      <c r="G312" s="300" t="s">
        <v>1893</v>
      </c>
      <c r="H312" s="300" t="s">
        <v>1843</v>
      </c>
      <c r="I312" s="300" t="s">
        <v>449</v>
      </c>
    </row>
    <row r="313" spans="2:9" ht="14.5">
      <c r="B313" s="300" t="s">
        <v>926</v>
      </c>
      <c r="C313" s="300" t="s">
        <v>1894</v>
      </c>
      <c r="D313" s="300" t="s">
        <v>1895</v>
      </c>
      <c r="E313" s="300" t="s">
        <v>928</v>
      </c>
      <c r="F313" s="378" t="s">
        <v>5127</v>
      </c>
      <c r="G313" s="300" t="s">
        <v>1870</v>
      </c>
      <c r="H313" s="300" t="s">
        <v>1843</v>
      </c>
      <c r="I313" s="300" t="s">
        <v>449</v>
      </c>
    </row>
    <row r="314" spans="2:9" ht="14.5">
      <c r="B314" s="300" t="s">
        <v>926</v>
      </c>
      <c r="C314" s="300" t="s">
        <v>1896</v>
      </c>
      <c r="D314" s="300" t="s">
        <v>1897</v>
      </c>
      <c r="E314" s="300" t="s">
        <v>928</v>
      </c>
      <c r="F314" s="300" t="s">
        <v>1898</v>
      </c>
      <c r="G314" s="300" t="s">
        <v>1899</v>
      </c>
      <c r="H314" s="300" t="s">
        <v>1843</v>
      </c>
      <c r="I314" s="300" t="s">
        <v>449</v>
      </c>
    </row>
    <row r="315" spans="2:9" ht="14.5">
      <c r="B315" s="300" t="s">
        <v>926</v>
      </c>
      <c r="C315" s="300" t="s">
        <v>1900</v>
      </c>
      <c r="D315" s="300" t="s">
        <v>1901</v>
      </c>
      <c r="E315" s="300" t="s">
        <v>928</v>
      </c>
      <c r="F315" s="378" t="s">
        <v>5128</v>
      </c>
      <c r="G315" s="300" t="s">
        <v>1902</v>
      </c>
      <c r="H315" s="300" t="s">
        <v>1490</v>
      </c>
      <c r="I315" s="300" t="s">
        <v>449</v>
      </c>
    </row>
    <row r="316" spans="2:9" ht="14.5">
      <c r="B316" s="300" t="s">
        <v>926</v>
      </c>
      <c r="C316" s="300" t="s">
        <v>1903</v>
      </c>
      <c r="D316" s="300" t="s">
        <v>1904</v>
      </c>
      <c r="E316" s="300" t="s">
        <v>928</v>
      </c>
      <c r="F316" s="378" t="s">
        <v>5127</v>
      </c>
      <c r="G316" s="300" t="s">
        <v>1870</v>
      </c>
      <c r="H316" s="300" t="s">
        <v>1843</v>
      </c>
      <c r="I316" s="300" t="s">
        <v>449</v>
      </c>
    </row>
    <row r="317" spans="2:9" ht="14.5">
      <c r="B317" s="300" t="s">
        <v>926</v>
      </c>
      <c r="C317" s="300" t="s">
        <v>1905</v>
      </c>
      <c r="D317" s="300" t="s">
        <v>1906</v>
      </c>
      <c r="E317" s="300" t="s">
        <v>928</v>
      </c>
      <c r="F317" s="300" t="s">
        <v>1907</v>
      </c>
      <c r="G317" s="300" t="s">
        <v>1908</v>
      </c>
      <c r="H317" s="300" t="s">
        <v>1490</v>
      </c>
      <c r="I317" s="300" t="s">
        <v>449</v>
      </c>
    </row>
    <row r="318" spans="2:9" ht="14.5">
      <c r="B318" s="300" t="s">
        <v>926</v>
      </c>
      <c r="C318" s="300" t="s">
        <v>1909</v>
      </c>
      <c r="D318" s="300" t="s">
        <v>1910</v>
      </c>
      <c r="E318" s="300" t="s">
        <v>928</v>
      </c>
      <c r="F318" s="378" t="s">
        <v>5129</v>
      </c>
      <c r="G318" s="300" t="s">
        <v>1911</v>
      </c>
      <c r="H318" s="300" t="s">
        <v>1490</v>
      </c>
      <c r="I318" s="300" t="s">
        <v>449</v>
      </c>
    </row>
    <row r="319" spans="2:9" ht="14.5">
      <c r="B319" s="300" t="s">
        <v>926</v>
      </c>
      <c r="C319" s="300" t="s">
        <v>1912</v>
      </c>
      <c r="D319" s="300" t="s">
        <v>1913</v>
      </c>
      <c r="E319" s="300" t="s">
        <v>928</v>
      </c>
      <c r="F319" s="300" t="s">
        <v>1914</v>
      </c>
      <c r="G319" s="300" t="s">
        <v>1915</v>
      </c>
      <c r="H319" s="300" t="s">
        <v>1490</v>
      </c>
      <c r="I319" s="300" t="s">
        <v>449</v>
      </c>
    </row>
    <row r="320" spans="2:9" ht="14.5">
      <c r="B320" s="300" t="s">
        <v>926</v>
      </c>
      <c r="C320" s="300" t="s">
        <v>1916</v>
      </c>
      <c r="D320" s="300" t="s">
        <v>1917</v>
      </c>
      <c r="E320" s="300" t="s">
        <v>928</v>
      </c>
      <c r="F320" s="300" t="s">
        <v>1907</v>
      </c>
      <c r="G320" s="300" t="s">
        <v>1908</v>
      </c>
      <c r="H320" s="300" t="s">
        <v>1490</v>
      </c>
      <c r="I320" s="300" t="s">
        <v>449</v>
      </c>
    </row>
    <row r="321" spans="2:9" ht="14.5">
      <c r="B321" s="300" t="s">
        <v>926</v>
      </c>
      <c r="C321" s="300" t="s">
        <v>1918</v>
      </c>
      <c r="D321" s="300" t="s">
        <v>1919</v>
      </c>
      <c r="E321" s="300" t="s">
        <v>928</v>
      </c>
      <c r="F321" s="378" t="s">
        <v>5129</v>
      </c>
      <c r="G321" s="300" t="s">
        <v>1911</v>
      </c>
      <c r="H321" s="300" t="s">
        <v>1490</v>
      </c>
      <c r="I321" s="300" t="s">
        <v>449</v>
      </c>
    </row>
    <row r="322" spans="2:9" ht="14.5">
      <c r="B322" s="300" t="s">
        <v>926</v>
      </c>
      <c r="C322" s="300" t="s">
        <v>1920</v>
      </c>
      <c r="D322" s="300" t="s">
        <v>1921</v>
      </c>
      <c r="E322" s="300" t="s">
        <v>928</v>
      </c>
      <c r="F322" s="300" t="s">
        <v>1922</v>
      </c>
      <c r="G322" s="300" t="s">
        <v>1923</v>
      </c>
      <c r="H322" s="300" t="s">
        <v>1490</v>
      </c>
      <c r="I322" s="300" t="s">
        <v>449</v>
      </c>
    </row>
    <row r="323" spans="2:9" ht="14.5">
      <c r="B323" s="300" t="s">
        <v>926</v>
      </c>
      <c r="C323" s="300" t="s">
        <v>1924</v>
      </c>
      <c r="D323" s="300" t="s">
        <v>1925</v>
      </c>
      <c r="E323" s="300" t="s">
        <v>928</v>
      </c>
      <c r="F323" s="300" t="s">
        <v>1914</v>
      </c>
      <c r="G323" s="300" t="s">
        <v>1915</v>
      </c>
      <c r="H323" s="300" t="s">
        <v>1490</v>
      </c>
      <c r="I323" s="300" t="s">
        <v>449</v>
      </c>
    </row>
    <row r="324" spans="2:9" ht="14.5">
      <c r="B324" s="300" t="s">
        <v>926</v>
      </c>
      <c r="C324" s="300" t="s">
        <v>1926</v>
      </c>
      <c r="D324" s="300" t="s">
        <v>1927</v>
      </c>
      <c r="E324" s="300" t="s">
        <v>928</v>
      </c>
      <c r="F324" s="300" t="s">
        <v>1928</v>
      </c>
      <c r="G324" s="300" t="s">
        <v>1929</v>
      </c>
      <c r="H324" s="300" t="s">
        <v>1490</v>
      </c>
      <c r="I324" s="300" t="s">
        <v>449</v>
      </c>
    </row>
    <row r="325" spans="2:9" ht="14.5">
      <c r="B325" s="300" t="s">
        <v>926</v>
      </c>
      <c r="C325" s="300" t="s">
        <v>1930</v>
      </c>
      <c r="D325" s="300" t="s">
        <v>1931</v>
      </c>
      <c r="E325" s="300" t="s">
        <v>928</v>
      </c>
      <c r="F325" s="300" t="s">
        <v>1932</v>
      </c>
      <c r="G325" s="300" t="s">
        <v>1933</v>
      </c>
      <c r="H325" s="300" t="s">
        <v>1490</v>
      </c>
      <c r="I325" s="300" t="s">
        <v>449</v>
      </c>
    </row>
    <row r="326" spans="2:9" ht="14.5">
      <c r="B326" s="300" t="s">
        <v>926</v>
      </c>
      <c r="C326" s="300" t="s">
        <v>1934</v>
      </c>
      <c r="D326" s="300" t="s">
        <v>1935</v>
      </c>
      <c r="E326" s="300" t="s">
        <v>928</v>
      </c>
      <c r="F326" s="300" t="s">
        <v>1932</v>
      </c>
      <c r="G326" s="300" t="s">
        <v>1933</v>
      </c>
      <c r="H326" s="300" t="s">
        <v>1490</v>
      </c>
      <c r="I326" s="300" t="s">
        <v>449</v>
      </c>
    </row>
    <row r="327" spans="2:9" ht="14.5">
      <c r="B327" s="300" t="s">
        <v>926</v>
      </c>
      <c r="C327" s="300" t="s">
        <v>1936</v>
      </c>
      <c r="D327" s="300" t="s">
        <v>1937</v>
      </c>
      <c r="E327" s="300" t="s">
        <v>928</v>
      </c>
      <c r="F327" s="300" t="s">
        <v>1938</v>
      </c>
      <c r="G327" s="300" t="s">
        <v>1939</v>
      </c>
      <c r="H327" s="300" t="s">
        <v>1490</v>
      </c>
      <c r="I327" s="300" t="s">
        <v>449</v>
      </c>
    </row>
    <row r="328" spans="2:9" ht="14.5">
      <c r="B328" s="300" t="s">
        <v>926</v>
      </c>
      <c r="C328" s="300" t="s">
        <v>1940</v>
      </c>
      <c r="D328" s="300" t="s">
        <v>1941</v>
      </c>
      <c r="E328" s="300" t="s">
        <v>928</v>
      </c>
      <c r="F328" s="300" t="s">
        <v>1942</v>
      </c>
      <c r="G328" s="300" t="s">
        <v>1943</v>
      </c>
      <c r="H328" s="300" t="s">
        <v>1490</v>
      </c>
      <c r="I328" s="300" t="s">
        <v>449</v>
      </c>
    </row>
    <row r="329" spans="2:9" ht="14.5">
      <c r="B329" s="300" t="s">
        <v>926</v>
      </c>
      <c r="C329" s="300" t="s">
        <v>1944</v>
      </c>
      <c r="D329" s="300" t="s">
        <v>1945</v>
      </c>
      <c r="E329" s="300" t="s">
        <v>928</v>
      </c>
      <c r="F329" s="300" t="s">
        <v>1942</v>
      </c>
      <c r="G329" s="300" t="s">
        <v>1943</v>
      </c>
      <c r="H329" s="300" t="s">
        <v>1490</v>
      </c>
      <c r="I329" s="300" t="s">
        <v>449</v>
      </c>
    </row>
    <row r="330" spans="2:9" ht="14.5">
      <c r="B330" s="300" t="s">
        <v>926</v>
      </c>
      <c r="C330" s="300" t="s">
        <v>1946</v>
      </c>
      <c r="D330" s="300" t="s">
        <v>1947</v>
      </c>
      <c r="E330" s="300" t="s">
        <v>928</v>
      </c>
      <c r="F330" s="378" t="s">
        <v>5130</v>
      </c>
      <c r="G330" s="300" t="s">
        <v>1948</v>
      </c>
      <c r="H330" s="300" t="s">
        <v>1490</v>
      </c>
      <c r="I330" s="300" t="s">
        <v>449</v>
      </c>
    </row>
    <row r="331" spans="2:9" ht="14.5">
      <c r="B331" s="300" t="s">
        <v>926</v>
      </c>
      <c r="C331" s="300" t="s">
        <v>1949</v>
      </c>
      <c r="D331" s="300" t="s">
        <v>1950</v>
      </c>
      <c r="E331" s="300" t="s">
        <v>928</v>
      </c>
      <c r="F331" s="300" t="s">
        <v>1951</v>
      </c>
      <c r="G331" s="300" t="s">
        <v>1952</v>
      </c>
      <c r="H331" s="300" t="s">
        <v>1490</v>
      </c>
      <c r="I331" s="300" t="s">
        <v>449</v>
      </c>
    </row>
    <row r="332" spans="2:9" ht="14.5">
      <c r="B332" s="300" t="s">
        <v>926</v>
      </c>
      <c r="C332" s="300" t="s">
        <v>1953</v>
      </c>
      <c r="D332" s="300" t="s">
        <v>1954</v>
      </c>
      <c r="E332" s="300" t="s">
        <v>928</v>
      </c>
      <c r="F332" s="300" t="s">
        <v>1955</v>
      </c>
      <c r="G332" s="300" t="s">
        <v>1956</v>
      </c>
      <c r="H332" s="300" t="s">
        <v>1843</v>
      </c>
      <c r="I332" s="300" t="s">
        <v>449</v>
      </c>
    </row>
    <row r="333" spans="2:9" ht="14.5">
      <c r="B333" s="300" t="s">
        <v>926</v>
      </c>
      <c r="C333" s="300" t="s">
        <v>1957</v>
      </c>
      <c r="D333" s="300" t="s">
        <v>1958</v>
      </c>
      <c r="E333" s="300" t="s">
        <v>928</v>
      </c>
      <c r="F333" s="300" t="s">
        <v>1959</v>
      </c>
      <c r="G333" s="300" t="s">
        <v>1960</v>
      </c>
      <c r="H333" s="300" t="s">
        <v>1490</v>
      </c>
      <c r="I333" s="300" t="s">
        <v>449</v>
      </c>
    </row>
    <row r="334" spans="2:9" ht="14.5">
      <c r="B334" s="300" t="s">
        <v>926</v>
      </c>
      <c r="C334" s="300" t="s">
        <v>1961</v>
      </c>
      <c r="D334" s="300" t="s">
        <v>1962</v>
      </c>
      <c r="E334" s="300" t="s">
        <v>928</v>
      </c>
      <c r="F334" s="300" t="s">
        <v>1951</v>
      </c>
      <c r="G334" s="300" t="s">
        <v>1952</v>
      </c>
      <c r="H334" s="300" t="s">
        <v>1490</v>
      </c>
      <c r="I334" s="300" t="s">
        <v>449</v>
      </c>
    </row>
    <row r="335" spans="2:9" ht="14.5">
      <c r="B335" s="300" t="s">
        <v>926</v>
      </c>
      <c r="C335" s="300" t="s">
        <v>1963</v>
      </c>
      <c r="D335" s="300" t="s">
        <v>1964</v>
      </c>
      <c r="E335" s="300" t="s">
        <v>928</v>
      </c>
      <c r="F335" s="300" t="s">
        <v>1965</v>
      </c>
      <c r="G335" s="300" t="s">
        <v>1966</v>
      </c>
      <c r="H335" s="300" t="s">
        <v>1490</v>
      </c>
      <c r="I335" s="300" t="s">
        <v>449</v>
      </c>
    </row>
    <row r="336" spans="2:9" ht="14.5">
      <c r="B336" s="300" t="s">
        <v>926</v>
      </c>
      <c r="C336" s="300" t="s">
        <v>1967</v>
      </c>
      <c r="D336" s="300" t="s">
        <v>1968</v>
      </c>
      <c r="E336" s="300" t="s">
        <v>928</v>
      </c>
      <c r="F336" s="300" t="s">
        <v>1965</v>
      </c>
      <c r="G336" s="300" t="s">
        <v>1966</v>
      </c>
      <c r="H336" s="300" t="s">
        <v>1490</v>
      </c>
      <c r="I336" s="300" t="s">
        <v>449</v>
      </c>
    </row>
    <row r="337" spans="2:9" ht="14.5">
      <c r="B337" s="300" t="s">
        <v>926</v>
      </c>
      <c r="C337" s="300" t="s">
        <v>1969</v>
      </c>
      <c r="D337" s="300" t="s">
        <v>1970</v>
      </c>
      <c r="E337" s="300" t="s">
        <v>928</v>
      </c>
      <c r="F337" s="300" t="s">
        <v>1971</v>
      </c>
      <c r="G337" s="300" t="s">
        <v>1972</v>
      </c>
      <c r="H337" s="300" t="s">
        <v>1490</v>
      </c>
      <c r="I337" s="300" t="s">
        <v>449</v>
      </c>
    </row>
    <row r="338" spans="2:9" ht="14.5">
      <c r="B338" s="300" t="s">
        <v>926</v>
      </c>
      <c r="C338" s="300" t="s">
        <v>1973</v>
      </c>
      <c r="D338" s="300" t="s">
        <v>1974</v>
      </c>
      <c r="E338" s="300" t="s">
        <v>928</v>
      </c>
      <c r="F338" s="300" t="s">
        <v>1942</v>
      </c>
      <c r="G338" s="300" t="s">
        <v>1943</v>
      </c>
      <c r="H338" s="300" t="s">
        <v>1490</v>
      </c>
      <c r="I338" s="300" t="s">
        <v>449</v>
      </c>
    </row>
    <row r="339" spans="2:9" ht="14.5">
      <c r="B339" s="300" t="s">
        <v>926</v>
      </c>
      <c r="C339" s="300" t="s">
        <v>1975</v>
      </c>
      <c r="D339" s="300" t="s">
        <v>1976</v>
      </c>
      <c r="E339" s="300" t="s">
        <v>928</v>
      </c>
      <c r="F339" s="300" t="s">
        <v>1965</v>
      </c>
      <c r="G339" s="300" t="s">
        <v>1966</v>
      </c>
      <c r="H339" s="300" t="s">
        <v>1490</v>
      </c>
      <c r="I339" s="300" t="s">
        <v>449</v>
      </c>
    </row>
    <row r="340" spans="2:9" ht="14.5">
      <c r="B340" s="300" t="s">
        <v>926</v>
      </c>
      <c r="C340" s="300" t="s">
        <v>1977</v>
      </c>
      <c r="D340" s="300" t="s">
        <v>1978</v>
      </c>
      <c r="E340" s="300" t="s">
        <v>928</v>
      </c>
      <c r="F340" s="378" t="s">
        <v>5131</v>
      </c>
      <c r="G340" s="300" t="s">
        <v>1979</v>
      </c>
      <c r="H340" s="300" t="s">
        <v>1490</v>
      </c>
      <c r="I340" s="300" t="s">
        <v>449</v>
      </c>
    </row>
    <row r="341" spans="2:9" ht="14.5">
      <c r="B341" s="300" t="s">
        <v>926</v>
      </c>
      <c r="C341" s="300" t="s">
        <v>1980</v>
      </c>
      <c r="D341" s="300" t="s">
        <v>1981</v>
      </c>
      <c r="E341" s="300" t="s">
        <v>928</v>
      </c>
      <c r="F341" s="300" t="s">
        <v>1982</v>
      </c>
      <c r="G341" s="300" t="s">
        <v>1983</v>
      </c>
      <c r="H341" s="300" t="s">
        <v>1490</v>
      </c>
      <c r="I341" s="300" t="s">
        <v>449</v>
      </c>
    </row>
    <row r="342" spans="2:9" ht="14.5">
      <c r="B342" s="300" t="s">
        <v>926</v>
      </c>
      <c r="C342" s="300" t="s">
        <v>1984</v>
      </c>
      <c r="D342" s="300" t="s">
        <v>1985</v>
      </c>
      <c r="E342" s="300" t="s">
        <v>928</v>
      </c>
      <c r="F342" s="378" t="s">
        <v>5132</v>
      </c>
      <c r="G342" s="300" t="s">
        <v>1986</v>
      </c>
      <c r="H342" s="300" t="s">
        <v>1490</v>
      </c>
      <c r="I342" s="300" t="s">
        <v>449</v>
      </c>
    </row>
    <row r="343" spans="2:9" ht="14.5">
      <c r="B343" s="300" t="s">
        <v>926</v>
      </c>
      <c r="C343" s="300" t="s">
        <v>1987</v>
      </c>
      <c r="D343" s="300" t="s">
        <v>1988</v>
      </c>
      <c r="E343" s="300" t="s">
        <v>928</v>
      </c>
      <c r="F343" s="300" t="s">
        <v>1989</v>
      </c>
      <c r="G343" s="300" t="s">
        <v>1988</v>
      </c>
      <c r="H343" s="300" t="s">
        <v>1490</v>
      </c>
      <c r="I343" s="300" t="s">
        <v>449</v>
      </c>
    </row>
    <row r="344" spans="2:9" ht="14.5">
      <c r="B344" s="300" t="s">
        <v>926</v>
      </c>
      <c r="C344" s="300" t="s">
        <v>1990</v>
      </c>
      <c r="D344" s="300" t="s">
        <v>1991</v>
      </c>
      <c r="E344" s="300" t="s">
        <v>928</v>
      </c>
      <c r="F344" s="378" t="s">
        <v>5133</v>
      </c>
      <c r="G344" s="300" t="s">
        <v>1992</v>
      </c>
      <c r="H344" s="300" t="s">
        <v>1490</v>
      </c>
      <c r="I344" s="300" t="s">
        <v>449</v>
      </c>
    </row>
    <row r="345" spans="2:9" ht="14.5">
      <c r="B345" s="300" t="s">
        <v>926</v>
      </c>
      <c r="C345" s="300" t="s">
        <v>1993</v>
      </c>
      <c r="D345" s="300" t="s">
        <v>1994</v>
      </c>
      <c r="E345" s="300" t="s">
        <v>928</v>
      </c>
      <c r="F345" s="300" t="s">
        <v>1995</v>
      </c>
      <c r="G345" s="300" t="s">
        <v>1996</v>
      </c>
      <c r="H345" s="300" t="s">
        <v>1490</v>
      </c>
      <c r="I345" s="300" t="s">
        <v>449</v>
      </c>
    </row>
    <row r="346" spans="2:9" ht="14.5">
      <c r="B346" s="300" t="s">
        <v>926</v>
      </c>
      <c r="C346" s="300" t="s">
        <v>1997</v>
      </c>
      <c r="D346" s="300" t="s">
        <v>1998</v>
      </c>
      <c r="E346" s="300" t="s">
        <v>928</v>
      </c>
      <c r="F346" s="300" t="s">
        <v>1995</v>
      </c>
      <c r="G346" s="300" t="s">
        <v>1996</v>
      </c>
      <c r="H346" s="300" t="s">
        <v>1490</v>
      </c>
      <c r="I346" s="300" t="s">
        <v>449</v>
      </c>
    </row>
    <row r="347" spans="2:9" ht="14.5">
      <c r="B347" s="300" t="s">
        <v>926</v>
      </c>
      <c r="C347" s="300" t="s">
        <v>1999</v>
      </c>
      <c r="D347" s="300" t="s">
        <v>2000</v>
      </c>
      <c r="E347" s="300" t="s">
        <v>928</v>
      </c>
      <c r="F347" s="300" t="s">
        <v>2001</v>
      </c>
      <c r="G347" s="300" t="s">
        <v>2002</v>
      </c>
      <c r="H347" s="300" t="s">
        <v>1490</v>
      </c>
      <c r="I347" s="300" t="s">
        <v>449</v>
      </c>
    </row>
    <row r="348" spans="2:9" ht="14.5">
      <c r="B348" s="300" t="s">
        <v>926</v>
      </c>
      <c r="C348" s="300" t="s">
        <v>2003</v>
      </c>
      <c r="D348" s="300" t="s">
        <v>2004</v>
      </c>
      <c r="E348" s="300" t="s">
        <v>928</v>
      </c>
      <c r="F348" s="378" t="s">
        <v>5134</v>
      </c>
      <c r="G348" s="300" t="s">
        <v>2005</v>
      </c>
      <c r="H348" s="300" t="s">
        <v>1490</v>
      </c>
      <c r="I348" s="300" t="s">
        <v>449</v>
      </c>
    </row>
    <row r="349" spans="2:9" ht="14.5">
      <c r="B349" s="300" t="s">
        <v>926</v>
      </c>
      <c r="C349" s="300" t="s">
        <v>2006</v>
      </c>
      <c r="D349" s="300" t="s">
        <v>2007</v>
      </c>
      <c r="E349" s="300" t="s">
        <v>928</v>
      </c>
      <c r="F349" s="378" t="s">
        <v>2150</v>
      </c>
      <c r="G349" s="300" t="s">
        <v>2008</v>
      </c>
      <c r="H349" s="300" t="s">
        <v>1490</v>
      </c>
      <c r="I349" s="300" t="s">
        <v>449</v>
      </c>
    </row>
    <row r="350" spans="2:9" ht="14.5">
      <c r="B350" s="300" t="s">
        <v>926</v>
      </c>
      <c r="C350" s="300" t="s">
        <v>2009</v>
      </c>
      <c r="D350" s="300" t="s">
        <v>2010</v>
      </c>
      <c r="E350" s="300" t="s">
        <v>928</v>
      </c>
      <c r="F350" s="300" t="s">
        <v>2011</v>
      </c>
      <c r="G350" s="300" t="s">
        <v>2012</v>
      </c>
      <c r="H350" s="300" t="s">
        <v>1490</v>
      </c>
      <c r="I350" s="300" t="s">
        <v>449</v>
      </c>
    </row>
    <row r="351" spans="2:9" ht="14.5">
      <c r="B351" s="300" t="s">
        <v>926</v>
      </c>
      <c r="C351" s="300" t="s">
        <v>2013</v>
      </c>
      <c r="D351" s="300" t="s">
        <v>2014</v>
      </c>
      <c r="E351" s="300" t="s">
        <v>928</v>
      </c>
      <c r="F351" s="378" t="s">
        <v>5131</v>
      </c>
      <c r="G351" s="300" t="s">
        <v>1979</v>
      </c>
      <c r="H351" s="300" t="s">
        <v>1490</v>
      </c>
      <c r="I351" s="300" t="s">
        <v>449</v>
      </c>
    </row>
    <row r="352" spans="2:9" ht="14.5">
      <c r="B352" s="300" t="s">
        <v>926</v>
      </c>
      <c r="C352" s="300" t="s">
        <v>2015</v>
      </c>
      <c r="D352" s="300" t="s">
        <v>2016</v>
      </c>
      <c r="E352" s="300" t="s">
        <v>928</v>
      </c>
      <c r="F352" s="300" t="s">
        <v>1982</v>
      </c>
      <c r="G352" s="300" t="s">
        <v>1983</v>
      </c>
      <c r="H352" s="300" t="s">
        <v>1490</v>
      </c>
      <c r="I352" s="300" t="s">
        <v>449</v>
      </c>
    </row>
    <row r="353" spans="2:9" ht="14.5">
      <c r="B353" s="300" t="s">
        <v>926</v>
      </c>
      <c r="C353" s="300" t="s">
        <v>2017</v>
      </c>
      <c r="D353" s="300" t="s">
        <v>2018</v>
      </c>
      <c r="E353" s="300" t="s">
        <v>928</v>
      </c>
      <c r="F353" s="378" t="s">
        <v>2160</v>
      </c>
      <c r="G353" s="300" t="s">
        <v>2019</v>
      </c>
      <c r="H353" s="300" t="s">
        <v>1490</v>
      </c>
      <c r="I353" s="300" t="s">
        <v>449</v>
      </c>
    </row>
    <row r="354" spans="2:9" ht="14.5">
      <c r="B354" s="300" t="s">
        <v>926</v>
      </c>
      <c r="C354" s="300" t="s">
        <v>2020</v>
      </c>
      <c r="D354" s="300" t="s">
        <v>2021</v>
      </c>
      <c r="E354" s="300" t="s">
        <v>928</v>
      </c>
      <c r="F354" s="300" t="s">
        <v>2022</v>
      </c>
      <c r="G354" s="300" t="s">
        <v>2023</v>
      </c>
      <c r="H354" s="300" t="s">
        <v>1490</v>
      </c>
      <c r="I354" s="300" t="s">
        <v>449</v>
      </c>
    </row>
    <row r="355" spans="2:9" ht="14.5">
      <c r="B355" s="300" t="s">
        <v>926</v>
      </c>
      <c r="C355" s="300" t="s">
        <v>2024</v>
      </c>
      <c r="D355" s="300" t="s">
        <v>2025</v>
      </c>
      <c r="E355" s="300" t="s">
        <v>928</v>
      </c>
      <c r="F355" s="300" t="s">
        <v>2026</v>
      </c>
      <c r="G355" s="300" t="s">
        <v>2027</v>
      </c>
      <c r="H355" s="300" t="s">
        <v>1490</v>
      </c>
      <c r="I355" s="300" t="s">
        <v>449</v>
      </c>
    </row>
    <row r="356" spans="2:9" ht="14.5">
      <c r="B356" s="300" t="s">
        <v>926</v>
      </c>
      <c r="C356" s="300" t="s">
        <v>2028</v>
      </c>
      <c r="D356" s="300" t="s">
        <v>2029</v>
      </c>
      <c r="E356" s="300" t="s">
        <v>928</v>
      </c>
      <c r="F356" s="300" t="s">
        <v>2030</v>
      </c>
      <c r="G356" s="300" t="s">
        <v>2031</v>
      </c>
      <c r="H356" s="300" t="s">
        <v>1490</v>
      </c>
      <c r="I356" s="300" t="s">
        <v>449</v>
      </c>
    </row>
    <row r="357" spans="2:9" ht="14.5">
      <c r="B357" s="300" t="s">
        <v>926</v>
      </c>
      <c r="C357" s="300" t="s">
        <v>2032</v>
      </c>
      <c r="D357" s="300" t="s">
        <v>2033</v>
      </c>
      <c r="E357" s="300" t="s">
        <v>928</v>
      </c>
      <c r="F357" s="300" t="s">
        <v>2034</v>
      </c>
      <c r="G357" s="300" t="s">
        <v>2035</v>
      </c>
      <c r="H357" s="300" t="s">
        <v>1490</v>
      </c>
      <c r="I357" s="300" t="s">
        <v>449</v>
      </c>
    </row>
    <row r="358" spans="2:9" ht="14.5">
      <c r="B358" s="300" t="s">
        <v>926</v>
      </c>
      <c r="C358" s="300" t="s">
        <v>2036</v>
      </c>
      <c r="D358" s="300" t="s">
        <v>2037</v>
      </c>
      <c r="E358" s="300" t="s">
        <v>928</v>
      </c>
      <c r="F358" s="300" t="s">
        <v>2038</v>
      </c>
      <c r="G358" s="300" t="s">
        <v>2039</v>
      </c>
      <c r="H358" s="300" t="s">
        <v>1490</v>
      </c>
      <c r="I358" s="300" t="s">
        <v>449</v>
      </c>
    </row>
    <row r="359" spans="2:9" ht="14.5">
      <c r="B359" s="300" t="s">
        <v>926</v>
      </c>
      <c r="C359" s="300" t="s">
        <v>2040</v>
      </c>
      <c r="D359" s="300" t="s">
        <v>2041</v>
      </c>
      <c r="E359" s="300" t="s">
        <v>928</v>
      </c>
      <c r="F359" s="300" t="s">
        <v>2038</v>
      </c>
      <c r="G359" s="300" t="s">
        <v>2039</v>
      </c>
      <c r="H359" s="300" t="s">
        <v>1490</v>
      </c>
      <c r="I359" s="300" t="s">
        <v>449</v>
      </c>
    </row>
    <row r="360" spans="2:9" ht="14.5">
      <c r="B360" s="300" t="s">
        <v>926</v>
      </c>
      <c r="C360" s="300" t="s">
        <v>2042</v>
      </c>
      <c r="D360" s="300" t="s">
        <v>2043</v>
      </c>
      <c r="E360" s="300" t="s">
        <v>928</v>
      </c>
      <c r="F360" s="300" t="s">
        <v>2038</v>
      </c>
      <c r="G360" s="300" t="s">
        <v>2039</v>
      </c>
      <c r="H360" s="300" t="s">
        <v>1490</v>
      </c>
      <c r="I360" s="300" t="s">
        <v>449</v>
      </c>
    </row>
    <row r="361" spans="2:9" ht="14.5">
      <c r="B361" s="300" t="s">
        <v>926</v>
      </c>
      <c r="C361" s="300" t="s">
        <v>2044</v>
      </c>
      <c r="D361" s="300" t="s">
        <v>2045</v>
      </c>
      <c r="E361" s="300" t="s">
        <v>928</v>
      </c>
      <c r="F361" s="378" t="s">
        <v>5135</v>
      </c>
      <c r="G361" s="300" t="s">
        <v>2046</v>
      </c>
      <c r="H361" s="300" t="s">
        <v>1490</v>
      </c>
      <c r="I361" s="300" t="s">
        <v>449</v>
      </c>
    </row>
    <row r="362" spans="2:9" ht="14.5">
      <c r="B362" s="300" t="s">
        <v>926</v>
      </c>
      <c r="C362" s="300" t="s">
        <v>2047</v>
      </c>
      <c r="D362" s="300" t="s">
        <v>2048</v>
      </c>
      <c r="E362" s="300" t="s">
        <v>928</v>
      </c>
      <c r="F362" s="300" t="s">
        <v>2049</v>
      </c>
      <c r="G362" s="300" t="s">
        <v>2050</v>
      </c>
      <c r="H362" s="300" t="s">
        <v>1490</v>
      </c>
      <c r="I362" s="300" t="s">
        <v>449</v>
      </c>
    </row>
    <row r="363" spans="2:9" ht="14.5">
      <c r="B363" s="300" t="s">
        <v>926</v>
      </c>
      <c r="C363" s="300" t="s">
        <v>2051</v>
      </c>
      <c r="D363" s="300" t="s">
        <v>2052</v>
      </c>
      <c r="E363" s="300" t="s">
        <v>928</v>
      </c>
      <c r="F363" s="300" t="s">
        <v>2049</v>
      </c>
      <c r="G363" s="300" t="s">
        <v>2050</v>
      </c>
      <c r="H363" s="300" t="s">
        <v>1490</v>
      </c>
      <c r="I363" s="300" t="s">
        <v>449</v>
      </c>
    </row>
    <row r="364" spans="2:9" ht="14.5">
      <c r="B364" s="300" t="s">
        <v>926</v>
      </c>
      <c r="C364" s="300" t="s">
        <v>2053</v>
      </c>
      <c r="D364" s="300" t="s">
        <v>2054</v>
      </c>
      <c r="E364" s="300" t="s">
        <v>928</v>
      </c>
      <c r="F364" s="378" t="s">
        <v>2187</v>
      </c>
      <c r="G364" s="300" t="s">
        <v>2055</v>
      </c>
      <c r="H364" s="300" t="s">
        <v>1490</v>
      </c>
      <c r="I364" s="300" t="s">
        <v>449</v>
      </c>
    </row>
    <row r="365" spans="2:9" ht="14.5">
      <c r="B365" s="300" t="s">
        <v>926</v>
      </c>
      <c r="C365" s="300" t="s">
        <v>2056</v>
      </c>
      <c r="D365" s="300" t="s">
        <v>2057</v>
      </c>
      <c r="E365" s="300" t="s">
        <v>928</v>
      </c>
      <c r="F365" s="300" t="s">
        <v>2058</v>
      </c>
      <c r="G365" s="300" t="s">
        <v>2059</v>
      </c>
      <c r="H365" s="300" t="s">
        <v>1490</v>
      </c>
      <c r="I365" s="300" t="s">
        <v>449</v>
      </c>
    </row>
    <row r="366" spans="2:9" ht="14.5">
      <c r="B366" s="300" t="s">
        <v>926</v>
      </c>
      <c r="C366" s="300" t="s">
        <v>2060</v>
      </c>
      <c r="D366" s="300" t="s">
        <v>2061</v>
      </c>
      <c r="E366" s="300" t="s">
        <v>928</v>
      </c>
      <c r="F366" s="378" t="s">
        <v>5136</v>
      </c>
      <c r="G366" s="300" t="s">
        <v>2062</v>
      </c>
      <c r="H366" s="300" t="s">
        <v>1490</v>
      </c>
      <c r="I366" s="300" t="s">
        <v>449</v>
      </c>
    </row>
    <row r="367" spans="2:9" ht="14.5">
      <c r="B367" s="300" t="s">
        <v>926</v>
      </c>
      <c r="C367" s="300" t="s">
        <v>2063</v>
      </c>
      <c r="D367" s="300" t="s">
        <v>2064</v>
      </c>
      <c r="E367" s="300" t="s">
        <v>928</v>
      </c>
      <c r="F367" s="300" t="s">
        <v>2065</v>
      </c>
      <c r="G367" s="300" t="s">
        <v>2066</v>
      </c>
      <c r="H367" s="300" t="s">
        <v>1490</v>
      </c>
      <c r="I367" s="300" t="s">
        <v>449</v>
      </c>
    </row>
    <row r="368" spans="2:9" ht="14.5">
      <c r="B368" s="300" t="s">
        <v>926</v>
      </c>
      <c r="C368" s="300" t="s">
        <v>2067</v>
      </c>
      <c r="D368" s="300" t="s">
        <v>2068</v>
      </c>
      <c r="E368" s="300" t="s">
        <v>928</v>
      </c>
      <c r="F368" s="300" t="s">
        <v>2069</v>
      </c>
      <c r="G368" s="300" t="s">
        <v>2070</v>
      </c>
      <c r="H368" s="300" t="s">
        <v>1490</v>
      </c>
      <c r="I368" s="300" t="s">
        <v>449</v>
      </c>
    </row>
    <row r="369" spans="2:9" ht="14.5">
      <c r="B369" s="300" t="s">
        <v>926</v>
      </c>
      <c r="C369" s="300" t="s">
        <v>2071</v>
      </c>
      <c r="D369" s="300" t="s">
        <v>2072</v>
      </c>
      <c r="E369" s="300" t="s">
        <v>928</v>
      </c>
      <c r="F369" s="300" t="s">
        <v>2073</v>
      </c>
      <c r="G369" s="300" t="s">
        <v>2074</v>
      </c>
      <c r="H369" s="300" t="s">
        <v>1490</v>
      </c>
      <c r="I369" s="300" t="s">
        <v>449</v>
      </c>
    </row>
    <row r="370" spans="2:9" ht="14.5">
      <c r="B370" s="300" t="s">
        <v>926</v>
      </c>
      <c r="C370" s="300" t="s">
        <v>2075</v>
      </c>
      <c r="D370" s="300" t="s">
        <v>2076</v>
      </c>
      <c r="E370" s="300" t="s">
        <v>928</v>
      </c>
      <c r="F370" s="300" t="s">
        <v>2077</v>
      </c>
      <c r="G370" s="300" t="s">
        <v>2078</v>
      </c>
      <c r="H370" s="300" t="s">
        <v>1610</v>
      </c>
      <c r="I370" s="300" t="s">
        <v>449</v>
      </c>
    </row>
    <row r="371" spans="2:9" ht="14.5">
      <c r="B371" s="300" t="s">
        <v>926</v>
      </c>
      <c r="C371" s="300" t="s">
        <v>2079</v>
      </c>
      <c r="D371" s="300" t="s">
        <v>2080</v>
      </c>
      <c r="E371" s="300" t="s">
        <v>928</v>
      </c>
      <c r="F371" s="378" t="s">
        <v>5137</v>
      </c>
      <c r="G371" s="300" t="s">
        <v>2081</v>
      </c>
      <c r="H371" s="300" t="s">
        <v>1490</v>
      </c>
      <c r="I371" s="300" t="s">
        <v>449</v>
      </c>
    </row>
    <row r="372" spans="2:9" ht="14.5">
      <c r="B372" s="300" t="s">
        <v>926</v>
      </c>
      <c r="C372" s="300" t="s">
        <v>2082</v>
      </c>
      <c r="D372" s="300" t="s">
        <v>2083</v>
      </c>
      <c r="E372" s="300" t="s">
        <v>928</v>
      </c>
      <c r="F372" s="300" t="s">
        <v>2084</v>
      </c>
      <c r="G372" s="300" t="s">
        <v>2085</v>
      </c>
      <c r="H372" s="300" t="s">
        <v>1490</v>
      </c>
      <c r="I372" s="300" t="s">
        <v>449</v>
      </c>
    </row>
    <row r="373" spans="2:9" ht="14.5">
      <c r="B373" s="300" t="s">
        <v>926</v>
      </c>
      <c r="C373" s="300" t="s">
        <v>2086</v>
      </c>
      <c r="D373" s="300" t="s">
        <v>2087</v>
      </c>
      <c r="E373" s="300" t="s">
        <v>928</v>
      </c>
      <c r="F373" s="300" t="s">
        <v>2088</v>
      </c>
      <c r="G373" s="300" t="s">
        <v>2089</v>
      </c>
      <c r="H373" s="300" t="s">
        <v>1490</v>
      </c>
      <c r="I373" s="300" t="s">
        <v>449</v>
      </c>
    </row>
    <row r="374" spans="2:9" ht="14.5">
      <c r="B374" s="300" t="s">
        <v>926</v>
      </c>
      <c r="C374" s="300" t="s">
        <v>2090</v>
      </c>
      <c r="D374" s="300" t="s">
        <v>2091</v>
      </c>
      <c r="E374" s="300" t="s">
        <v>928</v>
      </c>
      <c r="F374" s="300" t="s">
        <v>2092</v>
      </c>
      <c r="G374" s="300" t="s">
        <v>2093</v>
      </c>
      <c r="H374" s="300" t="s">
        <v>1490</v>
      </c>
      <c r="I374" s="300" t="s">
        <v>449</v>
      </c>
    </row>
    <row r="375" spans="2:9" ht="14.5">
      <c r="B375" s="300" t="s">
        <v>926</v>
      </c>
      <c r="C375" s="300" t="s">
        <v>2094</v>
      </c>
      <c r="D375" s="300" t="s">
        <v>2095</v>
      </c>
      <c r="E375" s="300" t="s">
        <v>928</v>
      </c>
      <c r="F375" s="300" t="s">
        <v>2096</v>
      </c>
      <c r="G375" s="300" t="s">
        <v>2097</v>
      </c>
      <c r="H375" s="300" t="s">
        <v>1374</v>
      </c>
      <c r="I375" s="300" t="s">
        <v>449</v>
      </c>
    </row>
    <row r="376" spans="2:9" ht="14.5">
      <c r="B376" s="300" t="s">
        <v>926</v>
      </c>
      <c r="C376" s="300" t="s">
        <v>2098</v>
      </c>
      <c r="D376" s="300" t="s">
        <v>2099</v>
      </c>
      <c r="E376" s="300" t="s">
        <v>928</v>
      </c>
      <c r="F376" s="300" t="s">
        <v>2100</v>
      </c>
      <c r="G376" s="300" t="s">
        <v>2101</v>
      </c>
      <c r="H376" s="300" t="s">
        <v>1490</v>
      </c>
      <c r="I376" s="300" t="s">
        <v>449</v>
      </c>
    </row>
    <row r="377" spans="2:9" ht="14.5">
      <c r="B377" s="300" t="s">
        <v>926</v>
      </c>
      <c r="C377" s="300" t="s">
        <v>2102</v>
      </c>
      <c r="D377" s="300" t="s">
        <v>2103</v>
      </c>
      <c r="E377" s="300" t="s">
        <v>928</v>
      </c>
      <c r="F377" s="300" t="s">
        <v>2104</v>
      </c>
      <c r="G377" s="300" t="s">
        <v>2105</v>
      </c>
      <c r="H377" s="300" t="s">
        <v>1490</v>
      </c>
      <c r="I377" s="300" t="s">
        <v>449</v>
      </c>
    </row>
    <row r="378" spans="2:9" ht="14.5">
      <c r="B378" s="300" t="s">
        <v>926</v>
      </c>
      <c r="C378" s="300" t="s">
        <v>2106</v>
      </c>
      <c r="D378" s="300" t="s">
        <v>2107</v>
      </c>
      <c r="E378" s="300" t="s">
        <v>928</v>
      </c>
      <c r="F378" s="300" t="s">
        <v>2108</v>
      </c>
      <c r="G378" s="300" t="s">
        <v>2109</v>
      </c>
      <c r="H378" s="300" t="s">
        <v>1490</v>
      </c>
      <c r="I378" s="300" t="s">
        <v>449</v>
      </c>
    </row>
    <row r="379" spans="2:9" ht="14.5">
      <c r="B379" s="300" t="s">
        <v>926</v>
      </c>
      <c r="C379" s="300" t="s">
        <v>2110</v>
      </c>
      <c r="D379" s="300" t="s">
        <v>2111</v>
      </c>
      <c r="E379" s="300" t="s">
        <v>928</v>
      </c>
      <c r="F379" s="300" t="s">
        <v>2108</v>
      </c>
      <c r="G379" s="300" t="s">
        <v>2109</v>
      </c>
      <c r="H379" s="300" t="s">
        <v>1490</v>
      </c>
      <c r="I379" s="300" t="s">
        <v>449</v>
      </c>
    </row>
    <row r="380" spans="2:9" ht="14.5">
      <c r="B380" s="300" t="s">
        <v>926</v>
      </c>
      <c r="C380" s="300" t="s">
        <v>2112</v>
      </c>
      <c r="D380" s="300" t="s">
        <v>2113</v>
      </c>
      <c r="E380" s="300" t="s">
        <v>928</v>
      </c>
      <c r="F380" s="378" t="s">
        <v>5138</v>
      </c>
      <c r="G380" s="300" t="s">
        <v>2114</v>
      </c>
      <c r="H380" s="300" t="s">
        <v>1490</v>
      </c>
      <c r="I380" s="300" t="s">
        <v>449</v>
      </c>
    </row>
    <row r="381" spans="2:9" ht="14.5">
      <c r="B381" s="300" t="s">
        <v>926</v>
      </c>
      <c r="C381" s="300" t="s">
        <v>2115</v>
      </c>
      <c r="D381" s="300" t="s">
        <v>2116</v>
      </c>
      <c r="E381" s="300" t="s">
        <v>928</v>
      </c>
      <c r="F381" s="300" t="s">
        <v>2117</v>
      </c>
      <c r="G381" s="300" t="s">
        <v>2118</v>
      </c>
      <c r="H381" s="300" t="s">
        <v>1490</v>
      </c>
      <c r="I381" s="300" t="s">
        <v>449</v>
      </c>
    </row>
    <row r="382" spans="2:9" ht="14.5">
      <c r="B382" s="300" t="s">
        <v>926</v>
      </c>
      <c r="C382" s="300" t="s">
        <v>2119</v>
      </c>
      <c r="D382" s="300" t="s">
        <v>2120</v>
      </c>
      <c r="E382" s="300" t="s">
        <v>928</v>
      </c>
      <c r="F382" s="378" t="s">
        <v>5138</v>
      </c>
      <c r="G382" s="300" t="s">
        <v>2114</v>
      </c>
      <c r="H382" s="300" t="s">
        <v>1490</v>
      </c>
      <c r="I382" s="300" t="s">
        <v>449</v>
      </c>
    </row>
    <row r="383" spans="2:9" ht="14.5">
      <c r="B383" s="300" t="s">
        <v>926</v>
      </c>
      <c r="C383" s="300" t="s">
        <v>2121</v>
      </c>
      <c r="D383" s="300" t="s">
        <v>2122</v>
      </c>
      <c r="E383" s="300" t="s">
        <v>928</v>
      </c>
      <c r="F383" s="300" t="s">
        <v>2123</v>
      </c>
      <c r="G383" s="300" t="s">
        <v>2124</v>
      </c>
      <c r="H383" s="300" t="s">
        <v>1490</v>
      </c>
      <c r="I383" s="300" t="s">
        <v>449</v>
      </c>
    </row>
    <row r="384" spans="2:9" ht="14.5">
      <c r="B384" s="300" t="s">
        <v>926</v>
      </c>
      <c r="C384" s="300" t="s">
        <v>2125</v>
      </c>
      <c r="D384" s="300" t="s">
        <v>2126</v>
      </c>
      <c r="E384" s="300" t="s">
        <v>928</v>
      </c>
      <c r="F384" s="300" t="s">
        <v>2127</v>
      </c>
      <c r="G384" s="300" t="s">
        <v>2128</v>
      </c>
      <c r="H384" s="300" t="s">
        <v>1490</v>
      </c>
      <c r="I384" s="300" t="s">
        <v>449</v>
      </c>
    </row>
    <row r="385" spans="2:9" ht="14.5">
      <c r="B385" s="300" t="s">
        <v>926</v>
      </c>
      <c r="C385" s="300" t="s">
        <v>2129</v>
      </c>
      <c r="D385" s="300" t="s">
        <v>2130</v>
      </c>
      <c r="E385" s="300" t="s">
        <v>928</v>
      </c>
      <c r="F385" s="300" t="s">
        <v>2127</v>
      </c>
      <c r="G385" s="300" t="s">
        <v>2128</v>
      </c>
      <c r="H385" s="300" t="s">
        <v>1490</v>
      </c>
      <c r="I385" s="300" t="s">
        <v>449</v>
      </c>
    </row>
    <row r="386" spans="2:9" ht="14.5">
      <c r="B386" s="300" t="s">
        <v>926</v>
      </c>
      <c r="C386" s="300" t="s">
        <v>2131</v>
      </c>
      <c r="D386" s="300" t="s">
        <v>2132</v>
      </c>
      <c r="E386" s="300" t="s">
        <v>928</v>
      </c>
      <c r="F386" s="378" t="s">
        <v>5139</v>
      </c>
      <c r="G386" s="300" t="s">
        <v>2133</v>
      </c>
      <c r="H386" s="300" t="s">
        <v>1490</v>
      </c>
      <c r="I386" s="300" t="s">
        <v>449</v>
      </c>
    </row>
    <row r="387" spans="2:9" ht="14.5">
      <c r="B387" s="300" t="s">
        <v>926</v>
      </c>
      <c r="C387" s="300" t="s">
        <v>2134</v>
      </c>
      <c r="D387" s="300" t="s">
        <v>2135</v>
      </c>
      <c r="E387" s="300" t="s">
        <v>928</v>
      </c>
      <c r="F387" s="378" t="s">
        <v>2175</v>
      </c>
      <c r="G387" s="300" t="s">
        <v>2136</v>
      </c>
      <c r="H387" s="300" t="s">
        <v>1490</v>
      </c>
      <c r="I387" s="300" t="s">
        <v>449</v>
      </c>
    </row>
    <row r="388" spans="2:9" ht="14.5">
      <c r="B388" s="300" t="s">
        <v>926</v>
      </c>
      <c r="C388" s="300" t="s">
        <v>2137</v>
      </c>
      <c r="D388" s="300" t="s">
        <v>2138</v>
      </c>
      <c r="E388" s="300" t="s">
        <v>928</v>
      </c>
      <c r="F388" s="300" t="s">
        <v>2139</v>
      </c>
      <c r="G388" s="300" t="s">
        <v>2140</v>
      </c>
      <c r="H388" s="300" t="s">
        <v>1490</v>
      </c>
      <c r="I388" s="300" t="s">
        <v>449</v>
      </c>
    </row>
    <row r="389" spans="2:9" ht="14.5">
      <c r="B389" s="300" t="s">
        <v>926</v>
      </c>
      <c r="C389" s="300" t="s">
        <v>2141</v>
      </c>
      <c r="D389" s="300" t="s">
        <v>2142</v>
      </c>
      <c r="E389" s="300" t="s">
        <v>928</v>
      </c>
      <c r="F389" s="378" t="s">
        <v>2175</v>
      </c>
      <c r="G389" s="300" t="s">
        <v>2136</v>
      </c>
      <c r="H389" s="300" t="s">
        <v>1490</v>
      </c>
      <c r="I389" s="300" t="s">
        <v>449</v>
      </c>
    </row>
    <row r="390" spans="2:9" ht="14.5">
      <c r="B390" s="300" t="s">
        <v>926</v>
      </c>
      <c r="C390" s="300" t="s">
        <v>2143</v>
      </c>
      <c r="D390" s="300" t="s">
        <v>2144</v>
      </c>
      <c r="E390" s="300" t="s">
        <v>928</v>
      </c>
      <c r="F390" s="300" t="s">
        <v>2145</v>
      </c>
      <c r="G390" s="300" t="s">
        <v>2146</v>
      </c>
      <c r="H390" s="300" t="s">
        <v>1490</v>
      </c>
      <c r="I390" s="300" t="s">
        <v>449</v>
      </c>
    </row>
    <row r="391" spans="2:9" ht="14.5">
      <c r="B391" s="300" t="s">
        <v>926</v>
      </c>
      <c r="C391" s="300" t="s">
        <v>2147</v>
      </c>
      <c r="D391" s="300" t="s">
        <v>2148</v>
      </c>
      <c r="E391" s="300" t="s">
        <v>928</v>
      </c>
      <c r="F391" s="378" t="s">
        <v>2171</v>
      </c>
      <c r="G391" s="300" t="s">
        <v>2149</v>
      </c>
      <c r="H391" s="300" t="s">
        <v>1490</v>
      </c>
      <c r="I391" s="300" t="s">
        <v>449</v>
      </c>
    </row>
    <row r="392" spans="2:9" ht="14.5">
      <c r="B392" s="300" t="s">
        <v>926</v>
      </c>
      <c r="C392" s="300" t="s">
        <v>2150</v>
      </c>
      <c r="D392" s="300" t="s">
        <v>2151</v>
      </c>
      <c r="E392" s="300" t="s">
        <v>928</v>
      </c>
      <c r="F392" s="300" t="s">
        <v>2152</v>
      </c>
      <c r="G392" s="300" t="s">
        <v>2153</v>
      </c>
      <c r="H392" s="300" t="s">
        <v>1490</v>
      </c>
      <c r="I392" s="300" t="s">
        <v>449</v>
      </c>
    </row>
    <row r="393" spans="2:9" ht="14.5">
      <c r="B393" s="300" t="s">
        <v>926</v>
      </c>
      <c r="C393" s="300" t="s">
        <v>2154</v>
      </c>
      <c r="D393" s="300" t="s">
        <v>2155</v>
      </c>
      <c r="E393" s="300" t="s">
        <v>928</v>
      </c>
      <c r="F393" s="300" t="s">
        <v>2152</v>
      </c>
      <c r="G393" s="300" t="s">
        <v>2153</v>
      </c>
      <c r="H393" s="300" t="s">
        <v>1490</v>
      </c>
      <c r="I393" s="300" t="s">
        <v>449</v>
      </c>
    </row>
    <row r="394" spans="2:9" ht="14.5">
      <c r="B394" s="300" t="s">
        <v>926</v>
      </c>
      <c r="C394" s="300" t="s">
        <v>2156</v>
      </c>
      <c r="D394" s="300" t="s">
        <v>2157</v>
      </c>
      <c r="E394" s="300" t="s">
        <v>928</v>
      </c>
      <c r="F394" s="300" t="s">
        <v>2158</v>
      </c>
      <c r="G394" s="300" t="s">
        <v>2159</v>
      </c>
      <c r="H394" s="300" t="s">
        <v>1490</v>
      </c>
      <c r="I394" s="300" t="s">
        <v>449</v>
      </c>
    </row>
    <row r="395" spans="2:9" ht="14.5">
      <c r="B395" s="300" t="s">
        <v>926</v>
      </c>
      <c r="C395" s="300" t="s">
        <v>2160</v>
      </c>
      <c r="D395" s="300" t="s">
        <v>2161</v>
      </c>
      <c r="E395" s="300" t="s">
        <v>928</v>
      </c>
      <c r="F395" s="300" t="s">
        <v>2152</v>
      </c>
      <c r="G395" s="300" t="s">
        <v>2153</v>
      </c>
      <c r="H395" s="300" t="s">
        <v>1490</v>
      </c>
      <c r="I395" s="300" t="s">
        <v>449</v>
      </c>
    </row>
    <row r="396" spans="2:9" ht="14.5">
      <c r="B396" s="300" t="s">
        <v>926</v>
      </c>
      <c r="C396" s="300" t="s">
        <v>2162</v>
      </c>
      <c r="D396" s="300" t="s">
        <v>2163</v>
      </c>
      <c r="E396" s="300" t="s">
        <v>928</v>
      </c>
      <c r="F396" s="300" t="s">
        <v>2164</v>
      </c>
      <c r="G396" s="300" t="s">
        <v>2165</v>
      </c>
      <c r="H396" s="300" t="s">
        <v>1490</v>
      </c>
      <c r="I396" s="300" t="s">
        <v>449</v>
      </c>
    </row>
    <row r="397" spans="2:9" ht="14.5">
      <c r="B397" s="300" t="s">
        <v>926</v>
      </c>
      <c r="C397" s="300" t="s">
        <v>2166</v>
      </c>
      <c r="D397" s="300" t="s">
        <v>2167</v>
      </c>
      <c r="E397" s="300" t="s">
        <v>928</v>
      </c>
      <c r="F397" s="300" t="s">
        <v>2164</v>
      </c>
      <c r="G397" s="300" t="s">
        <v>2165</v>
      </c>
      <c r="H397" s="300" t="s">
        <v>1490</v>
      </c>
      <c r="I397" s="300" t="s">
        <v>449</v>
      </c>
    </row>
    <row r="398" spans="2:9" ht="14.5">
      <c r="B398" s="300" t="s">
        <v>926</v>
      </c>
      <c r="C398" s="300" t="s">
        <v>2168</v>
      </c>
      <c r="D398" s="300" t="s">
        <v>2169</v>
      </c>
      <c r="E398" s="300" t="s">
        <v>928</v>
      </c>
      <c r="F398" s="378" t="s">
        <v>5140</v>
      </c>
      <c r="G398" s="300" t="s">
        <v>2170</v>
      </c>
      <c r="H398" s="300" t="s">
        <v>1490</v>
      </c>
      <c r="I398" s="300" t="s">
        <v>449</v>
      </c>
    </row>
    <row r="399" spans="2:9" ht="14.5">
      <c r="B399" s="300" t="s">
        <v>926</v>
      </c>
      <c r="C399" s="300" t="s">
        <v>2171</v>
      </c>
      <c r="D399" s="300" t="s">
        <v>2172</v>
      </c>
      <c r="E399" s="300" t="s">
        <v>928</v>
      </c>
      <c r="F399" s="300" t="s">
        <v>2173</v>
      </c>
      <c r="G399" s="300" t="s">
        <v>2174</v>
      </c>
      <c r="H399" s="300" t="s">
        <v>1490</v>
      </c>
      <c r="I399" s="300" t="s">
        <v>449</v>
      </c>
    </row>
    <row r="400" spans="2:9" ht="14.5">
      <c r="B400" s="300" t="s">
        <v>926</v>
      </c>
      <c r="C400" s="300" t="s">
        <v>2175</v>
      </c>
      <c r="D400" s="300" t="s">
        <v>2176</v>
      </c>
      <c r="E400" s="300" t="s">
        <v>928</v>
      </c>
      <c r="F400" s="300" t="s">
        <v>2177</v>
      </c>
      <c r="G400" s="300" t="s">
        <v>2178</v>
      </c>
      <c r="H400" s="300" t="s">
        <v>1490</v>
      </c>
      <c r="I400" s="300" t="s">
        <v>449</v>
      </c>
    </row>
    <row r="401" spans="2:9" ht="14.5">
      <c r="B401" s="300" t="s">
        <v>926</v>
      </c>
      <c r="C401" s="300" t="s">
        <v>2179</v>
      </c>
      <c r="D401" s="300" t="s">
        <v>2180</v>
      </c>
      <c r="E401" s="300" t="s">
        <v>928</v>
      </c>
      <c r="F401" s="300" t="s">
        <v>2181</v>
      </c>
      <c r="G401" s="300" t="s">
        <v>2182</v>
      </c>
      <c r="H401" s="300" t="s">
        <v>1490</v>
      </c>
      <c r="I401" s="300" t="s">
        <v>449</v>
      </c>
    </row>
    <row r="402" spans="2:9" ht="14.5">
      <c r="B402" s="300" t="s">
        <v>926</v>
      </c>
      <c r="C402" s="300" t="s">
        <v>2183</v>
      </c>
      <c r="D402" s="300" t="s">
        <v>2184</v>
      </c>
      <c r="E402" s="300" t="s">
        <v>928</v>
      </c>
      <c r="F402" s="300" t="s">
        <v>2185</v>
      </c>
      <c r="G402" s="300" t="s">
        <v>2186</v>
      </c>
      <c r="H402" s="300" t="s">
        <v>1490</v>
      </c>
      <c r="I402" s="300" t="s">
        <v>449</v>
      </c>
    </row>
    <row r="403" spans="2:9" ht="14.5">
      <c r="B403" s="300" t="s">
        <v>926</v>
      </c>
      <c r="C403" s="300" t="s">
        <v>2187</v>
      </c>
      <c r="D403" s="300" t="s">
        <v>2188</v>
      </c>
      <c r="E403" s="300" t="s">
        <v>928</v>
      </c>
      <c r="F403" s="300" t="s">
        <v>2189</v>
      </c>
      <c r="G403" s="300" t="s">
        <v>2190</v>
      </c>
      <c r="H403" s="300" t="s">
        <v>1490</v>
      </c>
      <c r="I403" s="300" t="s">
        <v>449</v>
      </c>
    </row>
    <row r="404" spans="2:9" ht="14.5">
      <c r="B404" s="300" t="s">
        <v>926</v>
      </c>
      <c r="C404" s="300" t="s">
        <v>2191</v>
      </c>
      <c r="D404" s="300" t="s">
        <v>2192</v>
      </c>
      <c r="E404" s="300" t="s">
        <v>928</v>
      </c>
      <c r="F404" s="300" t="s">
        <v>2185</v>
      </c>
      <c r="G404" s="300" t="s">
        <v>2186</v>
      </c>
      <c r="H404" s="300" t="s">
        <v>1490</v>
      </c>
      <c r="I404" s="300" t="s">
        <v>449</v>
      </c>
    </row>
    <row r="405" spans="2:9" ht="14.5">
      <c r="B405" s="300" t="s">
        <v>926</v>
      </c>
      <c r="C405" s="300" t="s">
        <v>2193</v>
      </c>
      <c r="D405" s="300" t="s">
        <v>2194</v>
      </c>
      <c r="E405" s="300" t="s">
        <v>928</v>
      </c>
      <c r="F405" s="300" t="s">
        <v>2195</v>
      </c>
      <c r="G405" s="300" t="s">
        <v>2196</v>
      </c>
      <c r="H405" s="300" t="s">
        <v>1490</v>
      </c>
      <c r="I405" s="300" t="s">
        <v>449</v>
      </c>
    </row>
    <row r="406" spans="2:9" ht="14.5">
      <c r="B406" s="300" t="s">
        <v>926</v>
      </c>
      <c r="C406" s="300" t="s">
        <v>2197</v>
      </c>
      <c r="D406" s="300" t="s">
        <v>2198</v>
      </c>
      <c r="E406" s="300" t="s">
        <v>928</v>
      </c>
      <c r="F406" s="300" t="s">
        <v>2199</v>
      </c>
      <c r="G406" s="300" t="s">
        <v>2200</v>
      </c>
      <c r="H406" s="300" t="s">
        <v>1490</v>
      </c>
      <c r="I406" s="300" t="s">
        <v>449</v>
      </c>
    </row>
    <row r="407" spans="2:9" ht="14.5">
      <c r="B407" s="300" t="s">
        <v>926</v>
      </c>
      <c r="C407" s="300" t="s">
        <v>2201</v>
      </c>
      <c r="D407" s="300" t="s">
        <v>2202</v>
      </c>
      <c r="E407" s="300" t="s">
        <v>928</v>
      </c>
      <c r="F407" s="300" t="s">
        <v>2203</v>
      </c>
      <c r="G407" s="300" t="s">
        <v>2204</v>
      </c>
      <c r="H407" s="300" t="s">
        <v>1490</v>
      </c>
      <c r="I407" s="300" t="s">
        <v>449</v>
      </c>
    </row>
    <row r="408" spans="2:9" ht="14.5">
      <c r="B408" s="300" t="s">
        <v>926</v>
      </c>
      <c r="C408" s="300" t="s">
        <v>2205</v>
      </c>
      <c r="D408" s="300" t="s">
        <v>2206</v>
      </c>
      <c r="E408" s="300" t="s">
        <v>928</v>
      </c>
      <c r="F408" s="300" t="s">
        <v>2195</v>
      </c>
      <c r="G408" s="300" t="s">
        <v>2196</v>
      </c>
      <c r="H408" s="300" t="s">
        <v>1490</v>
      </c>
      <c r="I408" s="300" t="s">
        <v>449</v>
      </c>
    </row>
    <row r="409" spans="2:9" ht="14.5">
      <c r="B409" s="300" t="s">
        <v>926</v>
      </c>
      <c r="C409" s="300" t="s">
        <v>2207</v>
      </c>
      <c r="D409" s="300" t="s">
        <v>2208</v>
      </c>
      <c r="E409" s="300" t="s">
        <v>928</v>
      </c>
      <c r="F409" s="378" t="s">
        <v>2179</v>
      </c>
      <c r="G409" s="300" t="s">
        <v>2209</v>
      </c>
      <c r="H409" s="300" t="s">
        <v>1490</v>
      </c>
      <c r="I409" s="300" t="s">
        <v>449</v>
      </c>
    </row>
    <row r="410" spans="2:9" ht="14.5">
      <c r="B410" s="300" t="s">
        <v>926</v>
      </c>
      <c r="C410" s="300" t="s">
        <v>2210</v>
      </c>
      <c r="D410" s="300" t="s">
        <v>2211</v>
      </c>
      <c r="E410" s="300" t="s">
        <v>928</v>
      </c>
      <c r="F410" s="300" t="s">
        <v>2212</v>
      </c>
      <c r="G410" s="300" t="s">
        <v>2213</v>
      </c>
      <c r="H410" s="300" t="s">
        <v>1490</v>
      </c>
      <c r="I410" s="300" t="s">
        <v>449</v>
      </c>
    </row>
    <row r="411" spans="2:9" ht="14.5">
      <c r="B411" s="300" t="s">
        <v>926</v>
      </c>
      <c r="C411" s="300" t="s">
        <v>2214</v>
      </c>
      <c r="D411" s="300" t="s">
        <v>2215</v>
      </c>
      <c r="E411" s="300" t="s">
        <v>928</v>
      </c>
      <c r="F411" s="378" t="s">
        <v>2179</v>
      </c>
      <c r="G411" s="300" t="s">
        <v>2209</v>
      </c>
      <c r="H411" s="300" t="s">
        <v>1490</v>
      </c>
      <c r="I411" s="300" t="s">
        <v>449</v>
      </c>
    </row>
    <row r="412" spans="2:9" ht="14.5">
      <c r="B412" s="300" t="s">
        <v>926</v>
      </c>
      <c r="C412" s="300" t="s">
        <v>2216</v>
      </c>
      <c r="D412" s="300" t="s">
        <v>2217</v>
      </c>
      <c r="E412" s="300" t="s">
        <v>928</v>
      </c>
      <c r="F412" s="300" t="s">
        <v>2177</v>
      </c>
      <c r="G412" s="300" t="s">
        <v>2178</v>
      </c>
      <c r="H412" s="300" t="s">
        <v>1490</v>
      </c>
      <c r="I412" s="300" t="s">
        <v>449</v>
      </c>
    </row>
    <row r="413" spans="2:9" ht="14.5">
      <c r="B413" s="300" t="s">
        <v>926</v>
      </c>
      <c r="C413" s="300" t="s">
        <v>2218</v>
      </c>
      <c r="D413" s="300" t="s">
        <v>2219</v>
      </c>
      <c r="E413" s="300" t="s">
        <v>928</v>
      </c>
      <c r="F413" s="300" t="s">
        <v>2220</v>
      </c>
      <c r="G413" s="300" t="s">
        <v>2221</v>
      </c>
      <c r="H413" s="300" t="s">
        <v>1490</v>
      </c>
      <c r="I413" s="300" t="s">
        <v>449</v>
      </c>
    </row>
    <row r="414" spans="2:9" ht="14.5">
      <c r="B414" s="300" t="s">
        <v>926</v>
      </c>
      <c r="C414" s="300" t="s">
        <v>2222</v>
      </c>
      <c r="D414" s="300" t="s">
        <v>2223</v>
      </c>
      <c r="E414" s="300" t="s">
        <v>928</v>
      </c>
      <c r="F414" s="300" t="s">
        <v>2195</v>
      </c>
      <c r="G414" s="300" t="s">
        <v>2196</v>
      </c>
      <c r="H414" s="300" t="s">
        <v>1490</v>
      </c>
      <c r="I414" s="300" t="s">
        <v>449</v>
      </c>
    </row>
    <row r="415" spans="2:9" ht="14.5">
      <c r="B415" s="300" t="s">
        <v>926</v>
      </c>
      <c r="C415" s="300" t="s">
        <v>2224</v>
      </c>
      <c r="D415" s="300" t="s">
        <v>2225</v>
      </c>
      <c r="E415" s="300" t="s">
        <v>928</v>
      </c>
      <c r="F415" s="378" t="s">
        <v>5141</v>
      </c>
      <c r="G415" s="300" t="s">
        <v>2226</v>
      </c>
      <c r="H415" s="300" t="s">
        <v>1763</v>
      </c>
      <c r="I415" s="300" t="s">
        <v>449</v>
      </c>
    </row>
    <row r="416" spans="2:9" ht="14.5">
      <c r="B416" s="300" t="s">
        <v>926</v>
      </c>
      <c r="C416" s="300" t="s">
        <v>2227</v>
      </c>
      <c r="D416" s="300" t="s">
        <v>2228</v>
      </c>
      <c r="E416" s="300" t="s">
        <v>928</v>
      </c>
      <c r="F416" s="378" t="s">
        <v>2115</v>
      </c>
      <c r="G416" s="300" t="s">
        <v>2229</v>
      </c>
      <c r="H416" s="300" t="s">
        <v>1763</v>
      </c>
      <c r="I416" s="300" t="s">
        <v>449</v>
      </c>
    </row>
    <row r="417" spans="2:9" ht="14.5">
      <c r="B417" s="300" t="s">
        <v>926</v>
      </c>
      <c r="C417" s="300" t="s">
        <v>2230</v>
      </c>
      <c r="D417" s="300" t="s">
        <v>2231</v>
      </c>
      <c r="E417" s="300" t="s">
        <v>928</v>
      </c>
      <c r="F417" s="300" t="s">
        <v>2232</v>
      </c>
      <c r="G417" s="300" t="s">
        <v>2233</v>
      </c>
      <c r="H417" s="300" t="s">
        <v>1763</v>
      </c>
      <c r="I417" s="300" t="s">
        <v>449</v>
      </c>
    </row>
    <row r="418" spans="2:9" ht="14.5">
      <c r="B418" s="300" t="s">
        <v>926</v>
      </c>
      <c r="C418" s="300" t="s">
        <v>2234</v>
      </c>
      <c r="D418" s="300" t="s">
        <v>2235</v>
      </c>
      <c r="E418" s="300" t="s">
        <v>928</v>
      </c>
      <c r="F418" s="300" t="s">
        <v>2236</v>
      </c>
      <c r="G418" s="300" t="s">
        <v>2237</v>
      </c>
      <c r="H418" s="300" t="s">
        <v>1763</v>
      </c>
      <c r="I418" s="300" t="s">
        <v>449</v>
      </c>
    </row>
    <row r="419" spans="2:9" ht="14.5">
      <c r="B419" s="300" t="s">
        <v>926</v>
      </c>
      <c r="C419" s="300" t="s">
        <v>2238</v>
      </c>
      <c r="D419" s="300" t="s">
        <v>2239</v>
      </c>
      <c r="E419" s="300" t="s">
        <v>928</v>
      </c>
      <c r="F419" s="378" t="s">
        <v>5142</v>
      </c>
      <c r="G419" s="300" t="s">
        <v>2240</v>
      </c>
      <c r="H419" s="300" t="s">
        <v>1763</v>
      </c>
      <c r="I419" s="300" t="s">
        <v>449</v>
      </c>
    </row>
    <row r="420" spans="2:9" ht="14.5">
      <c r="B420" s="300" t="s">
        <v>926</v>
      </c>
      <c r="C420" s="300" t="s">
        <v>2241</v>
      </c>
      <c r="D420" s="300" t="s">
        <v>2242</v>
      </c>
      <c r="E420" s="300" t="s">
        <v>928</v>
      </c>
      <c r="F420" s="300" t="s">
        <v>2243</v>
      </c>
      <c r="G420" s="300" t="s">
        <v>2244</v>
      </c>
      <c r="H420" s="300" t="s">
        <v>1763</v>
      </c>
      <c r="I420" s="300" t="s">
        <v>449</v>
      </c>
    </row>
    <row r="421" spans="2:9" ht="14.5">
      <c r="B421" s="300" t="s">
        <v>926</v>
      </c>
      <c r="C421" s="300" t="s">
        <v>2245</v>
      </c>
      <c r="D421" s="300" t="s">
        <v>2246</v>
      </c>
      <c r="E421" s="300" t="s">
        <v>928</v>
      </c>
      <c r="F421" s="378" t="s">
        <v>5143</v>
      </c>
      <c r="G421" s="300" t="s">
        <v>2247</v>
      </c>
      <c r="H421" s="300" t="s">
        <v>1763</v>
      </c>
      <c r="I421" s="300" t="s">
        <v>449</v>
      </c>
    </row>
    <row r="422" spans="2:9" ht="14.5">
      <c r="B422" s="300" t="s">
        <v>926</v>
      </c>
      <c r="C422" s="300" t="s">
        <v>2248</v>
      </c>
      <c r="D422" s="300" t="s">
        <v>2249</v>
      </c>
      <c r="E422" s="300" t="s">
        <v>928</v>
      </c>
      <c r="F422" s="300" t="s">
        <v>2250</v>
      </c>
      <c r="G422" s="300" t="s">
        <v>2251</v>
      </c>
      <c r="H422" s="300" t="s">
        <v>1763</v>
      </c>
      <c r="I422" s="300" t="s">
        <v>449</v>
      </c>
    </row>
    <row r="423" spans="2:9" ht="14.5">
      <c r="B423" s="300" t="s">
        <v>926</v>
      </c>
      <c r="C423" s="300" t="s">
        <v>2252</v>
      </c>
      <c r="D423" s="300" t="s">
        <v>2253</v>
      </c>
      <c r="E423" s="300" t="s">
        <v>928</v>
      </c>
      <c r="F423" s="378" t="s">
        <v>5142</v>
      </c>
      <c r="G423" s="300" t="s">
        <v>2240</v>
      </c>
      <c r="H423" s="300" t="s">
        <v>1763</v>
      </c>
      <c r="I423" s="300" t="s">
        <v>449</v>
      </c>
    </row>
    <row r="424" spans="2:9" ht="14.5">
      <c r="B424" s="300" t="s">
        <v>926</v>
      </c>
      <c r="C424" s="300" t="s">
        <v>2254</v>
      </c>
      <c r="D424" s="300" t="s">
        <v>2255</v>
      </c>
      <c r="E424" s="300" t="s">
        <v>928</v>
      </c>
      <c r="F424" s="300" t="s">
        <v>2256</v>
      </c>
      <c r="G424" s="300" t="s">
        <v>2257</v>
      </c>
      <c r="H424" s="300" t="s">
        <v>1763</v>
      </c>
      <c r="I424" s="300" t="s">
        <v>449</v>
      </c>
    </row>
    <row r="425" spans="2:9" ht="14.5">
      <c r="B425" s="300" t="s">
        <v>926</v>
      </c>
      <c r="C425" s="300" t="s">
        <v>2258</v>
      </c>
      <c r="D425" s="300" t="s">
        <v>2259</v>
      </c>
      <c r="E425" s="300" t="s">
        <v>928</v>
      </c>
      <c r="F425" s="300" t="s">
        <v>2260</v>
      </c>
      <c r="G425" s="300" t="s">
        <v>2261</v>
      </c>
      <c r="H425" s="300" t="s">
        <v>1763</v>
      </c>
      <c r="I425" s="300" t="s">
        <v>449</v>
      </c>
    </row>
    <row r="426" spans="2:9" ht="14.5">
      <c r="B426" s="300" t="s">
        <v>926</v>
      </c>
      <c r="C426" s="300" t="s">
        <v>2262</v>
      </c>
      <c r="D426" s="300" t="s">
        <v>2263</v>
      </c>
      <c r="E426" s="300" t="s">
        <v>928</v>
      </c>
      <c r="F426" s="300" t="s">
        <v>2260</v>
      </c>
      <c r="G426" s="300" t="s">
        <v>2261</v>
      </c>
      <c r="H426" s="300" t="s">
        <v>1763</v>
      </c>
      <c r="I426" s="300" t="s">
        <v>449</v>
      </c>
    </row>
    <row r="427" spans="2:9" ht="14.5">
      <c r="B427" s="300" t="s">
        <v>926</v>
      </c>
      <c r="C427" s="300" t="s">
        <v>2264</v>
      </c>
      <c r="D427" s="300" t="s">
        <v>2265</v>
      </c>
      <c r="E427" s="300" t="s">
        <v>928</v>
      </c>
      <c r="F427" s="378" t="s">
        <v>5142</v>
      </c>
      <c r="G427" s="300" t="s">
        <v>2240</v>
      </c>
      <c r="H427" s="300" t="s">
        <v>1763</v>
      </c>
      <c r="I427" s="300" t="s">
        <v>449</v>
      </c>
    </row>
    <row r="428" spans="2:9" ht="14.5">
      <c r="B428" s="300" t="s">
        <v>926</v>
      </c>
      <c r="C428" s="300" t="s">
        <v>2266</v>
      </c>
      <c r="D428" s="300" t="s">
        <v>2267</v>
      </c>
      <c r="E428" s="300" t="s">
        <v>928</v>
      </c>
      <c r="F428" s="300" t="s">
        <v>2268</v>
      </c>
      <c r="G428" s="300" t="s">
        <v>2269</v>
      </c>
      <c r="H428" s="300" t="s">
        <v>1763</v>
      </c>
      <c r="I428" s="300" t="s">
        <v>449</v>
      </c>
    </row>
    <row r="429" spans="2:9" ht="14.5">
      <c r="B429" s="300" t="s">
        <v>926</v>
      </c>
      <c r="C429" s="300" t="s">
        <v>2270</v>
      </c>
      <c r="D429" s="300" t="s">
        <v>2271</v>
      </c>
      <c r="E429" s="300" t="s">
        <v>928</v>
      </c>
      <c r="F429" s="378" t="s">
        <v>5144</v>
      </c>
      <c r="G429" s="300" t="s">
        <v>2272</v>
      </c>
      <c r="H429" s="300" t="s">
        <v>1763</v>
      </c>
      <c r="I429" s="300" t="s">
        <v>449</v>
      </c>
    </row>
    <row r="430" spans="2:9" ht="14.5">
      <c r="B430" s="300" t="s">
        <v>926</v>
      </c>
      <c r="C430" s="300" t="s">
        <v>2273</v>
      </c>
      <c r="D430" s="300" t="s">
        <v>2274</v>
      </c>
      <c r="E430" s="300" t="s">
        <v>928</v>
      </c>
      <c r="F430" s="300" t="s">
        <v>2275</v>
      </c>
      <c r="G430" s="300" t="s">
        <v>2276</v>
      </c>
      <c r="H430" s="300" t="s">
        <v>1763</v>
      </c>
      <c r="I430" s="300" t="s">
        <v>449</v>
      </c>
    </row>
    <row r="431" spans="2:9" ht="14.5">
      <c r="B431" s="300" t="s">
        <v>926</v>
      </c>
      <c r="C431" s="300" t="s">
        <v>2277</v>
      </c>
      <c r="D431" s="300" t="s">
        <v>2278</v>
      </c>
      <c r="E431" s="300" t="s">
        <v>928</v>
      </c>
      <c r="F431" s="300" t="s">
        <v>2279</v>
      </c>
      <c r="G431" s="300" t="s">
        <v>2280</v>
      </c>
      <c r="H431" s="300" t="s">
        <v>1763</v>
      </c>
      <c r="I431" s="300" t="s">
        <v>449</v>
      </c>
    </row>
    <row r="432" spans="2:9" ht="14.5">
      <c r="B432" s="300" t="s">
        <v>926</v>
      </c>
      <c r="C432" s="300" t="s">
        <v>2281</v>
      </c>
      <c r="D432" s="300" t="s">
        <v>2282</v>
      </c>
      <c r="E432" s="300" t="s">
        <v>928</v>
      </c>
      <c r="F432" s="378" t="s">
        <v>5143</v>
      </c>
      <c r="G432" s="300" t="s">
        <v>2247</v>
      </c>
      <c r="H432" s="300" t="s">
        <v>1763</v>
      </c>
      <c r="I432" s="300" t="s">
        <v>449</v>
      </c>
    </row>
    <row r="433" spans="2:9" ht="14.5">
      <c r="B433" s="300" t="s">
        <v>926</v>
      </c>
      <c r="C433" s="300" t="s">
        <v>2283</v>
      </c>
      <c r="D433" s="300" t="s">
        <v>2284</v>
      </c>
      <c r="E433" s="300" t="s">
        <v>928</v>
      </c>
      <c r="F433" s="300" t="s">
        <v>2285</v>
      </c>
      <c r="G433" s="300" t="s">
        <v>2286</v>
      </c>
      <c r="H433" s="300" t="s">
        <v>1763</v>
      </c>
      <c r="I433" s="300" t="s">
        <v>449</v>
      </c>
    </row>
    <row r="434" spans="2:9" ht="14.5">
      <c r="B434" s="300" t="s">
        <v>926</v>
      </c>
      <c r="C434" s="300" t="s">
        <v>2287</v>
      </c>
      <c r="D434" s="300" t="s">
        <v>2288</v>
      </c>
      <c r="E434" s="300" t="s">
        <v>928</v>
      </c>
      <c r="F434" s="378" t="s">
        <v>5145</v>
      </c>
      <c r="G434" s="300" t="s">
        <v>2289</v>
      </c>
      <c r="H434" s="300" t="s">
        <v>1763</v>
      </c>
      <c r="I434" s="300" t="s">
        <v>449</v>
      </c>
    </row>
    <row r="435" spans="2:9" ht="14.5">
      <c r="B435" s="300" t="s">
        <v>926</v>
      </c>
      <c r="C435" s="300" t="s">
        <v>2290</v>
      </c>
      <c r="D435" s="300" t="s">
        <v>2291</v>
      </c>
      <c r="E435" s="300" t="s">
        <v>928</v>
      </c>
      <c r="F435" s="300" t="s">
        <v>2292</v>
      </c>
      <c r="G435" s="300" t="s">
        <v>2293</v>
      </c>
      <c r="H435" s="300" t="s">
        <v>1763</v>
      </c>
      <c r="I435" s="300" t="s">
        <v>449</v>
      </c>
    </row>
    <row r="436" spans="2:9" ht="14.5">
      <c r="B436" s="300" t="s">
        <v>926</v>
      </c>
      <c r="C436" s="300" t="s">
        <v>2294</v>
      </c>
      <c r="D436" s="300" t="s">
        <v>2295</v>
      </c>
      <c r="E436" s="300" t="s">
        <v>928</v>
      </c>
      <c r="F436" s="378" t="s">
        <v>5143</v>
      </c>
      <c r="G436" s="300" t="s">
        <v>2247</v>
      </c>
      <c r="H436" s="300" t="s">
        <v>1763</v>
      </c>
      <c r="I436" s="300" t="s">
        <v>449</v>
      </c>
    </row>
    <row r="437" spans="2:9" ht="14.5">
      <c r="B437" s="300" t="s">
        <v>926</v>
      </c>
      <c r="C437" s="300" t="s">
        <v>2296</v>
      </c>
      <c r="D437" s="300" t="s">
        <v>2297</v>
      </c>
      <c r="E437" s="300" t="s">
        <v>928</v>
      </c>
      <c r="F437" s="300" t="s">
        <v>2232</v>
      </c>
      <c r="G437" s="300" t="s">
        <v>2233</v>
      </c>
      <c r="H437" s="300" t="s">
        <v>1763</v>
      </c>
      <c r="I437" s="300" t="s">
        <v>449</v>
      </c>
    </row>
    <row r="438" spans="2:9" ht="14.5">
      <c r="B438" s="300" t="s">
        <v>926</v>
      </c>
      <c r="C438" s="300" t="s">
        <v>2298</v>
      </c>
      <c r="D438" s="300" t="s">
        <v>2299</v>
      </c>
      <c r="E438" s="300" t="s">
        <v>928</v>
      </c>
      <c r="F438" s="300" t="s">
        <v>2250</v>
      </c>
      <c r="G438" s="300" t="s">
        <v>2251</v>
      </c>
      <c r="H438" s="300" t="s">
        <v>1763</v>
      </c>
      <c r="I438" s="300" t="s">
        <v>449</v>
      </c>
    </row>
    <row r="439" spans="2:9" ht="14.5">
      <c r="B439" s="300" t="s">
        <v>926</v>
      </c>
      <c r="C439" s="300" t="s">
        <v>2300</v>
      </c>
      <c r="D439" s="300" t="s">
        <v>2301</v>
      </c>
      <c r="E439" s="300" t="s">
        <v>928</v>
      </c>
      <c r="F439" s="300" t="s">
        <v>2302</v>
      </c>
      <c r="G439" s="300" t="s">
        <v>2303</v>
      </c>
      <c r="H439" s="300" t="s">
        <v>1763</v>
      </c>
      <c r="I439" s="300" t="s">
        <v>449</v>
      </c>
    </row>
    <row r="440" spans="2:9" ht="14.5">
      <c r="B440" s="300" t="s">
        <v>926</v>
      </c>
      <c r="C440" s="300" t="s">
        <v>2304</v>
      </c>
      <c r="D440" s="300" t="s">
        <v>2305</v>
      </c>
      <c r="E440" s="300" t="s">
        <v>928</v>
      </c>
      <c r="F440" s="300" t="s">
        <v>2250</v>
      </c>
      <c r="G440" s="300" t="s">
        <v>2251</v>
      </c>
      <c r="H440" s="300" t="s">
        <v>1763</v>
      </c>
      <c r="I440" s="300" t="s">
        <v>449</v>
      </c>
    </row>
    <row r="441" spans="2:9" ht="14.5">
      <c r="B441" s="300" t="s">
        <v>926</v>
      </c>
      <c r="C441" s="300" t="s">
        <v>2306</v>
      </c>
      <c r="D441" s="300" t="s">
        <v>2307</v>
      </c>
      <c r="E441" s="300" t="s">
        <v>928</v>
      </c>
      <c r="F441" s="300" t="s">
        <v>2250</v>
      </c>
      <c r="G441" s="300" t="s">
        <v>2251</v>
      </c>
      <c r="H441" s="300" t="s">
        <v>1763</v>
      </c>
      <c r="I441" s="300" t="s">
        <v>449</v>
      </c>
    </row>
    <row r="442" spans="2:9" ht="14.5">
      <c r="B442" s="300" t="s">
        <v>926</v>
      </c>
      <c r="C442" s="300" t="s">
        <v>2308</v>
      </c>
      <c r="D442" s="300" t="s">
        <v>2309</v>
      </c>
      <c r="E442" s="300" t="s">
        <v>928</v>
      </c>
      <c r="F442" s="378" t="s">
        <v>2063</v>
      </c>
      <c r="G442" s="300" t="s">
        <v>2310</v>
      </c>
      <c r="H442" s="300" t="s">
        <v>1374</v>
      </c>
      <c r="I442" s="300" t="s">
        <v>449</v>
      </c>
    </row>
    <row r="443" spans="2:9" ht="14.5">
      <c r="B443" s="300" t="s">
        <v>926</v>
      </c>
      <c r="C443" s="300" t="s">
        <v>2311</v>
      </c>
      <c r="D443" s="300" t="s">
        <v>2312</v>
      </c>
      <c r="E443" s="300" t="s">
        <v>928</v>
      </c>
      <c r="F443" s="378" t="s">
        <v>2063</v>
      </c>
      <c r="G443" s="300" t="s">
        <v>2310</v>
      </c>
      <c r="H443" s="300" t="s">
        <v>1374</v>
      </c>
      <c r="I443" s="300" t="s">
        <v>449</v>
      </c>
    </row>
    <row r="444" spans="2:9" ht="14.5">
      <c r="B444" s="300" t="s">
        <v>926</v>
      </c>
      <c r="C444" s="300" t="s">
        <v>2313</v>
      </c>
      <c r="D444" s="300" t="s">
        <v>2314</v>
      </c>
      <c r="E444" s="300" t="s">
        <v>928</v>
      </c>
      <c r="F444" s="300" t="s">
        <v>2315</v>
      </c>
      <c r="G444" s="300" t="s">
        <v>2316</v>
      </c>
      <c r="H444" s="300" t="s">
        <v>1374</v>
      </c>
      <c r="I444" s="300" t="s">
        <v>449</v>
      </c>
    </row>
    <row r="445" spans="2:9" ht="14.5">
      <c r="B445" s="300" t="s">
        <v>926</v>
      </c>
      <c r="C445" s="300" t="s">
        <v>2317</v>
      </c>
      <c r="D445" s="300" t="s">
        <v>2318</v>
      </c>
      <c r="E445" s="300" t="s">
        <v>928</v>
      </c>
      <c r="F445" s="300" t="s">
        <v>2319</v>
      </c>
      <c r="G445" s="300" t="s">
        <v>2320</v>
      </c>
      <c r="H445" s="300" t="s">
        <v>1374</v>
      </c>
      <c r="I445" s="300" t="s">
        <v>449</v>
      </c>
    </row>
    <row r="446" spans="2:9" ht="14.5">
      <c r="B446" s="300" t="s">
        <v>926</v>
      </c>
      <c r="C446" s="300" t="s">
        <v>2321</v>
      </c>
      <c r="D446" s="300" t="s">
        <v>2322</v>
      </c>
      <c r="E446" s="300" t="s">
        <v>928</v>
      </c>
      <c r="F446" s="378" t="s">
        <v>2063</v>
      </c>
      <c r="G446" s="300" t="s">
        <v>2310</v>
      </c>
      <c r="H446" s="300" t="s">
        <v>1374</v>
      </c>
      <c r="I446" s="300" t="s">
        <v>449</v>
      </c>
    </row>
    <row r="447" spans="2:9" ht="14.5">
      <c r="B447" s="300" t="s">
        <v>926</v>
      </c>
      <c r="C447" s="300" t="s">
        <v>2323</v>
      </c>
      <c r="D447" s="300" t="s">
        <v>2324</v>
      </c>
      <c r="E447" s="300" t="s">
        <v>928</v>
      </c>
      <c r="F447" s="300" t="s">
        <v>2319</v>
      </c>
      <c r="G447" s="300" t="s">
        <v>2320</v>
      </c>
      <c r="H447" s="300" t="s">
        <v>1374</v>
      </c>
      <c r="I447" s="300" t="s">
        <v>449</v>
      </c>
    </row>
    <row r="448" spans="2:9" ht="14.5">
      <c r="B448" s="300" t="s">
        <v>926</v>
      </c>
      <c r="C448" s="300" t="s">
        <v>2325</v>
      </c>
      <c r="D448" s="300" t="s">
        <v>2326</v>
      </c>
      <c r="E448" s="300" t="s">
        <v>928</v>
      </c>
      <c r="F448" s="378" t="s">
        <v>5146</v>
      </c>
      <c r="G448" s="300" t="s">
        <v>2327</v>
      </c>
      <c r="H448" s="300" t="s">
        <v>1374</v>
      </c>
      <c r="I448" s="300" t="s">
        <v>449</v>
      </c>
    </row>
    <row r="449" spans="2:9" ht="14.5">
      <c r="B449" s="300" t="s">
        <v>926</v>
      </c>
      <c r="C449" s="300" t="s">
        <v>2328</v>
      </c>
      <c r="D449" s="300" t="s">
        <v>2329</v>
      </c>
      <c r="E449" s="300" t="s">
        <v>928</v>
      </c>
      <c r="F449" s="378" t="s">
        <v>2082</v>
      </c>
      <c r="G449" s="300" t="s">
        <v>2330</v>
      </c>
      <c r="H449" s="300" t="s">
        <v>1374</v>
      </c>
      <c r="I449" s="300" t="s">
        <v>449</v>
      </c>
    </row>
    <row r="450" spans="2:9" ht="14.5">
      <c r="B450" s="300" t="s">
        <v>926</v>
      </c>
      <c r="C450" s="300" t="s">
        <v>2331</v>
      </c>
      <c r="D450" s="300" t="s">
        <v>2332</v>
      </c>
      <c r="E450" s="300" t="s">
        <v>928</v>
      </c>
      <c r="F450" s="300" t="s">
        <v>2333</v>
      </c>
      <c r="G450" s="300" t="s">
        <v>2334</v>
      </c>
      <c r="H450" s="300" t="s">
        <v>1374</v>
      </c>
      <c r="I450" s="300" t="s">
        <v>449</v>
      </c>
    </row>
    <row r="451" spans="2:9" ht="14.5">
      <c r="B451" s="300" t="s">
        <v>926</v>
      </c>
      <c r="C451" s="300" t="s">
        <v>2335</v>
      </c>
      <c r="D451" s="300" t="s">
        <v>2336</v>
      </c>
      <c r="E451" s="300" t="s">
        <v>928</v>
      </c>
      <c r="F451" s="300" t="s">
        <v>2337</v>
      </c>
      <c r="G451" s="300" t="s">
        <v>2338</v>
      </c>
      <c r="H451" s="300" t="s">
        <v>1374</v>
      </c>
      <c r="I451" s="300" t="s">
        <v>449</v>
      </c>
    </row>
    <row r="452" spans="2:9" ht="14.5">
      <c r="B452" s="300" t="s">
        <v>926</v>
      </c>
      <c r="C452" s="300" t="s">
        <v>2339</v>
      </c>
      <c r="D452" s="300" t="s">
        <v>2340</v>
      </c>
      <c r="E452" s="300" t="s">
        <v>928</v>
      </c>
      <c r="F452" s="378" t="s">
        <v>5147</v>
      </c>
      <c r="G452" s="300" t="s">
        <v>2341</v>
      </c>
      <c r="H452" s="300" t="s">
        <v>1374</v>
      </c>
      <c r="I452" s="300" t="s">
        <v>449</v>
      </c>
    </row>
    <row r="453" spans="2:9" ht="14.5">
      <c r="B453" s="300" t="s">
        <v>926</v>
      </c>
      <c r="C453" s="300" t="s">
        <v>2342</v>
      </c>
      <c r="D453" s="300" t="s">
        <v>2343</v>
      </c>
      <c r="E453" s="300" t="s">
        <v>928</v>
      </c>
      <c r="F453" s="300" t="s">
        <v>2344</v>
      </c>
      <c r="G453" s="300" t="s">
        <v>2345</v>
      </c>
      <c r="H453" s="300" t="s">
        <v>1374</v>
      </c>
      <c r="I453" s="300" t="s">
        <v>449</v>
      </c>
    </row>
    <row r="454" spans="2:9" ht="14.5">
      <c r="B454" s="300" t="s">
        <v>926</v>
      </c>
      <c r="C454" s="300" t="s">
        <v>2346</v>
      </c>
      <c r="D454" s="300" t="s">
        <v>2347</v>
      </c>
      <c r="E454" s="300" t="s">
        <v>928</v>
      </c>
      <c r="F454" s="300" t="s">
        <v>2348</v>
      </c>
      <c r="G454" s="300" t="s">
        <v>2349</v>
      </c>
      <c r="H454" s="300" t="s">
        <v>1374</v>
      </c>
      <c r="I454" s="300" t="s">
        <v>449</v>
      </c>
    </row>
    <row r="455" spans="2:9" ht="14.5">
      <c r="B455" s="300" t="s">
        <v>926</v>
      </c>
      <c r="C455" s="300" t="s">
        <v>2350</v>
      </c>
      <c r="D455" s="300" t="s">
        <v>2351</v>
      </c>
      <c r="E455" s="300" t="s">
        <v>928</v>
      </c>
      <c r="F455" s="378" t="s">
        <v>5148</v>
      </c>
      <c r="G455" s="300" t="s">
        <v>2352</v>
      </c>
      <c r="H455" s="300" t="s">
        <v>1374</v>
      </c>
      <c r="I455" s="300" t="s">
        <v>449</v>
      </c>
    </row>
    <row r="456" spans="2:9" ht="14.5">
      <c r="B456" s="300" t="s">
        <v>926</v>
      </c>
      <c r="C456" s="300" t="s">
        <v>2353</v>
      </c>
      <c r="D456" s="300" t="s">
        <v>2354</v>
      </c>
      <c r="E456" s="300" t="s">
        <v>928</v>
      </c>
      <c r="F456" s="300" t="s">
        <v>2355</v>
      </c>
      <c r="G456" s="300" t="s">
        <v>2356</v>
      </c>
      <c r="H456" s="300" t="s">
        <v>1374</v>
      </c>
      <c r="I456" s="300" t="s">
        <v>449</v>
      </c>
    </row>
    <row r="457" spans="2:9" ht="14.5">
      <c r="B457" s="300" t="s">
        <v>926</v>
      </c>
      <c r="C457" s="300" t="s">
        <v>2357</v>
      </c>
      <c r="D457" s="300" t="s">
        <v>2358</v>
      </c>
      <c r="E457" s="300" t="s">
        <v>928</v>
      </c>
      <c r="F457" s="300" t="s">
        <v>2359</v>
      </c>
      <c r="G457" s="300" t="s">
        <v>2360</v>
      </c>
      <c r="H457" s="300" t="s">
        <v>1374</v>
      </c>
      <c r="I457" s="300" t="s">
        <v>449</v>
      </c>
    </row>
    <row r="458" spans="2:9" ht="14.5">
      <c r="B458" s="300" t="s">
        <v>926</v>
      </c>
      <c r="C458" s="300" t="s">
        <v>2361</v>
      </c>
      <c r="D458" s="300" t="s">
        <v>2362</v>
      </c>
      <c r="E458" s="300" t="s">
        <v>928</v>
      </c>
      <c r="F458" s="300" t="s">
        <v>2359</v>
      </c>
      <c r="G458" s="300" t="s">
        <v>2360</v>
      </c>
      <c r="H458" s="300" t="s">
        <v>1374</v>
      </c>
      <c r="I458" s="300" t="s">
        <v>449</v>
      </c>
    </row>
    <row r="459" spans="2:9" ht="14.5">
      <c r="B459" s="300" t="s">
        <v>926</v>
      </c>
      <c r="C459" s="300" t="s">
        <v>2363</v>
      </c>
      <c r="D459" s="300" t="s">
        <v>2364</v>
      </c>
      <c r="E459" s="300" t="s">
        <v>928</v>
      </c>
      <c r="F459" s="378" t="s">
        <v>2090</v>
      </c>
      <c r="G459" s="300" t="s">
        <v>2365</v>
      </c>
      <c r="H459" s="300" t="s">
        <v>1374</v>
      </c>
      <c r="I459" s="300" t="s">
        <v>449</v>
      </c>
    </row>
    <row r="460" spans="2:9" ht="14.5">
      <c r="B460" s="300" t="s">
        <v>926</v>
      </c>
      <c r="C460" s="300" t="s">
        <v>2366</v>
      </c>
      <c r="D460" s="300" t="s">
        <v>2367</v>
      </c>
      <c r="E460" s="300" t="s">
        <v>928</v>
      </c>
      <c r="F460" s="300" t="s">
        <v>2368</v>
      </c>
      <c r="G460" s="300" t="s">
        <v>2369</v>
      </c>
      <c r="H460" s="300" t="s">
        <v>1374</v>
      </c>
      <c r="I460" s="300" t="s">
        <v>449</v>
      </c>
    </row>
    <row r="461" spans="2:9" ht="14.5">
      <c r="B461" s="300" t="s">
        <v>926</v>
      </c>
      <c r="C461" s="300" t="s">
        <v>2370</v>
      </c>
      <c r="D461" s="300" t="s">
        <v>2371</v>
      </c>
      <c r="E461" s="300" t="s">
        <v>928</v>
      </c>
      <c r="F461" s="378" t="s">
        <v>2094</v>
      </c>
      <c r="G461" s="300" t="s">
        <v>2372</v>
      </c>
      <c r="H461" s="300" t="s">
        <v>1374</v>
      </c>
      <c r="I461" s="300" t="s">
        <v>449</v>
      </c>
    </row>
    <row r="462" spans="2:9" ht="14.5">
      <c r="B462" s="300" t="s">
        <v>926</v>
      </c>
      <c r="C462" s="300" t="s">
        <v>2373</v>
      </c>
      <c r="D462" s="300" t="s">
        <v>2374</v>
      </c>
      <c r="E462" s="300" t="s">
        <v>928</v>
      </c>
      <c r="F462" s="300" t="s">
        <v>2375</v>
      </c>
      <c r="G462" s="300" t="s">
        <v>2376</v>
      </c>
      <c r="H462" s="300" t="s">
        <v>1374</v>
      </c>
      <c r="I462" s="300" t="s">
        <v>449</v>
      </c>
    </row>
    <row r="463" spans="2:9" ht="14.5">
      <c r="B463" s="300" t="s">
        <v>926</v>
      </c>
      <c r="C463" s="300" t="s">
        <v>2377</v>
      </c>
      <c r="D463" s="300" t="s">
        <v>2378</v>
      </c>
      <c r="E463" s="300" t="s">
        <v>928</v>
      </c>
      <c r="F463" s="378" t="s">
        <v>2094</v>
      </c>
      <c r="G463" s="300" t="s">
        <v>2372</v>
      </c>
      <c r="H463" s="300" t="s">
        <v>1374</v>
      </c>
      <c r="I463" s="300" t="s">
        <v>449</v>
      </c>
    </row>
    <row r="464" spans="2:9" ht="14.5">
      <c r="B464" s="300" t="s">
        <v>926</v>
      </c>
      <c r="C464" s="300" t="s">
        <v>2379</v>
      </c>
      <c r="D464" s="300" t="s">
        <v>2380</v>
      </c>
      <c r="E464" s="300" t="s">
        <v>928</v>
      </c>
      <c r="F464" s="300" t="s">
        <v>2381</v>
      </c>
      <c r="G464" s="300" t="s">
        <v>2382</v>
      </c>
      <c r="H464" s="300" t="s">
        <v>1374</v>
      </c>
      <c r="I464" s="300" t="s">
        <v>449</v>
      </c>
    </row>
    <row r="465" spans="2:9" ht="14.5">
      <c r="B465" s="300" t="s">
        <v>926</v>
      </c>
      <c r="C465" s="300" t="s">
        <v>2383</v>
      </c>
      <c r="D465" s="300" t="s">
        <v>2384</v>
      </c>
      <c r="E465" s="300" t="s">
        <v>928</v>
      </c>
      <c r="F465" s="378" t="s">
        <v>2102</v>
      </c>
      <c r="G465" s="300" t="s">
        <v>2385</v>
      </c>
      <c r="H465" s="300" t="s">
        <v>1374</v>
      </c>
      <c r="I465" s="300" t="s">
        <v>449</v>
      </c>
    </row>
    <row r="466" spans="2:9" ht="14.5">
      <c r="B466" s="300" t="s">
        <v>926</v>
      </c>
      <c r="C466" s="300" t="s">
        <v>2386</v>
      </c>
      <c r="D466" s="300" t="s">
        <v>2387</v>
      </c>
      <c r="E466" s="300" t="s">
        <v>928</v>
      </c>
      <c r="F466" s="300" t="s">
        <v>2388</v>
      </c>
      <c r="G466" s="300" t="s">
        <v>2389</v>
      </c>
      <c r="H466" s="300" t="s">
        <v>1374</v>
      </c>
      <c r="I466" s="300" t="s">
        <v>449</v>
      </c>
    </row>
    <row r="467" spans="2:9" ht="14.5">
      <c r="B467" s="300" t="s">
        <v>926</v>
      </c>
      <c r="C467" s="300" t="s">
        <v>2390</v>
      </c>
      <c r="D467" s="300" t="s">
        <v>2391</v>
      </c>
      <c r="E467" s="300" t="s">
        <v>928</v>
      </c>
      <c r="F467" s="300" t="s">
        <v>2392</v>
      </c>
      <c r="G467" s="300" t="s">
        <v>2393</v>
      </c>
      <c r="H467" s="300" t="s">
        <v>1374</v>
      </c>
      <c r="I467" s="300" t="s">
        <v>449</v>
      </c>
    </row>
    <row r="468" spans="2:9" ht="14.5">
      <c r="B468" s="300" t="s">
        <v>926</v>
      </c>
      <c r="C468" s="300" t="s">
        <v>2394</v>
      </c>
      <c r="D468" s="300" t="s">
        <v>2395</v>
      </c>
      <c r="E468" s="300" t="s">
        <v>928</v>
      </c>
      <c r="F468" s="300" t="s">
        <v>2396</v>
      </c>
      <c r="G468" s="300" t="s">
        <v>2397</v>
      </c>
      <c r="H468" s="300" t="s">
        <v>1374</v>
      </c>
      <c r="I468" s="300" t="s">
        <v>449</v>
      </c>
    </row>
    <row r="469" spans="2:9" ht="14.5">
      <c r="B469" s="300" t="s">
        <v>926</v>
      </c>
      <c r="C469" s="300" t="s">
        <v>2398</v>
      </c>
      <c r="D469" s="300" t="s">
        <v>2399</v>
      </c>
      <c r="E469" s="300" t="s">
        <v>928</v>
      </c>
      <c r="F469" s="300" t="s">
        <v>2396</v>
      </c>
      <c r="G469" s="300" t="s">
        <v>2397</v>
      </c>
      <c r="H469" s="300" t="s">
        <v>1374</v>
      </c>
      <c r="I469" s="300" t="s">
        <v>449</v>
      </c>
    </row>
    <row r="470" spans="2:9" ht="14.5">
      <c r="B470" s="300" t="s">
        <v>926</v>
      </c>
      <c r="C470" s="300" t="s">
        <v>2400</v>
      </c>
      <c r="D470" s="300" t="s">
        <v>2401</v>
      </c>
      <c r="E470" s="300" t="s">
        <v>928</v>
      </c>
      <c r="F470" s="378" t="s">
        <v>5149</v>
      </c>
      <c r="G470" s="300" t="s">
        <v>2402</v>
      </c>
      <c r="H470" s="300" t="s">
        <v>1490</v>
      </c>
      <c r="I470" s="300" t="s">
        <v>449</v>
      </c>
    </row>
    <row r="471" spans="2:9" ht="14.5">
      <c r="B471" s="300" t="s">
        <v>926</v>
      </c>
      <c r="C471" s="300" t="s">
        <v>2403</v>
      </c>
      <c r="D471" s="300" t="s">
        <v>2404</v>
      </c>
      <c r="E471" s="300" t="s">
        <v>928</v>
      </c>
      <c r="F471" s="378" t="s">
        <v>5150</v>
      </c>
      <c r="G471" s="300" t="s">
        <v>2405</v>
      </c>
      <c r="H471" s="300" t="s">
        <v>1490</v>
      </c>
      <c r="I471" s="300" t="s">
        <v>449</v>
      </c>
    </row>
    <row r="472" spans="2:9" ht="14.5">
      <c r="B472" s="300" t="s">
        <v>926</v>
      </c>
      <c r="C472" s="300" t="s">
        <v>2406</v>
      </c>
      <c r="D472" s="300" t="s">
        <v>2407</v>
      </c>
      <c r="E472" s="300" t="s">
        <v>928</v>
      </c>
      <c r="F472" s="300" t="s">
        <v>2408</v>
      </c>
      <c r="G472" s="300" t="s">
        <v>2409</v>
      </c>
      <c r="H472" s="300" t="s">
        <v>1490</v>
      </c>
      <c r="I472" s="300" t="s">
        <v>449</v>
      </c>
    </row>
    <row r="473" spans="2:9" ht="14.5">
      <c r="B473" s="300" t="s">
        <v>926</v>
      </c>
      <c r="C473" s="300" t="s">
        <v>2410</v>
      </c>
      <c r="D473" s="300" t="s">
        <v>2411</v>
      </c>
      <c r="E473" s="300" t="s">
        <v>928</v>
      </c>
      <c r="F473" s="300" t="s">
        <v>2412</v>
      </c>
      <c r="G473" s="300" t="s">
        <v>2413</v>
      </c>
      <c r="H473" s="300" t="s">
        <v>1490</v>
      </c>
      <c r="I473" s="300" t="s">
        <v>449</v>
      </c>
    </row>
    <row r="474" spans="2:9" ht="14.5">
      <c r="B474" s="300" t="s">
        <v>926</v>
      </c>
      <c r="C474" s="300" t="s">
        <v>2414</v>
      </c>
      <c r="D474" s="300" t="s">
        <v>2415</v>
      </c>
      <c r="E474" s="300" t="s">
        <v>928</v>
      </c>
      <c r="F474" s="300" t="s">
        <v>2408</v>
      </c>
      <c r="G474" s="300" t="s">
        <v>2409</v>
      </c>
      <c r="H474" s="300" t="s">
        <v>1490</v>
      </c>
      <c r="I474" s="300" t="s">
        <v>449</v>
      </c>
    </row>
    <row r="475" spans="2:9" ht="14.5">
      <c r="B475" s="300" t="s">
        <v>926</v>
      </c>
      <c r="C475" s="300" t="s">
        <v>2416</v>
      </c>
      <c r="D475" s="300" t="s">
        <v>2417</v>
      </c>
      <c r="E475" s="300" t="s">
        <v>928</v>
      </c>
      <c r="F475" s="300" t="s">
        <v>2418</v>
      </c>
      <c r="G475" s="300" t="s">
        <v>2419</v>
      </c>
      <c r="H475" s="300" t="s">
        <v>1490</v>
      </c>
      <c r="I475" s="300" t="s">
        <v>449</v>
      </c>
    </row>
    <row r="476" spans="2:9" ht="14.5">
      <c r="B476" s="300" t="s">
        <v>926</v>
      </c>
      <c r="C476" s="300" t="s">
        <v>2420</v>
      </c>
      <c r="D476" s="300" t="s">
        <v>2421</v>
      </c>
      <c r="E476" s="300" t="s">
        <v>928</v>
      </c>
      <c r="F476" s="300" t="s">
        <v>1493</v>
      </c>
      <c r="G476" s="300" t="s">
        <v>1494</v>
      </c>
      <c r="H476" s="300" t="s">
        <v>1490</v>
      </c>
      <c r="I476" s="300" t="s">
        <v>449</v>
      </c>
    </row>
    <row r="477" spans="2:9" ht="14.5">
      <c r="B477" s="300" t="s">
        <v>926</v>
      </c>
      <c r="C477" s="300" t="s">
        <v>2422</v>
      </c>
      <c r="D477" s="300" t="s">
        <v>2423</v>
      </c>
      <c r="E477" s="300" t="s">
        <v>928</v>
      </c>
      <c r="F477" s="378" t="s">
        <v>2222</v>
      </c>
      <c r="G477" s="300" t="s">
        <v>1489</v>
      </c>
      <c r="H477" s="300" t="s">
        <v>1490</v>
      </c>
      <c r="I477" s="300" t="s">
        <v>449</v>
      </c>
    </row>
    <row r="478" spans="2:9" ht="14.5">
      <c r="B478" s="300" t="s">
        <v>926</v>
      </c>
      <c r="C478" s="300" t="s">
        <v>2424</v>
      </c>
      <c r="D478" s="300" t="s">
        <v>2425</v>
      </c>
      <c r="E478" s="300" t="s">
        <v>928</v>
      </c>
      <c r="F478" s="300" t="s">
        <v>2426</v>
      </c>
      <c r="G478" s="300" t="s">
        <v>2427</v>
      </c>
      <c r="H478" s="300" t="s">
        <v>1490</v>
      </c>
      <c r="I478" s="300" t="s">
        <v>449</v>
      </c>
    </row>
    <row r="479" spans="2:9" ht="14.5">
      <c r="B479" s="300" t="s">
        <v>926</v>
      </c>
      <c r="C479" s="300" t="s">
        <v>2428</v>
      </c>
      <c r="D479" s="300" t="s">
        <v>2429</v>
      </c>
      <c r="E479" s="300" t="s">
        <v>928</v>
      </c>
      <c r="F479" s="300" t="s">
        <v>1898</v>
      </c>
      <c r="G479" s="300" t="s">
        <v>1899</v>
      </c>
      <c r="H479" s="300" t="s">
        <v>1843</v>
      </c>
      <c r="I479" s="300" t="s">
        <v>449</v>
      </c>
    </row>
    <row r="480" spans="2:9" ht="14.5">
      <c r="B480" s="300" t="s">
        <v>926</v>
      </c>
      <c r="C480" s="300" t="s">
        <v>2430</v>
      </c>
      <c r="D480" s="300" t="s">
        <v>2431</v>
      </c>
      <c r="E480" s="300" t="s">
        <v>928</v>
      </c>
      <c r="F480" s="378" t="s">
        <v>2222</v>
      </c>
      <c r="G480" s="300" t="s">
        <v>1489</v>
      </c>
      <c r="H480" s="300" t="s">
        <v>1490</v>
      </c>
      <c r="I480" s="300" t="s">
        <v>449</v>
      </c>
    </row>
    <row r="481" spans="2:9" ht="14.5">
      <c r="B481" s="300" t="s">
        <v>926</v>
      </c>
      <c r="C481" s="300" t="s">
        <v>2432</v>
      </c>
      <c r="D481" s="300" t="s">
        <v>2433</v>
      </c>
      <c r="E481" s="300" t="s">
        <v>928</v>
      </c>
      <c r="F481" s="300" t="s">
        <v>2434</v>
      </c>
      <c r="G481" s="300" t="s">
        <v>2435</v>
      </c>
      <c r="H481" s="300" t="s">
        <v>1490</v>
      </c>
      <c r="I481" s="300" t="s">
        <v>449</v>
      </c>
    </row>
    <row r="482" spans="2:9" ht="14.5">
      <c r="B482" s="300" t="s">
        <v>926</v>
      </c>
      <c r="C482" s="300" t="s">
        <v>2436</v>
      </c>
      <c r="D482" s="300" t="s">
        <v>2437</v>
      </c>
      <c r="E482" s="300" t="s">
        <v>928</v>
      </c>
      <c r="F482" s="300" t="s">
        <v>2438</v>
      </c>
      <c r="G482" s="300" t="s">
        <v>2439</v>
      </c>
      <c r="H482" s="300" t="s">
        <v>1490</v>
      </c>
      <c r="I482" s="300" t="s">
        <v>449</v>
      </c>
    </row>
    <row r="483" spans="2:9" ht="14.5">
      <c r="B483" s="300" t="s">
        <v>926</v>
      </c>
      <c r="C483" s="300" t="s">
        <v>2440</v>
      </c>
      <c r="D483" s="300" t="s">
        <v>2441</v>
      </c>
      <c r="E483" s="300" t="s">
        <v>928</v>
      </c>
      <c r="F483" s="300" t="s">
        <v>2434</v>
      </c>
      <c r="G483" s="300" t="s">
        <v>2435</v>
      </c>
      <c r="H483" s="300" t="s">
        <v>1490</v>
      </c>
      <c r="I483" s="300" t="s">
        <v>449</v>
      </c>
    </row>
    <row r="484" spans="2:9" ht="14.5">
      <c r="B484" s="300" t="s">
        <v>926</v>
      </c>
      <c r="C484" s="300" t="s">
        <v>2442</v>
      </c>
      <c r="D484" s="300" t="s">
        <v>2443</v>
      </c>
      <c r="E484" s="300" t="s">
        <v>928</v>
      </c>
      <c r="F484" s="378" t="s">
        <v>2222</v>
      </c>
      <c r="G484" s="300" t="s">
        <v>1489</v>
      </c>
      <c r="H484" s="300" t="s">
        <v>1490</v>
      </c>
      <c r="I484" s="300" t="s">
        <v>449</v>
      </c>
    </row>
    <row r="485" spans="2:9" ht="14.5">
      <c r="B485" s="300" t="s">
        <v>926</v>
      </c>
      <c r="C485" s="300" t="s">
        <v>2444</v>
      </c>
      <c r="D485" s="300" t="s">
        <v>2445</v>
      </c>
      <c r="E485" s="300" t="s">
        <v>928</v>
      </c>
      <c r="F485" s="300" t="s">
        <v>2446</v>
      </c>
      <c r="G485" s="300" t="s">
        <v>2447</v>
      </c>
      <c r="H485" s="300" t="s">
        <v>1490</v>
      </c>
      <c r="I485" s="300" t="s">
        <v>449</v>
      </c>
    </row>
    <row r="486" spans="2:9" ht="14.5">
      <c r="B486" s="300" t="s">
        <v>926</v>
      </c>
      <c r="C486" s="300" t="s">
        <v>2448</v>
      </c>
      <c r="D486" s="300" t="s">
        <v>2449</v>
      </c>
      <c r="E486" s="300" t="s">
        <v>928</v>
      </c>
      <c r="F486" s="378" t="s">
        <v>2222</v>
      </c>
      <c r="G486" s="300" t="s">
        <v>1489</v>
      </c>
      <c r="H486" s="300" t="s">
        <v>1490</v>
      </c>
      <c r="I486" s="300" t="s">
        <v>449</v>
      </c>
    </row>
    <row r="487" spans="2:9" ht="14.5">
      <c r="B487" s="300" t="s">
        <v>926</v>
      </c>
      <c r="C487" s="300" t="s">
        <v>2450</v>
      </c>
      <c r="D487" s="300" t="s">
        <v>2451</v>
      </c>
      <c r="E487" s="300" t="s">
        <v>928</v>
      </c>
      <c r="F487" s="300" t="s">
        <v>1493</v>
      </c>
      <c r="G487" s="300" t="s">
        <v>1494</v>
      </c>
      <c r="H487" s="300" t="s">
        <v>1490</v>
      </c>
      <c r="I487" s="300" t="s">
        <v>449</v>
      </c>
    </row>
    <row r="488" spans="2:9" ht="14.5">
      <c r="B488" s="300" t="s">
        <v>926</v>
      </c>
      <c r="C488" s="300" t="s">
        <v>2452</v>
      </c>
      <c r="D488" s="300" t="s">
        <v>2453</v>
      </c>
      <c r="E488" s="300" t="s">
        <v>928</v>
      </c>
      <c r="F488" s="300" t="s">
        <v>1493</v>
      </c>
      <c r="G488" s="300" t="s">
        <v>1494</v>
      </c>
      <c r="H488" s="300" t="s">
        <v>1490</v>
      </c>
      <c r="I488" s="300" t="s">
        <v>449</v>
      </c>
    </row>
    <row r="489" spans="2:9" ht="14.5">
      <c r="B489" s="300" t="s">
        <v>926</v>
      </c>
      <c r="C489" s="300" t="s">
        <v>2454</v>
      </c>
      <c r="D489" s="300" t="s">
        <v>2455</v>
      </c>
      <c r="E489" s="300" t="s">
        <v>928</v>
      </c>
      <c r="F489" s="300" t="s">
        <v>1419</v>
      </c>
      <c r="G489" s="300" t="s">
        <v>1420</v>
      </c>
      <c r="H489" s="300" t="s">
        <v>1374</v>
      </c>
      <c r="I489" s="300" t="s">
        <v>449</v>
      </c>
    </row>
    <row r="490" spans="2:9" ht="14.5">
      <c r="B490" s="300" t="s">
        <v>926</v>
      </c>
      <c r="C490" s="300" t="s">
        <v>2456</v>
      </c>
      <c r="D490" s="300" t="s">
        <v>2457</v>
      </c>
      <c r="E490" s="300" t="s">
        <v>928</v>
      </c>
      <c r="F490" s="378" t="s">
        <v>5243</v>
      </c>
      <c r="G490" s="300" t="s">
        <v>2458</v>
      </c>
      <c r="H490" s="300" t="s">
        <v>1818</v>
      </c>
      <c r="I490" s="300" t="s">
        <v>446</v>
      </c>
    </row>
    <row r="491" spans="2:9" ht="14.5">
      <c r="B491" s="300" t="s">
        <v>926</v>
      </c>
      <c r="C491" s="300" t="s">
        <v>2459</v>
      </c>
      <c r="D491" s="300" t="s">
        <v>2460</v>
      </c>
      <c r="E491" s="300" t="s">
        <v>928</v>
      </c>
      <c r="F491" s="378" t="s">
        <v>5244</v>
      </c>
      <c r="G491" s="300" t="s">
        <v>2458</v>
      </c>
      <c r="H491" s="300" t="s">
        <v>1818</v>
      </c>
      <c r="I491" s="300" t="s">
        <v>446</v>
      </c>
    </row>
    <row r="492" spans="2:9" ht="14.5">
      <c r="B492" s="300" t="s">
        <v>926</v>
      </c>
      <c r="C492" s="300" t="s">
        <v>2461</v>
      </c>
      <c r="D492" s="300" t="s">
        <v>2462</v>
      </c>
      <c r="E492" s="300" t="s">
        <v>928</v>
      </c>
      <c r="F492" s="300" t="s">
        <v>2195</v>
      </c>
      <c r="G492" s="300" t="s">
        <v>2196</v>
      </c>
      <c r="H492" s="300" t="s">
        <v>1490</v>
      </c>
      <c r="I492" s="300" t="s">
        <v>449</v>
      </c>
    </row>
    <row r="493" spans="2:9" ht="14.5">
      <c r="B493" s="300" t="s">
        <v>926</v>
      </c>
      <c r="C493" s="300" t="s">
        <v>2463</v>
      </c>
      <c r="D493" s="300" t="s">
        <v>2464</v>
      </c>
      <c r="E493" s="300" t="s">
        <v>928</v>
      </c>
      <c r="F493" s="300" t="s">
        <v>1493</v>
      </c>
      <c r="G493" s="300" t="s">
        <v>1494</v>
      </c>
      <c r="H493" s="300" t="s">
        <v>1490</v>
      </c>
      <c r="I493" s="300" t="s">
        <v>449</v>
      </c>
    </row>
    <row r="494" spans="2:9" ht="14.5">
      <c r="B494" s="300" t="s">
        <v>926</v>
      </c>
      <c r="C494" s="300" t="s">
        <v>2465</v>
      </c>
      <c r="D494" s="300" t="s">
        <v>2466</v>
      </c>
      <c r="E494" s="300" t="s">
        <v>928</v>
      </c>
      <c r="F494" s="378" t="s">
        <v>5151</v>
      </c>
      <c r="G494" s="300" t="s">
        <v>2467</v>
      </c>
      <c r="H494" s="300" t="s">
        <v>2468</v>
      </c>
      <c r="I494" s="300" t="s">
        <v>446</v>
      </c>
    </row>
    <row r="495" spans="2:9" ht="14.5">
      <c r="B495" s="300" t="s">
        <v>926</v>
      </c>
      <c r="C495" s="300" t="s">
        <v>2469</v>
      </c>
      <c r="D495" s="300" t="s">
        <v>2470</v>
      </c>
      <c r="E495" s="300" t="s">
        <v>928</v>
      </c>
      <c r="F495" s="300" t="s">
        <v>2471</v>
      </c>
      <c r="G495" s="300" t="s">
        <v>2472</v>
      </c>
      <c r="H495" s="300" t="s">
        <v>2468</v>
      </c>
      <c r="I495" s="300" t="s">
        <v>446</v>
      </c>
    </row>
    <row r="496" spans="2:9" ht="14.5">
      <c r="B496" s="300" t="s">
        <v>926</v>
      </c>
      <c r="C496" s="300" t="s">
        <v>2473</v>
      </c>
      <c r="D496" s="300" t="s">
        <v>2474</v>
      </c>
      <c r="E496" s="300" t="s">
        <v>928</v>
      </c>
      <c r="F496" s="300" t="s">
        <v>2471</v>
      </c>
      <c r="G496" s="300" t="s">
        <v>2472</v>
      </c>
      <c r="H496" s="300" t="s">
        <v>2468</v>
      </c>
      <c r="I496" s="300" t="s">
        <v>446</v>
      </c>
    </row>
    <row r="497" spans="2:9" ht="14.5">
      <c r="B497" s="300" t="s">
        <v>926</v>
      </c>
      <c r="C497" s="300" t="s">
        <v>2475</v>
      </c>
      <c r="D497" s="300" t="s">
        <v>2476</v>
      </c>
      <c r="E497" s="300" t="s">
        <v>928</v>
      </c>
      <c r="F497" s="300" t="s">
        <v>2471</v>
      </c>
      <c r="G497" s="300" t="s">
        <v>2472</v>
      </c>
      <c r="H497" s="300" t="s">
        <v>2468</v>
      </c>
      <c r="I497" s="300" t="s">
        <v>446</v>
      </c>
    </row>
    <row r="498" spans="2:9" ht="14.5">
      <c r="B498" s="300" t="s">
        <v>926</v>
      </c>
      <c r="C498" s="300" t="s">
        <v>2477</v>
      </c>
      <c r="D498" s="300" t="s">
        <v>2478</v>
      </c>
      <c r="E498" s="300" t="s">
        <v>928</v>
      </c>
      <c r="F498" s="300" t="s">
        <v>2471</v>
      </c>
      <c r="G498" s="300" t="s">
        <v>2472</v>
      </c>
      <c r="H498" s="300" t="s">
        <v>2468</v>
      </c>
      <c r="I498" s="300" t="s">
        <v>446</v>
      </c>
    </row>
    <row r="499" spans="2:9" ht="14.5">
      <c r="B499" s="300" t="s">
        <v>926</v>
      </c>
      <c r="C499" s="300" t="s">
        <v>2479</v>
      </c>
      <c r="D499" s="300" t="s">
        <v>2480</v>
      </c>
      <c r="E499" s="300" t="s">
        <v>928</v>
      </c>
      <c r="F499" s="378" t="s">
        <v>5152</v>
      </c>
      <c r="G499" s="300" t="s">
        <v>2481</v>
      </c>
      <c r="H499" s="300" t="s">
        <v>2468</v>
      </c>
      <c r="I499" s="300" t="s">
        <v>446</v>
      </c>
    </row>
    <row r="500" spans="2:9" ht="14.5">
      <c r="B500" s="300" t="s">
        <v>926</v>
      </c>
      <c r="C500" s="300" t="s">
        <v>2482</v>
      </c>
      <c r="D500" s="300" t="s">
        <v>2483</v>
      </c>
      <c r="E500" s="300" t="s">
        <v>928</v>
      </c>
      <c r="F500" s="300" t="s">
        <v>2484</v>
      </c>
      <c r="G500" s="300" t="s">
        <v>2485</v>
      </c>
      <c r="H500" s="300" t="s">
        <v>2468</v>
      </c>
      <c r="I500" s="300" t="s">
        <v>446</v>
      </c>
    </row>
    <row r="501" spans="2:9" ht="14.5">
      <c r="B501" s="300" t="s">
        <v>926</v>
      </c>
      <c r="C501" s="300" t="s">
        <v>2486</v>
      </c>
      <c r="D501" s="300" t="s">
        <v>2487</v>
      </c>
      <c r="E501" s="300" t="s">
        <v>928</v>
      </c>
      <c r="F501" s="300" t="s">
        <v>2488</v>
      </c>
      <c r="G501" s="300" t="s">
        <v>2489</v>
      </c>
      <c r="H501" s="300" t="s">
        <v>2468</v>
      </c>
      <c r="I501" s="300" t="s">
        <v>446</v>
      </c>
    </row>
    <row r="502" spans="2:9" ht="14.5">
      <c r="B502" s="300" t="s">
        <v>926</v>
      </c>
      <c r="C502" s="300" t="s">
        <v>2490</v>
      </c>
      <c r="D502" s="300" t="s">
        <v>2491</v>
      </c>
      <c r="E502" s="300" t="s">
        <v>928</v>
      </c>
      <c r="F502" s="300" t="s">
        <v>2488</v>
      </c>
      <c r="G502" s="300" t="s">
        <v>2489</v>
      </c>
      <c r="H502" s="300" t="s">
        <v>2468</v>
      </c>
      <c r="I502" s="300" t="s">
        <v>446</v>
      </c>
    </row>
    <row r="503" spans="2:9" ht="14.5">
      <c r="B503" s="300" t="s">
        <v>926</v>
      </c>
      <c r="C503" s="300" t="s">
        <v>2492</v>
      </c>
      <c r="D503" s="300" t="s">
        <v>2493</v>
      </c>
      <c r="E503" s="300" t="s">
        <v>928</v>
      </c>
      <c r="F503" s="300" t="s">
        <v>2494</v>
      </c>
      <c r="G503" s="300" t="s">
        <v>2495</v>
      </c>
      <c r="H503" s="300" t="s">
        <v>2468</v>
      </c>
      <c r="I503" s="300" t="s">
        <v>446</v>
      </c>
    </row>
    <row r="504" spans="2:9" ht="14.5">
      <c r="B504" s="300" t="s">
        <v>926</v>
      </c>
      <c r="C504" s="300" t="s">
        <v>2496</v>
      </c>
      <c r="D504" s="300" t="s">
        <v>2497</v>
      </c>
      <c r="E504" s="300" t="s">
        <v>928</v>
      </c>
      <c r="F504" s="378" t="s">
        <v>5153</v>
      </c>
      <c r="G504" s="300" t="s">
        <v>2498</v>
      </c>
      <c r="H504" s="300" t="s">
        <v>2468</v>
      </c>
      <c r="I504" s="300" t="s">
        <v>446</v>
      </c>
    </row>
    <row r="505" spans="2:9" ht="14.5">
      <c r="B505" s="300" t="s">
        <v>926</v>
      </c>
      <c r="C505" s="300" t="s">
        <v>2499</v>
      </c>
      <c r="D505" s="300" t="s">
        <v>2500</v>
      </c>
      <c r="E505" s="300" t="s">
        <v>928</v>
      </c>
      <c r="F505" s="300" t="s">
        <v>2501</v>
      </c>
      <c r="G505" s="300" t="s">
        <v>2502</v>
      </c>
      <c r="H505" s="300" t="s">
        <v>2468</v>
      </c>
      <c r="I505" s="300" t="s">
        <v>446</v>
      </c>
    </row>
    <row r="506" spans="2:9" ht="14.5">
      <c r="B506" s="300" t="s">
        <v>926</v>
      </c>
      <c r="C506" s="300" t="s">
        <v>2503</v>
      </c>
      <c r="D506" s="300" t="s">
        <v>2504</v>
      </c>
      <c r="E506" s="300" t="s">
        <v>928</v>
      </c>
      <c r="F506" s="300" t="s">
        <v>2505</v>
      </c>
      <c r="G506" s="300" t="s">
        <v>2506</v>
      </c>
      <c r="H506" s="300" t="s">
        <v>2468</v>
      </c>
      <c r="I506" s="300" t="s">
        <v>446</v>
      </c>
    </row>
    <row r="507" spans="2:9" ht="14.5">
      <c r="B507" s="300" t="s">
        <v>926</v>
      </c>
      <c r="C507" s="300" t="s">
        <v>2507</v>
      </c>
      <c r="D507" s="300" t="s">
        <v>2508</v>
      </c>
      <c r="E507" s="300" t="s">
        <v>928</v>
      </c>
      <c r="F507" s="300" t="s">
        <v>2505</v>
      </c>
      <c r="G507" s="300" t="s">
        <v>2506</v>
      </c>
      <c r="H507" s="300" t="s">
        <v>2468</v>
      </c>
      <c r="I507" s="300" t="s">
        <v>446</v>
      </c>
    </row>
    <row r="508" spans="2:9" ht="14.5">
      <c r="B508" s="300" t="s">
        <v>926</v>
      </c>
      <c r="C508" s="300" t="s">
        <v>2509</v>
      </c>
      <c r="D508" s="300" t="s">
        <v>2510</v>
      </c>
      <c r="E508" s="300" t="s">
        <v>928</v>
      </c>
      <c r="F508" s="300" t="s">
        <v>2484</v>
      </c>
      <c r="G508" s="300" t="s">
        <v>2485</v>
      </c>
      <c r="H508" s="300" t="s">
        <v>2468</v>
      </c>
      <c r="I508" s="300" t="s">
        <v>446</v>
      </c>
    </row>
    <row r="509" spans="2:9" ht="14.5">
      <c r="B509" s="300" t="s">
        <v>926</v>
      </c>
      <c r="C509" s="300" t="s">
        <v>2511</v>
      </c>
      <c r="D509" s="300" t="s">
        <v>2512</v>
      </c>
      <c r="E509" s="300" t="s">
        <v>928</v>
      </c>
      <c r="F509" s="300" t="s">
        <v>2513</v>
      </c>
      <c r="G509" s="300" t="s">
        <v>2514</v>
      </c>
      <c r="H509" s="300" t="s">
        <v>2468</v>
      </c>
      <c r="I509" s="300" t="s">
        <v>446</v>
      </c>
    </row>
    <row r="510" spans="2:9" ht="14.5">
      <c r="B510" s="300" t="s">
        <v>926</v>
      </c>
      <c r="C510" s="300" t="s">
        <v>2515</v>
      </c>
      <c r="D510" s="300" t="s">
        <v>2516</v>
      </c>
      <c r="E510" s="300" t="s">
        <v>928</v>
      </c>
      <c r="F510" s="300" t="s">
        <v>2517</v>
      </c>
      <c r="G510" s="300" t="s">
        <v>2518</v>
      </c>
      <c r="H510" s="300" t="s">
        <v>2468</v>
      </c>
      <c r="I510" s="300" t="s">
        <v>446</v>
      </c>
    </row>
    <row r="511" spans="2:9" ht="14.5">
      <c r="B511" s="300" t="s">
        <v>926</v>
      </c>
      <c r="C511" s="300" t="s">
        <v>2519</v>
      </c>
      <c r="D511" s="300" t="s">
        <v>2520</v>
      </c>
      <c r="E511" s="300" t="s">
        <v>928</v>
      </c>
      <c r="F511" s="300" t="s">
        <v>2501</v>
      </c>
      <c r="G511" s="300" t="s">
        <v>2502</v>
      </c>
      <c r="H511" s="300" t="s">
        <v>2468</v>
      </c>
      <c r="I511" s="300" t="s">
        <v>446</v>
      </c>
    </row>
    <row r="512" spans="2:9" ht="14.5">
      <c r="B512" s="300" t="s">
        <v>926</v>
      </c>
      <c r="C512" s="300" t="s">
        <v>2521</v>
      </c>
      <c r="D512" s="300" t="s">
        <v>2522</v>
      </c>
      <c r="E512" s="300" t="s">
        <v>928</v>
      </c>
      <c r="F512" s="300" t="s">
        <v>2523</v>
      </c>
      <c r="G512" s="300" t="s">
        <v>2524</v>
      </c>
      <c r="H512" s="300" t="s">
        <v>2468</v>
      </c>
      <c r="I512" s="300" t="s">
        <v>446</v>
      </c>
    </row>
    <row r="513" spans="2:9" ht="14.5">
      <c r="B513" s="300" t="s">
        <v>926</v>
      </c>
      <c r="C513" s="300" t="s">
        <v>2525</v>
      </c>
      <c r="D513" s="300" t="s">
        <v>2526</v>
      </c>
      <c r="E513" s="300" t="s">
        <v>928</v>
      </c>
      <c r="F513" s="378" t="s">
        <v>5154</v>
      </c>
      <c r="G513" s="300" t="s">
        <v>2526</v>
      </c>
      <c r="H513" s="300" t="s">
        <v>2468</v>
      </c>
      <c r="I513" s="300" t="s">
        <v>446</v>
      </c>
    </row>
    <row r="514" spans="2:9" ht="14.5">
      <c r="B514" s="300" t="s">
        <v>926</v>
      </c>
      <c r="C514" s="300" t="s">
        <v>2527</v>
      </c>
      <c r="D514" s="300" t="s">
        <v>2528</v>
      </c>
      <c r="E514" s="300" t="s">
        <v>928</v>
      </c>
      <c r="F514" s="378" t="s">
        <v>5155</v>
      </c>
      <c r="G514" s="300" t="s">
        <v>2529</v>
      </c>
      <c r="H514" s="300" t="s">
        <v>2468</v>
      </c>
      <c r="I514" s="300" t="s">
        <v>446</v>
      </c>
    </row>
    <row r="515" spans="2:9" ht="14.5">
      <c r="B515" s="300" t="s">
        <v>926</v>
      </c>
      <c r="C515" s="300" t="s">
        <v>2530</v>
      </c>
      <c r="D515" s="300" t="s">
        <v>2531</v>
      </c>
      <c r="E515" s="300" t="s">
        <v>928</v>
      </c>
      <c r="F515" s="300" t="s">
        <v>2532</v>
      </c>
      <c r="G515" s="300" t="s">
        <v>2533</v>
      </c>
      <c r="H515" s="300" t="s">
        <v>2468</v>
      </c>
      <c r="I515" s="300" t="s">
        <v>446</v>
      </c>
    </row>
    <row r="516" spans="2:9" ht="14.5">
      <c r="B516" s="300" t="s">
        <v>926</v>
      </c>
      <c r="C516" s="300" t="s">
        <v>2534</v>
      </c>
      <c r="D516" s="300" t="s">
        <v>2535</v>
      </c>
      <c r="E516" s="300" t="s">
        <v>928</v>
      </c>
      <c r="F516" s="300" t="s">
        <v>2517</v>
      </c>
      <c r="G516" s="300" t="s">
        <v>2518</v>
      </c>
      <c r="H516" s="300" t="s">
        <v>2468</v>
      </c>
      <c r="I516" s="300" t="s">
        <v>446</v>
      </c>
    </row>
    <row r="517" spans="2:9" ht="14.5">
      <c r="B517" s="300" t="s">
        <v>926</v>
      </c>
      <c r="C517" s="300" t="s">
        <v>2536</v>
      </c>
      <c r="D517" s="300" t="s">
        <v>2537</v>
      </c>
      <c r="E517" s="300" t="s">
        <v>928</v>
      </c>
      <c r="F517" s="300" t="s">
        <v>2532</v>
      </c>
      <c r="G517" s="300" t="s">
        <v>2533</v>
      </c>
      <c r="H517" s="300" t="s">
        <v>2468</v>
      </c>
      <c r="I517" s="300" t="s">
        <v>446</v>
      </c>
    </row>
    <row r="518" spans="2:9" ht="14.5">
      <c r="B518" s="300" t="s">
        <v>926</v>
      </c>
      <c r="C518" s="300" t="s">
        <v>2538</v>
      </c>
      <c r="D518" s="300" t="s">
        <v>2539</v>
      </c>
      <c r="E518" s="300" t="s">
        <v>928</v>
      </c>
      <c r="F518" s="300" t="s">
        <v>2532</v>
      </c>
      <c r="G518" s="300" t="s">
        <v>2533</v>
      </c>
      <c r="H518" s="300" t="s">
        <v>2468</v>
      </c>
      <c r="I518" s="300" t="s">
        <v>446</v>
      </c>
    </row>
    <row r="519" spans="2:9" ht="14.5">
      <c r="B519" s="300" t="s">
        <v>926</v>
      </c>
      <c r="C519" s="300" t="s">
        <v>2540</v>
      </c>
      <c r="D519" s="300" t="s">
        <v>2541</v>
      </c>
      <c r="E519" s="300" t="s">
        <v>928</v>
      </c>
      <c r="F519" s="300" t="s">
        <v>2494</v>
      </c>
      <c r="G519" s="300" t="s">
        <v>2495</v>
      </c>
      <c r="H519" s="300" t="s">
        <v>2468</v>
      </c>
      <c r="I519" s="300" t="s">
        <v>446</v>
      </c>
    </row>
    <row r="520" spans="2:9" ht="14.5">
      <c r="B520" s="300" t="s">
        <v>926</v>
      </c>
      <c r="C520" s="300" t="s">
        <v>2542</v>
      </c>
      <c r="D520" s="300" t="s">
        <v>2543</v>
      </c>
      <c r="E520" s="300" t="s">
        <v>928</v>
      </c>
      <c r="F520" s="300" t="s">
        <v>2494</v>
      </c>
      <c r="G520" s="300" t="s">
        <v>2495</v>
      </c>
      <c r="H520" s="300" t="s">
        <v>2468</v>
      </c>
      <c r="I520" s="300" t="s">
        <v>446</v>
      </c>
    </row>
    <row r="521" spans="2:9" ht="14.5">
      <c r="B521" s="300" t="s">
        <v>926</v>
      </c>
      <c r="C521" s="300" t="s">
        <v>2544</v>
      </c>
      <c r="D521" s="300" t="s">
        <v>2545</v>
      </c>
      <c r="E521" s="300" t="s">
        <v>928</v>
      </c>
      <c r="F521" s="300" t="s">
        <v>2494</v>
      </c>
      <c r="G521" s="300" t="s">
        <v>2495</v>
      </c>
      <c r="H521" s="300" t="s">
        <v>2468</v>
      </c>
      <c r="I521" s="300" t="s">
        <v>446</v>
      </c>
    </row>
    <row r="522" spans="2:9" ht="14.5">
      <c r="B522" s="300" t="s">
        <v>926</v>
      </c>
      <c r="C522" s="300" t="s">
        <v>2546</v>
      </c>
      <c r="D522" s="300" t="s">
        <v>2547</v>
      </c>
      <c r="E522" s="300" t="s">
        <v>928</v>
      </c>
      <c r="F522" s="300" t="s">
        <v>2494</v>
      </c>
      <c r="G522" s="300" t="s">
        <v>2495</v>
      </c>
      <c r="H522" s="300" t="s">
        <v>2468</v>
      </c>
      <c r="I522" s="300" t="s">
        <v>446</v>
      </c>
    </row>
    <row r="523" spans="2:9" ht="14.5">
      <c r="B523" s="300" t="s">
        <v>926</v>
      </c>
      <c r="C523" s="300" t="s">
        <v>2548</v>
      </c>
      <c r="D523" s="300" t="s">
        <v>2549</v>
      </c>
      <c r="E523" s="300" t="s">
        <v>928</v>
      </c>
      <c r="F523" s="378" t="s">
        <v>5156</v>
      </c>
      <c r="G523" s="300" t="s">
        <v>2550</v>
      </c>
      <c r="H523" s="300" t="s">
        <v>2468</v>
      </c>
      <c r="I523" s="300" t="s">
        <v>446</v>
      </c>
    </row>
    <row r="524" spans="2:9" ht="14.5">
      <c r="B524" s="300" t="s">
        <v>926</v>
      </c>
      <c r="C524" s="300" t="s">
        <v>2551</v>
      </c>
      <c r="D524" s="300" t="s">
        <v>2552</v>
      </c>
      <c r="E524" s="300" t="s">
        <v>928</v>
      </c>
      <c r="F524" s="300" t="s">
        <v>2494</v>
      </c>
      <c r="G524" s="300" t="s">
        <v>2495</v>
      </c>
      <c r="H524" s="300" t="s">
        <v>2468</v>
      </c>
      <c r="I524" s="300" t="s">
        <v>446</v>
      </c>
    </row>
    <row r="525" spans="2:9" ht="14.5">
      <c r="B525" s="300" t="s">
        <v>926</v>
      </c>
      <c r="C525" s="300" t="s">
        <v>2553</v>
      </c>
      <c r="D525" s="300" t="s">
        <v>2554</v>
      </c>
      <c r="E525" s="300" t="s">
        <v>928</v>
      </c>
      <c r="F525" s="300" t="s">
        <v>2555</v>
      </c>
      <c r="G525" s="300" t="s">
        <v>2556</v>
      </c>
      <c r="H525" s="300" t="s">
        <v>2468</v>
      </c>
      <c r="I525" s="300" t="s">
        <v>446</v>
      </c>
    </row>
    <row r="526" spans="2:9" ht="14.5">
      <c r="B526" s="300" t="s">
        <v>926</v>
      </c>
      <c r="C526" s="300" t="s">
        <v>2557</v>
      </c>
      <c r="D526" s="300" t="s">
        <v>2558</v>
      </c>
      <c r="E526" s="300" t="s">
        <v>928</v>
      </c>
      <c r="F526" s="300" t="s">
        <v>2559</v>
      </c>
      <c r="G526" s="300" t="s">
        <v>2560</v>
      </c>
      <c r="H526" s="300" t="s">
        <v>2468</v>
      </c>
      <c r="I526" s="300" t="s">
        <v>446</v>
      </c>
    </row>
    <row r="527" spans="2:9" ht="14.5">
      <c r="B527" s="300" t="s">
        <v>926</v>
      </c>
      <c r="C527" s="300" t="s">
        <v>2561</v>
      </c>
      <c r="D527" s="300" t="s">
        <v>2562</v>
      </c>
      <c r="E527" s="300" t="s">
        <v>928</v>
      </c>
      <c r="F527" s="300" t="s">
        <v>2563</v>
      </c>
      <c r="G527" s="300" t="s">
        <v>2564</v>
      </c>
      <c r="H527" s="300" t="s">
        <v>2468</v>
      </c>
      <c r="I527" s="300" t="s">
        <v>446</v>
      </c>
    </row>
    <row r="528" spans="2:9" ht="14.5">
      <c r="B528" s="300" t="s">
        <v>926</v>
      </c>
      <c r="C528" s="300" t="s">
        <v>2565</v>
      </c>
      <c r="D528" s="300" t="s">
        <v>2566</v>
      </c>
      <c r="E528" s="300" t="s">
        <v>928</v>
      </c>
      <c r="F528" s="300" t="s">
        <v>2559</v>
      </c>
      <c r="G528" s="300" t="s">
        <v>2560</v>
      </c>
      <c r="H528" s="300" t="s">
        <v>2468</v>
      </c>
      <c r="I528" s="300" t="s">
        <v>446</v>
      </c>
    </row>
    <row r="529" spans="2:9" ht="14.5">
      <c r="B529" s="300" t="s">
        <v>926</v>
      </c>
      <c r="C529" s="300" t="s">
        <v>2567</v>
      </c>
      <c r="D529" s="300" t="s">
        <v>2568</v>
      </c>
      <c r="E529" s="300" t="s">
        <v>928</v>
      </c>
      <c r="F529" s="300" t="s">
        <v>2569</v>
      </c>
      <c r="G529" s="300" t="s">
        <v>2570</v>
      </c>
      <c r="H529" s="300" t="s">
        <v>2468</v>
      </c>
      <c r="I529" s="300" t="s">
        <v>446</v>
      </c>
    </row>
    <row r="530" spans="2:9" ht="14.5">
      <c r="B530" s="300" t="s">
        <v>926</v>
      </c>
      <c r="C530" s="300" t="s">
        <v>2571</v>
      </c>
      <c r="D530" s="300" t="s">
        <v>2572</v>
      </c>
      <c r="E530" s="300" t="s">
        <v>928</v>
      </c>
      <c r="F530" s="300" t="s">
        <v>2559</v>
      </c>
      <c r="G530" s="300" t="s">
        <v>2560</v>
      </c>
      <c r="H530" s="300" t="s">
        <v>2468</v>
      </c>
      <c r="I530" s="300" t="s">
        <v>446</v>
      </c>
    </row>
    <row r="531" spans="2:9" ht="14.5">
      <c r="B531" s="300" t="s">
        <v>926</v>
      </c>
      <c r="C531" s="300" t="s">
        <v>2573</v>
      </c>
      <c r="D531" s="300" t="s">
        <v>2574</v>
      </c>
      <c r="E531" s="300" t="s">
        <v>928</v>
      </c>
      <c r="F531" s="300" t="s">
        <v>2555</v>
      </c>
      <c r="G531" s="300" t="s">
        <v>2556</v>
      </c>
      <c r="H531" s="300" t="s">
        <v>2468</v>
      </c>
      <c r="I531" s="300" t="s">
        <v>446</v>
      </c>
    </row>
    <row r="532" spans="2:9" ht="14.5">
      <c r="B532" s="300" t="s">
        <v>926</v>
      </c>
      <c r="C532" s="300" t="s">
        <v>2575</v>
      </c>
      <c r="D532" s="300" t="s">
        <v>2576</v>
      </c>
      <c r="E532" s="300" t="s">
        <v>928</v>
      </c>
      <c r="F532" s="378" t="s">
        <v>5157</v>
      </c>
      <c r="G532" s="300" t="s">
        <v>2577</v>
      </c>
      <c r="H532" s="300" t="s">
        <v>2468</v>
      </c>
      <c r="I532" s="300" t="s">
        <v>446</v>
      </c>
    </row>
    <row r="533" spans="2:9" ht="14.5">
      <c r="B533" s="300" t="s">
        <v>926</v>
      </c>
      <c r="C533" s="300" t="s">
        <v>2578</v>
      </c>
      <c r="D533" s="300" t="s">
        <v>2579</v>
      </c>
      <c r="E533" s="300" t="s">
        <v>928</v>
      </c>
      <c r="F533" s="300" t="s">
        <v>2580</v>
      </c>
      <c r="G533" s="300" t="s">
        <v>2581</v>
      </c>
      <c r="H533" s="300" t="s">
        <v>2468</v>
      </c>
      <c r="I533" s="300" t="s">
        <v>446</v>
      </c>
    </row>
    <row r="534" spans="2:9" ht="14.5">
      <c r="B534" s="300" t="s">
        <v>926</v>
      </c>
      <c r="C534" s="300" t="s">
        <v>2582</v>
      </c>
      <c r="D534" s="300" t="s">
        <v>2583</v>
      </c>
      <c r="E534" s="300" t="s">
        <v>928</v>
      </c>
      <c r="F534" s="300" t="s">
        <v>2584</v>
      </c>
      <c r="G534" s="300" t="s">
        <v>2585</v>
      </c>
      <c r="H534" s="300" t="s">
        <v>2468</v>
      </c>
      <c r="I534" s="300" t="s">
        <v>446</v>
      </c>
    </row>
    <row r="535" spans="2:9" ht="14.5">
      <c r="B535" s="300" t="s">
        <v>926</v>
      </c>
      <c r="C535" s="300" t="s">
        <v>2586</v>
      </c>
      <c r="D535" s="300" t="s">
        <v>2587</v>
      </c>
      <c r="E535" s="300" t="s">
        <v>928</v>
      </c>
      <c r="F535" s="300" t="s">
        <v>2588</v>
      </c>
      <c r="G535" s="300" t="s">
        <v>2589</v>
      </c>
      <c r="H535" s="300" t="s">
        <v>2468</v>
      </c>
      <c r="I535" s="300" t="s">
        <v>446</v>
      </c>
    </row>
    <row r="536" spans="2:9" ht="14.5">
      <c r="B536" s="300" t="s">
        <v>926</v>
      </c>
      <c r="C536" s="300" t="s">
        <v>2590</v>
      </c>
      <c r="D536" s="300" t="s">
        <v>2591</v>
      </c>
      <c r="E536" s="300" t="s">
        <v>928</v>
      </c>
      <c r="F536" s="300" t="s">
        <v>2592</v>
      </c>
      <c r="G536" s="300" t="s">
        <v>2593</v>
      </c>
      <c r="H536" s="300" t="s">
        <v>2468</v>
      </c>
      <c r="I536" s="300" t="s">
        <v>446</v>
      </c>
    </row>
    <row r="537" spans="2:9" ht="14.5">
      <c r="B537" s="300" t="s">
        <v>926</v>
      </c>
      <c r="C537" s="300" t="s">
        <v>2594</v>
      </c>
      <c r="D537" s="300" t="s">
        <v>2595</v>
      </c>
      <c r="E537" s="300" t="s">
        <v>928</v>
      </c>
      <c r="F537" s="300" t="s">
        <v>2596</v>
      </c>
      <c r="G537" s="300" t="s">
        <v>2597</v>
      </c>
      <c r="H537" s="300" t="s">
        <v>2468</v>
      </c>
      <c r="I537" s="300" t="s">
        <v>446</v>
      </c>
    </row>
    <row r="538" spans="2:9" ht="14.5">
      <c r="B538" s="300" t="s">
        <v>926</v>
      </c>
      <c r="C538" s="300" t="s">
        <v>2598</v>
      </c>
      <c r="D538" s="300" t="s">
        <v>2599</v>
      </c>
      <c r="E538" s="300" t="s">
        <v>928</v>
      </c>
      <c r="F538" s="300" t="s">
        <v>2596</v>
      </c>
      <c r="G538" s="300" t="s">
        <v>2597</v>
      </c>
      <c r="H538" s="300" t="s">
        <v>2468</v>
      </c>
      <c r="I538" s="300" t="s">
        <v>446</v>
      </c>
    </row>
    <row r="539" spans="2:9" ht="14.5">
      <c r="B539" s="300" t="s">
        <v>926</v>
      </c>
      <c r="C539" s="300" t="s">
        <v>2600</v>
      </c>
      <c r="D539" s="300" t="s">
        <v>2601</v>
      </c>
      <c r="E539" s="300" t="s">
        <v>928</v>
      </c>
      <c r="F539" s="300" t="s">
        <v>2602</v>
      </c>
      <c r="G539" s="300" t="s">
        <v>2603</v>
      </c>
      <c r="H539" s="300" t="s">
        <v>2468</v>
      </c>
      <c r="I539" s="300" t="s">
        <v>446</v>
      </c>
    </row>
    <row r="540" spans="2:9" ht="14.5">
      <c r="B540" s="300" t="s">
        <v>926</v>
      </c>
      <c r="C540" s="300" t="s">
        <v>2604</v>
      </c>
      <c r="D540" s="300" t="s">
        <v>2605</v>
      </c>
      <c r="E540" s="300" t="s">
        <v>928</v>
      </c>
      <c r="F540" s="378" t="s">
        <v>5158</v>
      </c>
      <c r="G540" s="300" t="s">
        <v>2606</v>
      </c>
      <c r="H540" s="300" t="s">
        <v>2468</v>
      </c>
      <c r="I540" s="300" t="s">
        <v>446</v>
      </c>
    </row>
    <row r="541" spans="2:9" ht="14.5">
      <c r="B541" s="300" t="s">
        <v>926</v>
      </c>
      <c r="C541" s="300" t="s">
        <v>2607</v>
      </c>
      <c r="D541" s="300" t="s">
        <v>2608</v>
      </c>
      <c r="E541" s="300" t="s">
        <v>928</v>
      </c>
      <c r="F541" s="300" t="s">
        <v>2609</v>
      </c>
      <c r="G541" s="300" t="s">
        <v>2610</v>
      </c>
      <c r="H541" s="300" t="s">
        <v>2468</v>
      </c>
      <c r="I541" s="300" t="s">
        <v>446</v>
      </c>
    </row>
    <row r="542" spans="2:9" ht="14.5">
      <c r="B542" s="300" t="s">
        <v>926</v>
      </c>
      <c r="C542" s="300" t="s">
        <v>2611</v>
      </c>
      <c r="D542" s="300" t="s">
        <v>2612</v>
      </c>
      <c r="E542" s="300" t="s">
        <v>928</v>
      </c>
      <c r="F542" s="300" t="s">
        <v>2609</v>
      </c>
      <c r="G542" s="300" t="s">
        <v>2610</v>
      </c>
      <c r="H542" s="300" t="s">
        <v>2468</v>
      </c>
      <c r="I542" s="300" t="s">
        <v>446</v>
      </c>
    </row>
    <row r="543" spans="2:9" ht="14.5">
      <c r="B543" s="300" t="s">
        <v>926</v>
      </c>
      <c r="C543" s="300" t="s">
        <v>2613</v>
      </c>
      <c r="D543" s="300" t="s">
        <v>2614</v>
      </c>
      <c r="E543" s="300" t="s">
        <v>928</v>
      </c>
      <c r="F543" s="300" t="s">
        <v>2609</v>
      </c>
      <c r="G543" s="300" t="s">
        <v>2610</v>
      </c>
      <c r="H543" s="300" t="s">
        <v>2468</v>
      </c>
      <c r="I543" s="300" t="s">
        <v>446</v>
      </c>
    </row>
    <row r="544" spans="2:9" ht="14.5">
      <c r="B544" s="300" t="s">
        <v>926</v>
      </c>
      <c r="C544" s="300" t="s">
        <v>2615</v>
      </c>
      <c r="D544" s="300" t="s">
        <v>2616</v>
      </c>
      <c r="E544" s="300" t="s">
        <v>928</v>
      </c>
      <c r="F544" s="300" t="s">
        <v>2609</v>
      </c>
      <c r="G544" s="300" t="s">
        <v>2610</v>
      </c>
      <c r="H544" s="300" t="s">
        <v>2468</v>
      </c>
      <c r="I544" s="300" t="s">
        <v>446</v>
      </c>
    </row>
    <row r="545" spans="2:9" ht="14.5">
      <c r="B545" s="300" t="s">
        <v>926</v>
      </c>
      <c r="C545" s="300" t="s">
        <v>2617</v>
      </c>
      <c r="D545" s="300" t="s">
        <v>2618</v>
      </c>
      <c r="E545" s="300" t="s">
        <v>928</v>
      </c>
      <c r="F545" s="378" t="s">
        <v>5158</v>
      </c>
      <c r="G545" s="300" t="s">
        <v>2606</v>
      </c>
      <c r="H545" s="300" t="s">
        <v>2468</v>
      </c>
      <c r="I545" s="300" t="s">
        <v>446</v>
      </c>
    </row>
    <row r="546" spans="2:9" ht="14.5">
      <c r="B546" s="300" t="s">
        <v>926</v>
      </c>
      <c r="C546" s="300" t="s">
        <v>2619</v>
      </c>
      <c r="D546" s="300" t="s">
        <v>2620</v>
      </c>
      <c r="E546" s="300" t="s">
        <v>928</v>
      </c>
      <c r="F546" s="300" t="s">
        <v>2609</v>
      </c>
      <c r="G546" s="300" t="s">
        <v>2610</v>
      </c>
      <c r="H546" s="300" t="s">
        <v>2468</v>
      </c>
      <c r="I546" s="300" t="s">
        <v>446</v>
      </c>
    </row>
    <row r="547" spans="2:9" ht="14.5">
      <c r="B547" s="300" t="s">
        <v>926</v>
      </c>
      <c r="C547" s="300" t="s">
        <v>2621</v>
      </c>
      <c r="D547" s="300" t="s">
        <v>2622</v>
      </c>
      <c r="E547" s="300" t="s">
        <v>928</v>
      </c>
      <c r="F547" s="300" t="s">
        <v>2623</v>
      </c>
      <c r="G547" s="300" t="s">
        <v>2624</v>
      </c>
      <c r="H547" s="300" t="s">
        <v>2468</v>
      </c>
      <c r="I547" s="300" t="s">
        <v>446</v>
      </c>
    </row>
    <row r="548" spans="2:9" ht="14.5">
      <c r="B548" s="300" t="s">
        <v>926</v>
      </c>
      <c r="C548" s="300" t="s">
        <v>2625</v>
      </c>
      <c r="D548" s="300" t="s">
        <v>2626</v>
      </c>
      <c r="E548" s="300" t="s">
        <v>928</v>
      </c>
      <c r="F548" s="300" t="s">
        <v>2609</v>
      </c>
      <c r="G548" s="300" t="s">
        <v>2610</v>
      </c>
      <c r="H548" s="300" t="s">
        <v>2468</v>
      </c>
      <c r="I548" s="300" t="s">
        <v>446</v>
      </c>
    </row>
    <row r="549" spans="2:9" ht="14.5">
      <c r="B549" s="300" t="s">
        <v>926</v>
      </c>
      <c r="C549" s="300" t="s">
        <v>2627</v>
      </c>
      <c r="D549" s="300" t="s">
        <v>2628</v>
      </c>
      <c r="E549" s="300" t="s">
        <v>928</v>
      </c>
      <c r="F549" s="300" t="s">
        <v>2629</v>
      </c>
      <c r="G549" s="300" t="s">
        <v>2630</v>
      </c>
      <c r="H549" s="300" t="s">
        <v>2468</v>
      </c>
      <c r="I549" s="300" t="s">
        <v>446</v>
      </c>
    </row>
    <row r="550" spans="2:9" ht="14.5">
      <c r="B550" s="300" t="s">
        <v>926</v>
      </c>
      <c r="C550" s="300" t="s">
        <v>2631</v>
      </c>
      <c r="D550" s="300" t="s">
        <v>2632</v>
      </c>
      <c r="E550" s="300" t="s">
        <v>928</v>
      </c>
      <c r="F550" s="300" t="s">
        <v>2623</v>
      </c>
      <c r="G550" s="300" t="s">
        <v>2624</v>
      </c>
      <c r="H550" s="300" t="s">
        <v>2468</v>
      </c>
      <c r="I550" s="300" t="s">
        <v>446</v>
      </c>
    </row>
    <row r="551" spans="2:9" ht="14.5">
      <c r="B551" s="300" t="s">
        <v>926</v>
      </c>
      <c r="C551" s="300" t="s">
        <v>2633</v>
      </c>
      <c r="D551" s="300" t="s">
        <v>2634</v>
      </c>
      <c r="E551" s="300" t="s">
        <v>928</v>
      </c>
      <c r="F551" s="300" t="s">
        <v>2623</v>
      </c>
      <c r="G551" s="300" t="s">
        <v>2624</v>
      </c>
      <c r="H551" s="300" t="s">
        <v>2468</v>
      </c>
      <c r="I551" s="300" t="s">
        <v>446</v>
      </c>
    </row>
    <row r="552" spans="2:9" ht="14.5">
      <c r="B552" s="300" t="s">
        <v>926</v>
      </c>
      <c r="C552" s="300" t="s">
        <v>2635</v>
      </c>
      <c r="D552" s="300" t="s">
        <v>2636</v>
      </c>
      <c r="E552" s="300" t="s">
        <v>928</v>
      </c>
      <c r="F552" s="300" t="s">
        <v>2623</v>
      </c>
      <c r="G552" s="300" t="s">
        <v>2624</v>
      </c>
      <c r="H552" s="300" t="s">
        <v>2468</v>
      </c>
      <c r="I552" s="300" t="s">
        <v>446</v>
      </c>
    </row>
    <row r="553" spans="2:9" ht="14.5">
      <c r="B553" s="300" t="s">
        <v>926</v>
      </c>
      <c r="C553" s="300" t="s">
        <v>2637</v>
      </c>
      <c r="D553" s="300" t="s">
        <v>2638</v>
      </c>
      <c r="E553" s="300" t="s">
        <v>928</v>
      </c>
      <c r="F553" s="300" t="s">
        <v>2629</v>
      </c>
      <c r="G553" s="300" t="s">
        <v>2630</v>
      </c>
      <c r="H553" s="300" t="s">
        <v>2468</v>
      </c>
      <c r="I553" s="300" t="s">
        <v>446</v>
      </c>
    </row>
    <row r="554" spans="2:9" ht="14.5">
      <c r="B554" s="300" t="s">
        <v>926</v>
      </c>
      <c r="C554" s="300" t="s">
        <v>2639</v>
      </c>
      <c r="D554" s="300" t="s">
        <v>2640</v>
      </c>
      <c r="E554" s="300" t="s">
        <v>928</v>
      </c>
      <c r="F554" s="300" t="s">
        <v>2629</v>
      </c>
      <c r="G554" s="300" t="s">
        <v>2630</v>
      </c>
      <c r="H554" s="300" t="s">
        <v>2468</v>
      </c>
      <c r="I554" s="300" t="s">
        <v>446</v>
      </c>
    </row>
    <row r="555" spans="2:9" ht="14.5">
      <c r="B555" s="300" t="s">
        <v>926</v>
      </c>
      <c r="C555" s="300" t="s">
        <v>2641</v>
      </c>
      <c r="D555" s="300" t="s">
        <v>2642</v>
      </c>
      <c r="E555" s="300" t="s">
        <v>928</v>
      </c>
      <c r="F555" s="378" t="s">
        <v>5157</v>
      </c>
      <c r="G555" s="300" t="s">
        <v>2577</v>
      </c>
      <c r="H555" s="300" t="s">
        <v>2468</v>
      </c>
      <c r="I555" s="300" t="s">
        <v>446</v>
      </c>
    </row>
    <row r="556" spans="2:9" ht="14.5">
      <c r="B556" s="300" t="s">
        <v>926</v>
      </c>
      <c r="C556" s="300" t="s">
        <v>2643</v>
      </c>
      <c r="D556" s="300" t="s">
        <v>2644</v>
      </c>
      <c r="E556" s="300" t="s">
        <v>928</v>
      </c>
      <c r="F556" s="300" t="s">
        <v>2580</v>
      </c>
      <c r="G556" s="300" t="s">
        <v>2581</v>
      </c>
      <c r="H556" s="300" t="s">
        <v>2468</v>
      </c>
      <c r="I556" s="300" t="s">
        <v>446</v>
      </c>
    </row>
    <row r="557" spans="2:9" ht="14.5">
      <c r="B557" s="300" t="s">
        <v>926</v>
      </c>
      <c r="C557" s="300" t="s">
        <v>2645</v>
      </c>
      <c r="D557" s="300" t="s">
        <v>2646</v>
      </c>
      <c r="E557" s="300" t="s">
        <v>928</v>
      </c>
      <c r="F557" s="300" t="s">
        <v>2592</v>
      </c>
      <c r="G557" s="300" t="s">
        <v>2593</v>
      </c>
      <c r="H557" s="300" t="s">
        <v>2468</v>
      </c>
      <c r="I557" s="300" t="s">
        <v>446</v>
      </c>
    </row>
    <row r="558" spans="2:9" ht="14.5">
      <c r="B558" s="300" t="s">
        <v>926</v>
      </c>
      <c r="C558" s="300" t="s">
        <v>2647</v>
      </c>
      <c r="D558" s="300" t="s">
        <v>2648</v>
      </c>
      <c r="E558" s="300" t="s">
        <v>928</v>
      </c>
      <c r="F558" s="300" t="s">
        <v>2592</v>
      </c>
      <c r="G558" s="300" t="s">
        <v>2593</v>
      </c>
      <c r="H558" s="300" t="s">
        <v>2468</v>
      </c>
      <c r="I558" s="300" t="s">
        <v>446</v>
      </c>
    </row>
    <row r="559" spans="2:9" ht="14.5">
      <c r="B559" s="300" t="s">
        <v>926</v>
      </c>
      <c r="C559" s="300" t="s">
        <v>2649</v>
      </c>
      <c r="D559" s="300" t="s">
        <v>2650</v>
      </c>
      <c r="E559" s="300" t="s">
        <v>928</v>
      </c>
      <c r="F559" s="300" t="s">
        <v>2651</v>
      </c>
      <c r="G559" s="300" t="s">
        <v>2652</v>
      </c>
      <c r="H559" s="300" t="s">
        <v>2468</v>
      </c>
      <c r="I559" s="300" t="s">
        <v>446</v>
      </c>
    </row>
    <row r="560" spans="2:9" ht="14.5">
      <c r="B560" s="300" t="s">
        <v>926</v>
      </c>
      <c r="C560" s="300" t="s">
        <v>2653</v>
      </c>
      <c r="D560" s="300" t="s">
        <v>2654</v>
      </c>
      <c r="E560" s="300" t="s">
        <v>928</v>
      </c>
      <c r="F560" s="300" t="s">
        <v>2655</v>
      </c>
      <c r="G560" s="300" t="s">
        <v>2656</v>
      </c>
      <c r="H560" s="300" t="s">
        <v>2468</v>
      </c>
      <c r="I560" s="300" t="s">
        <v>446</v>
      </c>
    </row>
    <row r="561" spans="2:9" ht="14.5">
      <c r="B561" s="300" t="s">
        <v>926</v>
      </c>
      <c r="C561" s="300" t="s">
        <v>2657</v>
      </c>
      <c r="D561" s="300" t="s">
        <v>2658</v>
      </c>
      <c r="E561" s="300" t="s">
        <v>928</v>
      </c>
      <c r="F561" s="300" t="s">
        <v>2659</v>
      </c>
      <c r="G561" s="300" t="s">
        <v>2660</v>
      </c>
      <c r="H561" s="300" t="s">
        <v>2468</v>
      </c>
      <c r="I561" s="300" t="s">
        <v>446</v>
      </c>
    </row>
    <row r="562" spans="2:9" ht="14.5">
      <c r="B562" s="300" t="s">
        <v>926</v>
      </c>
      <c r="C562" s="300" t="s">
        <v>2661</v>
      </c>
      <c r="D562" s="300" t="s">
        <v>2662</v>
      </c>
      <c r="E562" s="300" t="s">
        <v>928</v>
      </c>
      <c r="F562" s="300" t="s">
        <v>2663</v>
      </c>
      <c r="G562" s="300" t="s">
        <v>2664</v>
      </c>
      <c r="H562" s="300" t="s">
        <v>2468</v>
      </c>
      <c r="I562" s="300" t="s">
        <v>446</v>
      </c>
    </row>
    <row r="563" spans="2:9" ht="14.5">
      <c r="B563" s="300" t="s">
        <v>926</v>
      </c>
      <c r="C563" s="300" t="s">
        <v>2665</v>
      </c>
      <c r="D563" s="300" t="s">
        <v>2666</v>
      </c>
      <c r="E563" s="300" t="s">
        <v>928</v>
      </c>
      <c r="F563" s="300" t="s">
        <v>2663</v>
      </c>
      <c r="G563" s="300" t="s">
        <v>2664</v>
      </c>
      <c r="H563" s="300" t="s">
        <v>2468</v>
      </c>
      <c r="I563" s="300" t="s">
        <v>446</v>
      </c>
    </row>
    <row r="564" spans="2:9" ht="14.5">
      <c r="B564" s="300" t="s">
        <v>926</v>
      </c>
      <c r="C564" s="300" t="s">
        <v>2667</v>
      </c>
      <c r="D564" s="300" t="s">
        <v>2668</v>
      </c>
      <c r="E564" s="300" t="s">
        <v>928</v>
      </c>
      <c r="F564" s="300" t="s">
        <v>2663</v>
      </c>
      <c r="G564" s="300" t="s">
        <v>2664</v>
      </c>
      <c r="H564" s="300" t="s">
        <v>2468</v>
      </c>
      <c r="I564" s="300" t="s">
        <v>446</v>
      </c>
    </row>
    <row r="565" spans="2:9" ht="14.5">
      <c r="B565" s="300" t="s">
        <v>926</v>
      </c>
      <c r="C565" s="300" t="s">
        <v>2669</v>
      </c>
      <c r="D565" s="300" t="s">
        <v>2670</v>
      </c>
      <c r="E565" s="300" t="s">
        <v>928</v>
      </c>
      <c r="F565" s="378" t="s">
        <v>5155</v>
      </c>
      <c r="G565" s="300" t="s">
        <v>2529</v>
      </c>
      <c r="H565" s="300" t="s">
        <v>2468</v>
      </c>
      <c r="I565" s="300" t="s">
        <v>446</v>
      </c>
    </row>
    <row r="566" spans="2:9" ht="14.5">
      <c r="B566" s="300" t="s">
        <v>926</v>
      </c>
      <c r="C566" s="300" t="s">
        <v>2671</v>
      </c>
      <c r="D566" s="300" t="s">
        <v>2672</v>
      </c>
      <c r="E566" s="300" t="s">
        <v>928</v>
      </c>
      <c r="F566" s="300" t="s">
        <v>2673</v>
      </c>
      <c r="G566" s="300" t="s">
        <v>2674</v>
      </c>
      <c r="H566" s="300" t="s">
        <v>2468</v>
      </c>
      <c r="I566" s="300" t="s">
        <v>446</v>
      </c>
    </row>
    <row r="567" spans="2:9" ht="14.5">
      <c r="B567" s="300" t="s">
        <v>926</v>
      </c>
      <c r="C567" s="300" t="s">
        <v>2675</v>
      </c>
      <c r="D567" s="300" t="s">
        <v>2676</v>
      </c>
      <c r="E567" s="300" t="s">
        <v>928</v>
      </c>
      <c r="F567" s="300" t="s">
        <v>2602</v>
      </c>
      <c r="G567" s="300" t="s">
        <v>2603</v>
      </c>
      <c r="H567" s="300" t="s">
        <v>2468</v>
      </c>
      <c r="I567" s="300" t="s">
        <v>446</v>
      </c>
    </row>
    <row r="568" spans="2:9" ht="14.5">
      <c r="B568" s="300" t="s">
        <v>926</v>
      </c>
      <c r="C568" s="300" t="s">
        <v>2677</v>
      </c>
      <c r="D568" s="300" t="s">
        <v>2678</v>
      </c>
      <c r="E568" s="300" t="s">
        <v>928</v>
      </c>
      <c r="F568" s="300" t="s">
        <v>2494</v>
      </c>
      <c r="G568" s="300" t="s">
        <v>2495</v>
      </c>
      <c r="H568" s="300" t="s">
        <v>2468</v>
      </c>
      <c r="I568" s="300" t="s">
        <v>446</v>
      </c>
    </row>
    <row r="569" spans="2:9" ht="14.5">
      <c r="B569" s="300" t="s">
        <v>926</v>
      </c>
      <c r="C569" s="300" t="s">
        <v>2679</v>
      </c>
      <c r="D569" s="300" t="s">
        <v>2680</v>
      </c>
      <c r="E569" s="300" t="s">
        <v>928</v>
      </c>
      <c r="F569" s="300" t="s">
        <v>2494</v>
      </c>
      <c r="G569" s="300" t="s">
        <v>2495</v>
      </c>
      <c r="H569" s="300" t="s">
        <v>2468</v>
      </c>
      <c r="I569" s="300" t="s">
        <v>446</v>
      </c>
    </row>
    <row r="570" spans="2:9" ht="14.5">
      <c r="B570" s="300" t="s">
        <v>926</v>
      </c>
      <c r="C570" s="300" t="s">
        <v>2681</v>
      </c>
      <c r="D570" s="300" t="s">
        <v>2682</v>
      </c>
      <c r="E570" s="300" t="s">
        <v>928</v>
      </c>
      <c r="F570" s="378" t="s">
        <v>5154</v>
      </c>
      <c r="G570" s="300" t="s">
        <v>2526</v>
      </c>
      <c r="H570" s="300" t="s">
        <v>2468</v>
      </c>
      <c r="I570" s="300" t="s">
        <v>446</v>
      </c>
    </row>
    <row r="571" spans="2:9" ht="14.5">
      <c r="B571" s="300" t="s">
        <v>926</v>
      </c>
      <c r="C571" s="300" t="s">
        <v>2683</v>
      </c>
      <c r="D571" s="300" t="s">
        <v>2684</v>
      </c>
      <c r="E571" s="300" t="s">
        <v>928</v>
      </c>
      <c r="F571" s="378" t="s">
        <v>5155</v>
      </c>
      <c r="G571" s="300" t="s">
        <v>2529</v>
      </c>
      <c r="H571" s="300" t="s">
        <v>2468</v>
      </c>
      <c r="I571" s="300" t="s">
        <v>446</v>
      </c>
    </row>
    <row r="572" spans="2:9" ht="14.5">
      <c r="B572" s="300" t="s">
        <v>926</v>
      </c>
      <c r="C572" s="300" t="s">
        <v>2685</v>
      </c>
      <c r="D572" s="300" t="s">
        <v>2686</v>
      </c>
      <c r="E572" s="300" t="s">
        <v>928</v>
      </c>
      <c r="F572" s="378" t="s">
        <v>5155</v>
      </c>
      <c r="G572" s="300" t="s">
        <v>2529</v>
      </c>
      <c r="H572" s="300" t="s">
        <v>2468</v>
      </c>
      <c r="I572" s="300" t="s">
        <v>446</v>
      </c>
    </row>
    <row r="573" spans="2:9" ht="14.5">
      <c r="B573" s="300" t="s">
        <v>926</v>
      </c>
      <c r="C573" s="300" t="s">
        <v>2687</v>
      </c>
      <c r="D573" s="300" t="s">
        <v>2688</v>
      </c>
      <c r="E573" s="300" t="s">
        <v>928</v>
      </c>
      <c r="F573" s="378" t="s">
        <v>5155</v>
      </c>
      <c r="G573" s="300" t="s">
        <v>2529</v>
      </c>
      <c r="H573" s="300" t="s">
        <v>2468</v>
      </c>
      <c r="I573" s="300" t="s">
        <v>446</v>
      </c>
    </row>
    <row r="574" spans="2:9" ht="14.5">
      <c r="B574" s="300" t="s">
        <v>926</v>
      </c>
      <c r="C574" s="300" t="s">
        <v>2689</v>
      </c>
      <c r="D574" s="300" t="s">
        <v>2690</v>
      </c>
      <c r="E574" s="300" t="s">
        <v>928</v>
      </c>
      <c r="F574" s="300" t="s">
        <v>2691</v>
      </c>
      <c r="G574" s="300" t="s">
        <v>2692</v>
      </c>
      <c r="H574" s="300" t="s">
        <v>2468</v>
      </c>
      <c r="I574" s="300" t="s">
        <v>446</v>
      </c>
    </row>
    <row r="575" spans="2:9" ht="14.5">
      <c r="B575" s="300" t="s">
        <v>926</v>
      </c>
      <c r="C575" s="300" t="s">
        <v>2693</v>
      </c>
      <c r="D575" s="300" t="s">
        <v>2694</v>
      </c>
      <c r="E575" s="300" t="s">
        <v>928</v>
      </c>
      <c r="F575" s="300" t="s">
        <v>2494</v>
      </c>
      <c r="G575" s="300" t="s">
        <v>2495</v>
      </c>
      <c r="H575" s="300" t="s">
        <v>2468</v>
      </c>
      <c r="I575" s="300" t="s">
        <v>446</v>
      </c>
    </row>
    <row r="576" spans="2:9" ht="14.5">
      <c r="B576" s="300" t="s">
        <v>926</v>
      </c>
      <c r="C576" s="300" t="s">
        <v>2695</v>
      </c>
      <c r="D576" s="300" t="s">
        <v>2696</v>
      </c>
      <c r="E576" s="300" t="s">
        <v>928</v>
      </c>
      <c r="F576" s="378" t="s">
        <v>5159</v>
      </c>
      <c r="G576" s="300" t="s">
        <v>2697</v>
      </c>
      <c r="H576" s="300" t="s">
        <v>448</v>
      </c>
      <c r="I576" s="300" t="s">
        <v>446</v>
      </c>
    </row>
    <row r="577" spans="2:9" ht="14.5">
      <c r="B577" s="300" t="s">
        <v>926</v>
      </c>
      <c r="C577" s="300" t="s">
        <v>2698</v>
      </c>
      <c r="D577" s="300" t="s">
        <v>2699</v>
      </c>
      <c r="E577" s="300" t="s">
        <v>928</v>
      </c>
      <c r="F577" s="300" t="s">
        <v>2700</v>
      </c>
      <c r="G577" s="300" t="s">
        <v>2701</v>
      </c>
      <c r="H577" s="300" t="s">
        <v>448</v>
      </c>
      <c r="I577" s="300" t="s">
        <v>446</v>
      </c>
    </row>
    <row r="578" spans="2:9" ht="14.5">
      <c r="B578" s="300" t="s">
        <v>926</v>
      </c>
      <c r="C578" s="300" t="s">
        <v>2702</v>
      </c>
      <c r="D578" s="300" t="s">
        <v>2703</v>
      </c>
      <c r="E578" s="300" t="s">
        <v>928</v>
      </c>
      <c r="F578" s="300" t="s">
        <v>2700</v>
      </c>
      <c r="G578" s="300" t="s">
        <v>2701</v>
      </c>
      <c r="H578" s="300" t="s">
        <v>448</v>
      </c>
      <c r="I578" s="300" t="s">
        <v>446</v>
      </c>
    </row>
    <row r="579" spans="2:9" ht="14.5">
      <c r="B579" s="300" t="s">
        <v>926</v>
      </c>
      <c r="C579" s="300" t="s">
        <v>2704</v>
      </c>
      <c r="D579" s="300" t="s">
        <v>2705</v>
      </c>
      <c r="E579" s="300" t="s">
        <v>928</v>
      </c>
      <c r="F579" s="300" t="s">
        <v>2706</v>
      </c>
      <c r="G579" s="300" t="s">
        <v>2707</v>
      </c>
      <c r="H579" s="300" t="s">
        <v>448</v>
      </c>
      <c r="I579" s="300" t="s">
        <v>446</v>
      </c>
    </row>
    <row r="580" spans="2:9" ht="14.5">
      <c r="B580" s="300" t="s">
        <v>926</v>
      </c>
      <c r="C580" s="300" t="s">
        <v>2708</v>
      </c>
      <c r="D580" s="300" t="s">
        <v>2709</v>
      </c>
      <c r="E580" s="300" t="s">
        <v>928</v>
      </c>
      <c r="F580" s="378" t="s">
        <v>5160</v>
      </c>
      <c r="G580" s="300" t="s">
        <v>2710</v>
      </c>
      <c r="H580" s="300" t="s">
        <v>448</v>
      </c>
      <c r="I580" s="300" t="s">
        <v>446</v>
      </c>
    </row>
    <row r="581" spans="2:9" ht="14.5">
      <c r="B581" s="300" t="s">
        <v>926</v>
      </c>
      <c r="C581" s="300" t="s">
        <v>2711</v>
      </c>
      <c r="D581" s="300" t="s">
        <v>2712</v>
      </c>
      <c r="E581" s="300" t="s">
        <v>928</v>
      </c>
      <c r="F581" s="300" t="s">
        <v>2713</v>
      </c>
      <c r="G581" s="300" t="s">
        <v>2714</v>
      </c>
      <c r="H581" s="300" t="s">
        <v>448</v>
      </c>
      <c r="I581" s="300" t="s">
        <v>446</v>
      </c>
    </row>
    <row r="582" spans="2:9" ht="14.5">
      <c r="B582" s="300" t="s">
        <v>926</v>
      </c>
      <c r="C582" s="300" t="s">
        <v>2715</v>
      </c>
      <c r="D582" s="300" t="s">
        <v>2716</v>
      </c>
      <c r="E582" s="300" t="s">
        <v>928</v>
      </c>
      <c r="F582" s="300" t="s">
        <v>2717</v>
      </c>
      <c r="G582" s="300" t="s">
        <v>2718</v>
      </c>
      <c r="H582" s="300" t="s">
        <v>1040</v>
      </c>
      <c r="I582" s="300" t="s">
        <v>446</v>
      </c>
    </row>
    <row r="583" spans="2:9" ht="14.5">
      <c r="B583" s="300" t="s">
        <v>926</v>
      </c>
      <c r="C583" s="300" t="s">
        <v>2719</v>
      </c>
      <c r="D583" s="300" t="s">
        <v>2720</v>
      </c>
      <c r="E583" s="300" t="s">
        <v>928</v>
      </c>
      <c r="F583" s="300" t="s">
        <v>2721</v>
      </c>
      <c r="G583" s="300" t="s">
        <v>2722</v>
      </c>
      <c r="H583" s="300" t="s">
        <v>448</v>
      </c>
      <c r="I583" s="300" t="s">
        <v>446</v>
      </c>
    </row>
    <row r="584" spans="2:9" ht="14.5">
      <c r="B584" s="300" t="s">
        <v>926</v>
      </c>
      <c r="C584" s="300" t="s">
        <v>2723</v>
      </c>
      <c r="D584" s="300" t="s">
        <v>2724</v>
      </c>
      <c r="E584" s="300" t="s">
        <v>928</v>
      </c>
      <c r="F584" s="300" t="s">
        <v>2721</v>
      </c>
      <c r="G584" s="300" t="s">
        <v>2722</v>
      </c>
      <c r="H584" s="300" t="s">
        <v>448</v>
      </c>
      <c r="I584" s="300" t="s">
        <v>446</v>
      </c>
    </row>
    <row r="585" spans="2:9" ht="14.5">
      <c r="B585" s="300" t="s">
        <v>926</v>
      </c>
      <c r="C585" s="300" t="s">
        <v>2725</v>
      </c>
      <c r="D585" s="300" t="s">
        <v>2726</v>
      </c>
      <c r="E585" s="300" t="s">
        <v>928</v>
      </c>
      <c r="F585" s="300" t="s">
        <v>2727</v>
      </c>
      <c r="G585" s="300" t="s">
        <v>2728</v>
      </c>
      <c r="H585" s="300" t="s">
        <v>448</v>
      </c>
      <c r="I585" s="300" t="s">
        <v>446</v>
      </c>
    </row>
    <row r="586" spans="2:9" ht="14.5">
      <c r="B586" s="300" t="s">
        <v>926</v>
      </c>
      <c r="C586" s="300" t="s">
        <v>2729</v>
      </c>
      <c r="D586" s="300" t="s">
        <v>2730</v>
      </c>
      <c r="E586" s="300" t="s">
        <v>928</v>
      </c>
      <c r="F586" s="300" t="s">
        <v>2731</v>
      </c>
      <c r="G586" s="300" t="s">
        <v>2732</v>
      </c>
      <c r="H586" s="300" t="s">
        <v>448</v>
      </c>
      <c r="I586" s="300" t="s">
        <v>446</v>
      </c>
    </row>
    <row r="587" spans="2:9" ht="14.5">
      <c r="B587" s="300" t="s">
        <v>926</v>
      </c>
      <c r="C587" s="300" t="s">
        <v>2733</v>
      </c>
      <c r="D587" s="300" t="s">
        <v>2734</v>
      </c>
      <c r="E587" s="300" t="s">
        <v>928</v>
      </c>
      <c r="F587" s="300" t="s">
        <v>2727</v>
      </c>
      <c r="G587" s="300" t="s">
        <v>2728</v>
      </c>
      <c r="H587" s="300" t="s">
        <v>448</v>
      </c>
      <c r="I587" s="300" t="s">
        <v>446</v>
      </c>
    </row>
    <row r="588" spans="2:9" ht="14.5">
      <c r="B588" s="300" t="s">
        <v>926</v>
      </c>
      <c r="C588" s="300" t="s">
        <v>2735</v>
      </c>
      <c r="D588" s="300" t="s">
        <v>2736</v>
      </c>
      <c r="E588" s="300" t="s">
        <v>928</v>
      </c>
      <c r="F588" s="378" t="s">
        <v>5161</v>
      </c>
      <c r="G588" s="300" t="s">
        <v>2737</v>
      </c>
      <c r="H588" s="300" t="s">
        <v>448</v>
      </c>
      <c r="I588" s="300" t="s">
        <v>446</v>
      </c>
    </row>
    <row r="589" spans="2:9" ht="14.5">
      <c r="B589" s="300" t="s">
        <v>926</v>
      </c>
      <c r="C589" s="300" t="s">
        <v>2738</v>
      </c>
      <c r="D589" s="300" t="s">
        <v>2739</v>
      </c>
      <c r="E589" s="300" t="s">
        <v>928</v>
      </c>
      <c r="F589" s="300" t="s">
        <v>2740</v>
      </c>
      <c r="G589" s="300" t="s">
        <v>2741</v>
      </c>
      <c r="H589" s="300" t="s">
        <v>448</v>
      </c>
      <c r="I589" s="300" t="s">
        <v>446</v>
      </c>
    </row>
    <row r="590" spans="2:9" ht="14.5">
      <c r="B590" s="300" t="s">
        <v>926</v>
      </c>
      <c r="C590" s="300" t="s">
        <v>2742</v>
      </c>
      <c r="D590" s="300" t="s">
        <v>2743</v>
      </c>
      <c r="E590" s="300" t="s">
        <v>928</v>
      </c>
      <c r="F590" s="300" t="s">
        <v>2744</v>
      </c>
      <c r="G590" s="300" t="s">
        <v>2745</v>
      </c>
      <c r="H590" s="300" t="s">
        <v>448</v>
      </c>
      <c r="I590" s="300" t="s">
        <v>446</v>
      </c>
    </row>
    <row r="591" spans="2:9" ht="14.5">
      <c r="B591" s="300" t="s">
        <v>926</v>
      </c>
      <c r="C591" s="300" t="s">
        <v>2746</v>
      </c>
      <c r="D591" s="300" t="s">
        <v>2747</v>
      </c>
      <c r="E591" s="300" t="s">
        <v>928</v>
      </c>
      <c r="F591" s="300" t="s">
        <v>2748</v>
      </c>
      <c r="G591" s="300" t="s">
        <v>2749</v>
      </c>
      <c r="H591" s="300" t="s">
        <v>448</v>
      </c>
      <c r="I591" s="300" t="s">
        <v>446</v>
      </c>
    </row>
    <row r="592" spans="2:9" ht="14.5">
      <c r="B592" s="300" t="s">
        <v>926</v>
      </c>
      <c r="C592" s="300" t="s">
        <v>2750</v>
      </c>
      <c r="D592" s="300" t="s">
        <v>2751</v>
      </c>
      <c r="E592" s="300" t="s">
        <v>928</v>
      </c>
      <c r="F592" s="300" t="s">
        <v>2740</v>
      </c>
      <c r="G592" s="300" t="s">
        <v>2741</v>
      </c>
      <c r="H592" s="300" t="s">
        <v>448</v>
      </c>
      <c r="I592" s="300" t="s">
        <v>446</v>
      </c>
    </row>
    <row r="593" spans="2:9" ht="14.5">
      <c r="B593" s="300" t="s">
        <v>926</v>
      </c>
      <c r="C593" s="300" t="s">
        <v>2752</v>
      </c>
      <c r="D593" s="300" t="s">
        <v>2753</v>
      </c>
      <c r="E593" s="300" t="s">
        <v>928</v>
      </c>
      <c r="F593" s="300" t="s">
        <v>2754</v>
      </c>
      <c r="G593" s="300" t="s">
        <v>2755</v>
      </c>
      <c r="H593" s="300" t="s">
        <v>448</v>
      </c>
      <c r="I593" s="300" t="s">
        <v>446</v>
      </c>
    </row>
    <row r="594" spans="2:9" ht="14.5">
      <c r="B594" s="300" t="s">
        <v>926</v>
      </c>
      <c r="C594" s="300" t="s">
        <v>2756</v>
      </c>
      <c r="D594" s="300" t="s">
        <v>2757</v>
      </c>
      <c r="E594" s="300" t="s">
        <v>928</v>
      </c>
      <c r="F594" s="378" t="s">
        <v>5161</v>
      </c>
      <c r="G594" s="300" t="s">
        <v>2737</v>
      </c>
      <c r="H594" s="300" t="s">
        <v>448</v>
      </c>
      <c r="I594" s="300" t="s">
        <v>446</v>
      </c>
    </row>
    <row r="595" spans="2:9" ht="14.5">
      <c r="B595" s="300" t="s">
        <v>926</v>
      </c>
      <c r="C595" s="300" t="s">
        <v>2758</v>
      </c>
      <c r="D595" s="300" t="s">
        <v>2759</v>
      </c>
      <c r="E595" s="300" t="s">
        <v>928</v>
      </c>
      <c r="F595" s="300" t="s">
        <v>2760</v>
      </c>
      <c r="G595" s="300" t="s">
        <v>2761</v>
      </c>
      <c r="H595" s="300" t="s">
        <v>448</v>
      </c>
      <c r="I595" s="300" t="s">
        <v>446</v>
      </c>
    </row>
    <row r="596" spans="2:9" ht="14.5">
      <c r="B596" s="300" t="s">
        <v>926</v>
      </c>
      <c r="C596" s="300" t="s">
        <v>2762</v>
      </c>
      <c r="D596" s="300" t="s">
        <v>2763</v>
      </c>
      <c r="E596" s="300" t="s">
        <v>928</v>
      </c>
      <c r="F596" s="300" t="s">
        <v>2764</v>
      </c>
      <c r="G596" s="300" t="s">
        <v>2765</v>
      </c>
      <c r="H596" s="300" t="s">
        <v>448</v>
      </c>
      <c r="I596" s="300" t="s">
        <v>446</v>
      </c>
    </row>
    <row r="597" spans="2:9" ht="14.5">
      <c r="B597" s="300" t="s">
        <v>926</v>
      </c>
      <c r="C597" s="300" t="s">
        <v>2766</v>
      </c>
      <c r="D597" s="300" t="s">
        <v>2767</v>
      </c>
      <c r="E597" s="300" t="s">
        <v>928</v>
      </c>
      <c r="F597" s="300" t="s">
        <v>2768</v>
      </c>
      <c r="G597" s="300" t="s">
        <v>2767</v>
      </c>
      <c r="H597" s="300" t="s">
        <v>448</v>
      </c>
      <c r="I597" s="300" t="s">
        <v>446</v>
      </c>
    </row>
    <row r="598" spans="2:9" ht="14.5">
      <c r="B598" s="300" t="s">
        <v>926</v>
      </c>
      <c r="C598" s="300" t="s">
        <v>2769</v>
      </c>
      <c r="D598" s="300" t="s">
        <v>2770</v>
      </c>
      <c r="E598" s="300" t="s">
        <v>928</v>
      </c>
      <c r="F598" s="300" t="s">
        <v>2771</v>
      </c>
      <c r="G598" s="300" t="s">
        <v>2772</v>
      </c>
      <c r="H598" s="300" t="s">
        <v>448</v>
      </c>
      <c r="I598" s="300" t="s">
        <v>446</v>
      </c>
    </row>
    <row r="599" spans="2:9" ht="14.5">
      <c r="B599" s="300" t="s">
        <v>926</v>
      </c>
      <c r="C599" s="300" t="s">
        <v>2773</v>
      </c>
      <c r="D599" s="300" t="s">
        <v>2774</v>
      </c>
      <c r="E599" s="300" t="s">
        <v>928</v>
      </c>
      <c r="F599" s="300" t="s">
        <v>2775</v>
      </c>
      <c r="G599" s="300" t="s">
        <v>2776</v>
      </c>
      <c r="H599" s="300" t="s">
        <v>448</v>
      </c>
      <c r="I599" s="300" t="s">
        <v>446</v>
      </c>
    </row>
    <row r="600" spans="2:9" ht="14.5">
      <c r="B600" s="300" t="s">
        <v>926</v>
      </c>
      <c r="C600" s="300" t="s">
        <v>2777</v>
      </c>
      <c r="D600" s="300" t="s">
        <v>2778</v>
      </c>
      <c r="E600" s="300" t="s">
        <v>928</v>
      </c>
      <c r="F600" s="300" t="s">
        <v>2779</v>
      </c>
      <c r="G600" s="300" t="s">
        <v>2780</v>
      </c>
      <c r="H600" s="300" t="s">
        <v>448</v>
      </c>
      <c r="I600" s="300" t="s">
        <v>446</v>
      </c>
    </row>
    <row r="601" spans="2:9" ht="14.5">
      <c r="B601" s="300" t="s">
        <v>926</v>
      </c>
      <c r="C601" s="300" t="s">
        <v>2781</v>
      </c>
      <c r="D601" s="300" t="s">
        <v>2782</v>
      </c>
      <c r="E601" s="300" t="s">
        <v>928</v>
      </c>
      <c r="F601" s="378" t="s">
        <v>2922</v>
      </c>
      <c r="G601" s="300" t="s">
        <v>2783</v>
      </c>
      <c r="H601" s="300" t="s">
        <v>448</v>
      </c>
      <c r="I601" s="300" t="s">
        <v>446</v>
      </c>
    </row>
    <row r="602" spans="2:9" ht="14.5">
      <c r="B602" s="300" t="s">
        <v>926</v>
      </c>
      <c r="C602" s="300" t="s">
        <v>2784</v>
      </c>
      <c r="D602" s="300" t="s">
        <v>2785</v>
      </c>
      <c r="E602" s="300" t="s">
        <v>928</v>
      </c>
      <c r="F602" s="300" t="s">
        <v>2786</v>
      </c>
      <c r="G602" s="300" t="s">
        <v>2787</v>
      </c>
      <c r="H602" s="300" t="s">
        <v>448</v>
      </c>
      <c r="I602" s="300" t="s">
        <v>446</v>
      </c>
    </row>
    <row r="603" spans="2:9" ht="14.5">
      <c r="B603" s="300" t="s">
        <v>926</v>
      </c>
      <c r="C603" s="300" t="s">
        <v>2788</v>
      </c>
      <c r="D603" s="300" t="s">
        <v>2789</v>
      </c>
      <c r="E603" s="300" t="s">
        <v>928</v>
      </c>
      <c r="F603" s="300" t="s">
        <v>2790</v>
      </c>
      <c r="G603" s="300" t="s">
        <v>2791</v>
      </c>
      <c r="H603" s="300" t="s">
        <v>448</v>
      </c>
      <c r="I603" s="300" t="s">
        <v>446</v>
      </c>
    </row>
    <row r="604" spans="2:9" ht="14.5">
      <c r="B604" s="300" t="s">
        <v>926</v>
      </c>
      <c r="C604" s="300" t="s">
        <v>2792</v>
      </c>
      <c r="D604" s="300" t="s">
        <v>2793</v>
      </c>
      <c r="E604" s="300" t="s">
        <v>928</v>
      </c>
      <c r="F604" s="300" t="s">
        <v>2794</v>
      </c>
      <c r="G604" s="300" t="s">
        <v>2795</v>
      </c>
      <c r="H604" s="300" t="s">
        <v>448</v>
      </c>
      <c r="I604" s="300" t="s">
        <v>446</v>
      </c>
    </row>
    <row r="605" spans="2:9" ht="14.5">
      <c r="B605" s="300" t="s">
        <v>926</v>
      </c>
      <c r="C605" s="300" t="s">
        <v>2796</v>
      </c>
      <c r="D605" s="300" t="s">
        <v>2797</v>
      </c>
      <c r="E605" s="300" t="s">
        <v>928</v>
      </c>
      <c r="F605" s="300" t="s">
        <v>2798</v>
      </c>
      <c r="G605" s="300" t="s">
        <v>2799</v>
      </c>
      <c r="H605" s="300" t="s">
        <v>448</v>
      </c>
      <c r="I605" s="300" t="s">
        <v>446</v>
      </c>
    </row>
    <row r="606" spans="2:9" ht="14.5">
      <c r="B606" s="300" t="s">
        <v>926</v>
      </c>
      <c r="C606" s="300" t="s">
        <v>2800</v>
      </c>
      <c r="D606" s="300" t="s">
        <v>2801</v>
      </c>
      <c r="E606" s="300" t="s">
        <v>928</v>
      </c>
      <c r="F606" s="300" t="s">
        <v>2802</v>
      </c>
      <c r="G606" s="300" t="s">
        <v>2803</v>
      </c>
      <c r="H606" s="300" t="s">
        <v>448</v>
      </c>
      <c r="I606" s="300" t="s">
        <v>446</v>
      </c>
    </row>
    <row r="607" spans="2:9" ht="14.5">
      <c r="B607" s="300" t="s">
        <v>926</v>
      </c>
      <c r="C607" s="300" t="s">
        <v>2804</v>
      </c>
      <c r="D607" s="300" t="s">
        <v>2805</v>
      </c>
      <c r="E607" s="300" t="s">
        <v>928</v>
      </c>
      <c r="F607" s="300" t="s">
        <v>2806</v>
      </c>
      <c r="G607" s="300" t="s">
        <v>2807</v>
      </c>
      <c r="H607" s="300" t="s">
        <v>448</v>
      </c>
      <c r="I607" s="300" t="s">
        <v>446</v>
      </c>
    </row>
    <row r="608" spans="2:9" ht="14.5">
      <c r="B608" s="300" t="s">
        <v>926</v>
      </c>
      <c r="C608" s="300" t="s">
        <v>2808</v>
      </c>
      <c r="D608" s="300" t="s">
        <v>2809</v>
      </c>
      <c r="E608" s="300" t="s">
        <v>928</v>
      </c>
      <c r="F608" s="378" t="s">
        <v>5162</v>
      </c>
      <c r="G608" s="300" t="s">
        <v>2810</v>
      </c>
      <c r="H608" s="300" t="s">
        <v>448</v>
      </c>
      <c r="I608" s="300" t="s">
        <v>446</v>
      </c>
    </row>
    <row r="609" spans="2:9" ht="14.5">
      <c r="B609" s="300" t="s">
        <v>926</v>
      </c>
      <c r="C609" s="300" t="s">
        <v>2811</v>
      </c>
      <c r="D609" s="300" t="s">
        <v>2812</v>
      </c>
      <c r="E609" s="300" t="s">
        <v>928</v>
      </c>
      <c r="F609" s="300" t="s">
        <v>2813</v>
      </c>
      <c r="G609" s="300" t="s">
        <v>2814</v>
      </c>
      <c r="H609" s="300" t="s">
        <v>448</v>
      </c>
      <c r="I609" s="300" t="s">
        <v>446</v>
      </c>
    </row>
    <row r="610" spans="2:9" ht="14.5">
      <c r="B610" s="300" t="s">
        <v>926</v>
      </c>
      <c r="C610" s="300" t="s">
        <v>2815</v>
      </c>
      <c r="D610" s="300" t="s">
        <v>2816</v>
      </c>
      <c r="E610" s="300" t="s">
        <v>928</v>
      </c>
      <c r="F610" s="300" t="s">
        <v>2817</v>
      </c>
      <c r="G610" s="300" t="s">
        <v>2818</v>
      </c>
      <c r="H610" s="300" t="s">
        <v>448</v>
      </c>
      <c r="I610" s="300" t="s">
        <v>446</v>
      </c>
    </row>
    <row r="611" spans="2:9" ht="14.5">
      <c r="B611" s="300" t="s">
        <v>926</v>
      </c>
      <c r="C611" s="300" t="s">
        <v>2819</v>
      </c>
      <c r="D611" s="300" t="s">
        <v>2820</v>
      </c>
      <c r="E611" s="300" t="s">
        <v>928</v>
      </c>
      <c r="F611" s="300" t="s">
        <v>2821</v>
      </c>
      <c r="G611" s="300" t="s">
        <v>2822</v>
      </c>
      <c r="H611" s="300" t="s">
        <v>448</v>
      </c>
      <c r="I611" s="300" t="s">
        <v>446</v>
      </c>
    </row>
    <row r="612" spans="2:9" ht="14.5">
      <c r="B612" s="300" t="s">
        <v>926</v>
      </c>
      <c r="C612" s="300" t="s">
        <v>2823</v>
      </c>
      <c r="D612" s="300" t="s">
        <v>2824</v>
      </c>
      <c r="E612" s="300" t="s">
        <v>928</v>
      </c>
      <c r="F612" s="300" t="s">
        <v>2825</v>
      </c>
      <c r="G612" s="300" t="s">
        <v>2826</v>
      </c>
      <c r="H612" s="300" t="s">
        <v>448</v>
      </c>
      <c r="I612" s="300" t="s">
        <v>446</v>
      </c>
    </row>
    <row r="613" spans="2:9" ht="14.5">
      <c r="B613" s="300" t="s">
        <v>926</v>
      </c>
      <c r="C613" s="300" t="s">
        <v>2827</v>
      </c>
      <c r="D613" s="300" t="s">
        <v>2828</v>
      </c>
      <c r="E613" s="300" t="s">
        <v>928</v>
      </c>
      <c r="F613" s="300" t="s">
        <v>2829</v>
      </c>
      <c r="G613" s="300" t="s">
        <v>2830</v>
      </c>
      <c r="H613" s="300" t="s">
        <v>448</v>
      </c>
      <c r="I613" s="300" t="s">
        <v>446</v>
      </c>
    </row>
    <row r="614" spans="2:9" ht="14.5">
      <c r="B614" s="300" t="s">
        <v>926</v>
      </c>
      <c r="C614" s="300" t="s">
        <v>2831</v>
      </c>
      <c r="D614" s="300" t="s">
        <v>2832</v>
      </c>
      <c r="E614" s="300" t="s">
        <v>928</v>
      </c>
      <c r="F614" s="300" t="s">
        <v>2829</v>
      </c>
      <c r="G614" s="300" t="s">
        <v>2830</v>
      </c>
      <c r="H614" s="300" t="s">
        <v>448</v>
      </c>
      <c r="I614" s="300" t="s">
        <v>446</v>
      </c>
    </row>
    <row r="615" spans="2:9" ht="14.5">
      <c r="B615" s="300" t="s">
        <v>926</v>
      </c>
      <c r="C615" s="300" t="s">
        <v>2833</v>
      </c>
      <c r="D615" s="300" t="s">
        <v>2834</v>
      </c>
      <c r="E615" s="300" t="s">
        <v>928</v>
      </c>
      <c r="F615" s="300" t="s">
        <v>2835</v>
      </c>
      <c r="G615" s="300" t="s">
        <v>2836</v>
      </c>
      <c r="H615" s="300" t="s">
        <v>448</v>
      </c>
      <c r="I615" s="300" t="s">
        <v>446</v>
      </c>
    </row>
    <row r="616" spans="2:9" ht="14.5">
      <c r="B616" s="300" t="s">
        <v>926</v>
      </c>
      <c r="C616" s="300" t="s">
        <v>2837</v>
      </c>
      <c r="D616" s="300" t="s">
        <v>2832</v>
      </c>
      <c r="E616" s="300" t="s">
        <v>928</v>
      </c>
      <c r="F616" s="300" t="s">
        <v>2829</v>
      </c>
      <c r="G616" s="300" t="s">
        <v>2830</v>
      </c>
      <c r="H616" s="300" t="s">
        <v>448</v>
      </c>
      <c r="I616" s="300" t="s">
        <v>446</v>
      </c>
    </row>
    <row r="617" spans="2:9" ht="14.5">
      <c r="B617" s="300" t="s">
        <v>926</v>
      </c>
      <c r="C617" s="300" t="s">
        <v>2838</v>
      </c>
      <c r="D617" s="300" t="s">
        <v>2839</v>
      </c>
      <c r="E617" s="300" t="s">
        <v>928</v>
      </c>
      <c r="F617" s="300" t="s">
        <v>2840</v>
      </c>
      <c r="G617" s="300" t="s">
        <v>2841</v>
      </c>
      <c r="H617" s="300" t="s">
        <v>448</v>
      </c>
      <c r="I617" s="300" t="s">
        <v>446</v>
      </c>
    </row>
    <row r="618" spans="2:9" ht="14.5">
      <c r="B618" s="300" t="s">
        <v>926</v>
      </c>
      <c r="C618" s="300" t="s">
        <v>2842</v>
      </c>
      <c r="D618" s="300" t="s">
        <v>2843</v>
      </c>
      <c r="E618" s="300" t="s">
        <v>928</v>
      </c>
      <c r="F618" s="300" t="s">
        <v>2513</v>
      </c>
      <c r="G618" s="300" t="s">
        <v>2514</v>
      </c>
      <c r="H618" s="300" t="s">
        <v>2468</v>
      </c>
      <c r="I618" s="300" t="s">
        <v>446</v>
      </c>
    </row>
    <row r="619" spans="2:9" ht="14.5">
      <c r="B619" s="300" t="s">
        <v>926</v>
      </c>
      <c r="C619" s="300" t="s">
        <v>2844</v>
      </c>
      <c r="D619" s="300" t="s">
        <v>2845</v>
      </c>
      <c r="E619" s="300" t="s">
        <v>928</v>
      </c>
      <c r="F619" s="300" t="s">
        <v>2846</v>
      </c>
      <c r="G619" s="300" t="s">
        <v>2847</v>
      </c>
      <c r="H619" s="300" t="s">
        <v>448</v>
      </c>
      <c r="I619" s="300" t="s">
        <v>446</v>
      </c>
    </row>
    <row r="620" spans="2:9" ht="14.5">
      <c r="B620" s="300" t="s">
        <v>926</v>
      </c>
      <c r="C620" s="300" t="s">
        <v>2848</v>
      </c>
      <c r="D620" s="300" t="s">
        <v>2849</v>
      </c>
      <c r="E620" s="300" t="s">
        <v>928</v>
      </c>
      <c r="F620" s="300" t="s">
        <v>2840</v>
      </c>
      <c r="G620" s="300" t="s">
        <v>2841</v>
      </c>
      <c r="H620" s="300" t="s">
        <v>448</v>
      </c>
      <c r="I620" s="300" t="s">
        <v>446</v>
      </c>
    </row>
    <row r="621" spans="2:9" ht="14.5">
      <c r="B621" s="300" t="s">
        <v>926</v>
      </c>
      <c r="C621" s="300" t="s">
        <v>2850</v>
      </c>
      <c r="D621" s="300" t="s">
        <v>2851</v>
      </c>
      <c r="E621" s="300" t="s">
        <v>928</v>
      </c>
      <c r="F621" s="378" t="s">
        <v>5163</v>
      </c>
      <c r="G621" s="300" t="s">
        <v>2852</v>
      </c>
      <c r="H621" s="300" t="s">
        <v>448</v>
      </c>
      <c r="I621" s="300" t="s">
        <v>446</v>
      </c>
    </row>
    <row r="622" spans="2:9" ht="14.5">
      <c r="B622" s="300" t="s">
        <v>926</v>
      </c>
      <c r="C622" s="300" t="s">
        <v>2853</v>
      </c>
      <c r="D622" s="300" t="s">
        <v>2854</v>
      </c>
      <c r="E622" s="300" t="s">
        <v>928</v>
      </c>
      <c r="F622" s="378" t="s">
        <v>5164</v>
      </c>
      <c r="G622" s="300" t="s">
        <v>2855</v>
      </c>
      <c r="H622" s="300" t="s">
        <v>448</v>
      </c>
      <c r="I622" s="300" t="s">
        <v>446</v>
      </c>
    </row>
    <row r="623" spans="2:9" ht="14.5">
      <c r="B623" s="300" t="s">
        <v>926</v>
      </c>
      <c r="C623" s="300" t="s">
        <v>2856</v>
      </c>
      <c r="D623" s="300" t="s">
        <v>2857</v>
      </c>
      <c r="E623" s="300" t="s">
        <v>928</v>
      </c>
      <c r="F623" s="300" t="s">
        <v>2858</v>
      </c>
      <c r="G623" s="300" t="s">
        <v>2857</v>
      </c>
      <c r="H623" s="300" t="s">
        <v>448</v>
      </c>
      <c r="I623" s="300" t="s">
        <v>446</v>
      </c>
    </row>
    <row r="624" spans="2:9" ht="14.5">
      <c r="B624" s="300" t="s">
        <v>926</v>
      </c>
      <c r="C624" s="300" t="s">
        <v>2859</v>
      </c>
      <c r="D624" s="300" t="s">
        <v>2860</v>
      </c>
      <c r="E624" s="300" t="s">
        <v>928</v>
      </c>
      <c r="F624" s="300" t="s">
        <v>2861</v>
      </c>
      <c r="G624" s="300" t="s">
        <v>2860</v>
      </c>
      <c r="H624" s="300" t="s">
        <v>448</v>
      </c>
      <c r="I624" s="300" t="s">
        <v>446</v>
      </c>
    </row>
    <row r="625" spans="2:9" ht="14.5">
      <c r="B625" s="300" t="s">
        <v>926</v>
      </c>
      <c r="C625" s="300" t="s">
        <v>2862</v>
      </c>
      <c r="D625" s="300" t="s">
        <v>2863</v>
      </c>
      <c r="E625" s="300" t="s">
        <v>928</v>
      </c>
      <c r="F625" s="300" t="s">
        <v>2864</v>
      </c>
      <c r="G625" s="300" t="s">
        <v>2865</v>
      </c>
      <c r="H625" s="300" t="s">
        <v>448</v>
      </c>
      <c r="I625" s="300" t="s">
        <v>446</v>
      </c>
    </row>
    <row r="626" spans="2:9" ht="14.5">
      <c r="B626" s="300" t="s">
        <v>926</v>
      </c>
      <c r="C626" s="300" t="s">
        <v>2866</v>
      </c>
      <c r="D626" s="300" t="s">
        <v>2867</v>
      </c>
      <c r="E626" s="300" t="s">
        <v>928</v>
      </c>
      <c r="F626" s="378" t="s">
        <v>2951</v>
      </c>
      <c r="G626" s="300" t="s">
        <v>2868</v>
      </c>
      <c r="H626" s="300" t="s">
        <v>2868</v>
      </c>
      <c r="I626" s="300" t="s">
        <v>446</v>
      </c>
    </row>
    <row r="627" spans="2:9" ht="14.5">
      <c r="B627" s="300" t="s">
        <v>926</v>
      </c>
      <c r="C627" s="300" t="s">
        <v>2869</v>
      </c>
      <c r="D627" s="300" t="s">
        <v>2870</v>
      </c>
      <c r="E627" s="300" t="s">
        <v>928</v>
      </c>
      <c r="F627" s="300" t="s">
        <v>2871</v>
      </c>
      <c r="G627" s="300" t="s">
        <v>2872</v>
      </c>
      <c r="H627" s="300" t="s">
        <v>2873</v>
      </c>
      <c r="I627" s="300" t="s">
        <v>446</v>
      </c>
    </row>
    <row r="628" spans="2:9" ht="14.5">
      <c r="B628" s="300" t="s">
        <v>926</v>
      </c>
      <c r="C628" s="300" t="s">
        <v>2874</v>
      </c>
      <c r="D628" s="300" t="s">
        <v>2873</v>
      </c>
      <c r="E628" s="300" t="s">
        <v>928</v>
      </c>
      <c r="F628" s="300" t="s">
        <v>2871</v>
      </c>
      <c r="G628" s="300" t="s">
        <v>2872</v>
      </c>
      <c r="H628" s="300" t="s">
        <v>2873</v>
      </c>
      <c r="I628" s="300" t="s">
        <v>446</v>
      </c>
    </row>
    <row r="629" spans="2:9" ht="14.5">
      <c r="B629" s="300" t="s">
        <v>926</v>
      </c>
      <c r="C629" s="300" t="s">
        <v>2875</v>
      </c>
      <c r="D629" s="300" t="s">
        <v>2876</v>
      </c>
      <c r="E629" s="300" t="s">
        <v>928</v>
      </c>
      <c r="F629" s="378" t="s">
        <v>2951</v>
      </c>
      <c r="G629" s="300" t="s">
        <v>2868</v>
      </c>
      <c r="H629" s="300" t="s">
        <v>2868</v>
      </c>
      <c r="I629" s="300" t="s">
        <v>446</v>
      </c>
    </row>
    <row r="630" spans="2:9" ht="14.5">
      <c r="B630" s="300" t="s">
        <v>926</v>
      </c>
      <c r="C630" s="300" t="s">
        <v>2877</v>
      </c>
      <c r="D630" s="300" t="s">
        <v>2878</v>
      </c>
      <c r="E630" s="300" t="s">
        <v>928</v>
      </c>
      <c r="F630" s="300" t="s">
        <v>2879</v>
      </c>
      <c r="G630" s="300" t="s">
        <v>2880</v>
      </c>
      <c r="H630" s="300" t="s">
        <v>2868</v>
      </c>
      <c r="I630" s="300" t="s">
        <v>446</v>
      </c>
    </row>
    <row r="631" spans="2:9" ht="14.5">
      <c r="B631" s="300" t="s">
        <v>926</v>
      </c>
      <c r="C631" s="300" t="s">
        <v>2881</v>
      </c>
      <c r="D631" s="300" t="s">
        <v>2882</v>
      </c>
      <c r="E631" s="300" t="s">
        <v>928</v>
      </c>
      <c r="F631" s="300" t="s">
        <v>2883</v>
      </c>
      <c r="G631" s="300" t="s">
        <v>2884</v>
      </c>
      <c r="H631" s="300" t="s">
        <v>2868</v>
      </c>
      <c r="I631" s="300" t="s">
        <v>446</v>
      </c>
    </row>
    <row r="632" spans="2:9" ht="14.5">
      <c r="B632" s="300" t="s">
        <v>926</v>
      </c>
      <c r="C632" s="300" t="s">
        <v>2885</v>
      </c>
      <c r="D632" s="300" t="s">
        <v>1818</v>
      </c>
      <c r="E632" s="300" t="s">
        <v>928</v>
      </c>
      <c r="F632" s="378" t="s">
        <v>5165</v>
      </c>
      <c r="G632" s="300" t="s">
        <v>2886</v>
      </c>
      <c r="H632" s="300" t="s">
        <v>1818</v>
      </c>
      <c r="I632" s="300" t="s">
        <v>446</v>
      </c>
    </row>
    <row r="633" spans="2:9" ht="14.5">
      <c r="B633" s="300" t="s">
        <v>926</v>
      </c>
      <c r="C633" s="300" t="s">
        <v>2887</v>
      </c>
      <c r="D633" s="300" t="s">
        <v>2888</v>
      </c>
      <c r="E633" s="300" t="s">
        <v>928</v>
      </c>
      <c r="F633" s="378" t="s">
        <v>5166</v>
      </c>
      <c r="G633" s="300" t="s">
        <v>2889</v>
      </c>
      <c r="H633" s="300" t="s">
        <v>1818</v>
      </c>
      <c r="I633" s="300" t="s">
        <v>446</v>
      </c>
    </row>
    <row r="634" spans="2:9" ht="14.5">
      <c r="B634" s="300" t="s">
        <v>926</v>
      </c>
      <c r="C634" s="300" t="s">
        <v>2890</v>
      </c>
      <c r="D634" s="300" t="s">
        <v>2891</v>
      </c>
      <c r="E634" s="300" t="s">
        <v>928</v>
      </c>
      <c r="F634" s="300" t="s">
        <v>2892</v>
      </c>
      <c r="G634" s="300" t="s">
        <v>2891</v>
      </c>
      <c r="H634" s="300" t="s">
        <v>1818</v>
      </c>
      <c r="I634" s="300" t="s">
        <v>446</v>
      </c>
    </row>
    <row r="635" spans="2:9" ht="14.5">
      <c r="B635" s="300" t="s">
        <v>926</v>
      </c>
      <c r="C635" s="300" t="s">
        <v>2893</v>
      </c>
      <c r="D635" s="300" t="s">
        <v>2894</v>
      </c>
      <c r="E635" s="300" t="s">
        <v>928</v>
      </c>
      <c r="F635" s="300" t="s">
        <v>2895</v>
      </c>
      <c r="G635" s="300" t="s">
        <v>2896</v>
      </c>
      <c r="H635" s="300" t="s">
        <v>1818</v>
      </c>
      <c r="I635" s="300" t="s">
        <v>446</v>
      </c>
    </row>
    <row r="636" spans="2:9" ht="14.5">
      <c r="B636" s="300" t="s">
        <v>926</v>
      </c>
      <c r="C636" s="300" t="s">
        <v>2897</v>
      </c>
      <c r="D636" s="300" t="s">
        <v>2898</v>
      </c>
      <c r="E636" s="300" t="s">
        <v>928</v>
      </c>
      <c r="F636" s="300" t="s">
        <v>2892</v>
      </c>
      <c r="G636" s="300" t="s">
        <v>2891</v>
      </c>
      <c r="H636" s="300" t="s">
        <v>1818</v>
      </c>
      <c r="I636" s="300" t="s">
        <v>446</v>
      </c>
    </row>
    <row r="637" spans="2:9" ht="14.5">
      <c r="B637" s="300" t="s">
        <v>926</v>
      </c>
      <c r="C637" s="300" t="s">
        <v>2899</v>
      </c>
      <c r="D637" s="300" t="s">
        <v>2900</v>
      </c>
      <c r="E637" s="300" t="s">
        <v>928</v>
      </c>
      <c r="F637" s="300" t="s">
        <v>2901</v>
      </c>
      <c r="G637" s="300" t="s">
        <v>2902</v>
      </c>
      <c r="H637" s="300" t="s">
        <v>1818</v>
      </c>
      <c r="I637" s="300" t="s">
        <v>446</v>
      </c>
    </row>
    <row r="638" spans="2:9" ht="14.5">
      <c r="B638" s="300" t="s">
        <v>926</v>
      </c>
      <c r="C638" s="300" t="s">
        <v>2903</v>
      </c>
      <c r="D638" s="300" t="s">
        <v>2904</v>
      </c>
      <c r="E638" s="300" t="s">
        <v>928</v>
      </c>
      <c r="F638" s="378" t="s">
        <v>5165</v>
      </c>
      <c r="G638" s="300" t="s">
        <v>2886</v>
      </c>
      <c r="H638" s="300" t="s">
        <v>1818</v>
      </c>
      <c r="I638" s="300" t="s">
        <v>446</v>
      </c>
    </row>
    <row r="639" spans="2:9" ht="14.5">
      <c r="B639" s="300" t="s">
        <v>926</v>
      </c>
      <c r="C639" s="300" t="s">
        <v>2905</v>
      </c>
      <c r="D639" s="300" t="s">
        <v>2906</v>
      </c>
      <c r="E639" s="300" t="s">
        <v>928</v>
      </c>
      <c r="F639" s="378" t="s">
        <v>5245</v>
      </c>
      <c r="G639" s="300" t="s">
        <v>2907</v>
      </c>
      <c r="H639" s="300" t="s">
        <v>1818</v>
      </c>
      <c r="I639" s="300" t="s">
        <v>446</v>
      </c>
    </row>
    <row r="640" spans="2:9" ht="14.5">
      <c r="B640" s="300" t="s">
        <v>926</v>
      </c>
      <c r="C640" s="300" t="s">
        <v>2908</v>
      </c>
      <c r="D640" s="300" t="s">
        <v>2909</v>
      </c>
      <c r="E640" s="300" t="s">
        <v>928</v>
      </c>
      <c r="F640" s="378" t="s">
        <v>5245</v>
      </c>
      <c r="G640" s="300" t="s">
        <v>2907</v>
      </c>
      <c r="H640" s="300" t="s">
        <v>1818</v>
      </c>
      <c r="I640" s="300" t="s">
        <v>446</v>
      </c>
    </row>
    <row r="641" spans="2:9" ht="14.5">
      <c r="B641" s="300" t="s">
        <v>926</v>
      </c>
      <c r="C641" s="300" t="s">
        <v>2910</v>
      </c>
      <c r="D641" s="300" t="s">
        <v>2911</v>
      </c>
      <c r="E641" s="300" t="s">
        <v>928</v>
      </c>
      <c r="F641" s="378" t="s">
        <v>5246</v>
      </c>
      <c r="G641" s="300" t="s">
        <v>2912</v>
      </c>
      <c r="H641" s="300" t="s">
        <v>1818</v>
      </c>
      <c r="I641" s="300" t="s">
        <v>446</v>
      </c>
    </row>
    <row r="642" spans="2:9" ht="14.5">
      <c r="B642" s="300" t="s">
        <v>926</v>
      </c>
      <c r="C642" s="300" t="s">
        <v>2913</v>
      </c>
      <c r="D642" s="300" t="s">
        <v>2914</v>
      </c>
      <c r="E642" s="300" t="s">
        <v>928</v>
      </c>
      <c r="F642" s="378" t="s">
        <v>5254</v>
      </c>
      <c r="G642" s="300" t="s">
        <v>2907</v>
      </c>
      <c r="H642" s="300" t="s">
        <v>1818</v>
      </c>
      <c r="I642" s="300" t="s">
        <v>446</v>
      </c>
    </row>
    <row r="643" spans="2:9" ht="14.5">
      <c r="B643" s="300" t="s">
        <v>926</v>
      </c>
      <c r="C643" s="300" t="s">
        <v>2915</v>
      </c>
      <c r="D643" s="300" t="s">
        <v>2916</v>
      </c>
      <c r="E643" s="300" t="s">
        <v>928</v>
      </c>
      <c r="F643" s="378" t="s">
        <v>5247</v>
      </c>
      <c r="G643" s="300" t="s">
        <v>2912</v>
      </c>
      <c r="H643" s="300" t="s">
        <v>1818</v>
      </c>
      <c r="I643" s="300" t="s">
        <v>446</v>
      </c>
    </row>
    <row r="644" spans="2:9" ht="14.5">
      <c r="B644" s="300" t="s">
        <v>926</v>
      </c>
      <c r="C644" s="300" t="s">
        <v>2917</v>
      </c>
      <c r="D644" s="300" t="s">
        <v>2918</v>
      </c>
      <c r="E644" s="300" t="s">
        <v>928</v>
      </c>
      <c r="F644" s="378" t="s">
        <v>5247</v>
      </c>
      <c r="G644" s="300" t="s">
        <v>2912</v>
      </c>
      <c r="H644" s="300" t="s">
        <v>1818</v>
      </c>
      <c r="I644" s="300" t="s">
        <v>446</v>
      </c>
    </row>
    <row r="645" spans="2:9" ht="14.5">
      <c r="B645" s="300" t="s">
        <v>926</v>
      </c>
      <c r="C645" s="300" t="s">
        <v>2919</v>
      </c>
      <c r="D645" s="300" t="s">
        <v>2920</v>
      </c>
      <c r="E645" s="300" t="s">
        <v>928</v>
      </c>
      <c r="F645" s="378" t="s">
        <v>5167</v>
      </c>
      <c r="G645" s="300" t="s">
        <v>2921</v>
      </c>
      <c r="H645" s="300" t="s">
        <v>1040</v>
      </c>
      <c r="I645" s="300" t="s">
        <v>446</v>
      </c>
    </row>
    <row r="646" spans="2:9" ht="14.5">
      <c r="B646" s="300" t="s">
        <v>926</v>
      </c>
      <c r="C646" s="300" t="s">
        <v>2922</v>
      </c>
      <c r="D646" s="300" t="s">
        <v>2923</v>
      </c>
      <c r="E646" s="300" t="s">
        <v>928</v>
      </c>
      <c r="F646" s="300" t="s">
        <v>2924</v>
      </c>
      <c r="G646" s="300" t="s">
        <v>2923</v>
      </c>
      <c r="H646" s="300" t="s">
        <v>1040</v>
      </c>
      <c r="I646" s="300" t="s">
        <v>446</v>
      </c>
    </row>
    <row r="647" spans="2:9" ht="14.5">
      <c r="B647" s="300" t="s">
        <v>926</v>
      </c>
      <c r="C647" s="300" t="s">
        <v>2925</v>
      </c>
      <c r="D647" s="300" t="s">
        <v>2926</v>
      </c>
      <c r="E647" s="300" t="s">
        <v>928</v>
      </c>
      <c r="F647" s="300" t="s">
        <v>2927</v>
      </c>
      <c r="G647" s="300" t="s">
        <v>2928</v>
      </c>
      <c r="H647" s="300" t="s">
        <v>1040</v>
      </c>
      <c r="I647" s="300" t="s">
        <v>446</v>
      </c>
    </row>
    <row r="648" spans="2:9" ht="14.5">
      <c r="B648" s="300" t="s">
        <v>926</v>
      </c>
      <c r="C648" s="300" t="s">
        <v>2929</v>
      </c>
      <c r="D648" s="300" t="s">
        <v>2930</v>
      </c>
      <c r="E648" s="300" t="s">
        <v>928</v>
      </c>
      <c r="F648" s="378" t="s">
        <v>305</v>
      </c>
      <c r="G648" s="300" t="s">
        <v>2931</v>
      </c>
      <c r="H648" s="300" t="s">
        <v>2932</v>
      </c>
      <c r="I648" s="300" t="s">
        <v>449</v>
      </c>
    </row>
    <row r="649" spans="2:9" ht="14.5">
      <c r="B649" s="300" t="s">
        <v>926</v>
      </c>
      <c r="C649" s="300" t="s">
        <v>2933</v>
      </c>
      <c r="D649" s="300" t="s">
        <v>2934</v>
      </c>
      <c r="E649" s="300" t="s">
        <v>928</v>
      </c>
      <c r="F649" s="378" t="s">
        <v>5168</v>
      </c>
      <c r="G649" s="300" t="s">
        <v>2935</v>
      </c>
      <c r="H649" s="300" t="s">
        <v>2936</v>
      </c>
      <c r="I649" s="300" t="s">
        <v>449</v>
      </c>
    </row>
    <row r="650" spans="2:9" ht="14.5">
      <c r="B650" s="300" t="s">
        <v>926</v>
      </c>
      <c r="C650" s="300" t="s">
        <v>2937</v>
      </c>
      <c r="D650" s="300" t="s">
        <v>2938</v>
      </c>
      <c r="E650" s="300" t="s">
        <v>928</v>
      </c>
      <c r="F650" s="300" t="s">
        <v>2939</v>
      </c>
      <c r="G650" s="300" t="s">
        <v>2940</v>
      </c>
      <c r="H650" s="300" t="s">
        <v>2936</v>
      </c>
      <c r="I650" s="300" t="s">
        <v>449</v>
      </c>
    </row>
    <row r="651" spans="2:9" ht="14.5">
      <c r="B651" s="300" t="s">
        <v>926</v>
      </c>
      <c r="C651" s="300" t="s">
        <v>2941</v>
      </c>
      <c r="D651" s="300" t="s">
        <v>2942</v>
      </c>
      <c r="E651" s="300" t="s">
        <v>928</v>
      </c>
      <c r="F651" s="300" t="s">
        <v>2943</v>
      </c>
      <c r="G651" s="300" t="s">
        <v>2944</v>
      </c>
      <c r="H651" s="300" t="s">
        <v>2932</v>
      </c>
      <c r="I651" s="300" t="s">
        <v>449</v>
      </c>
    </row>
    <row r="652" spans="2:9" ht="14.5">
      <c r="B652" s="300" t="s">
        <v>926</v>
      </c>
      <c r="C652" s="300" t="s">
        <v>2945</v>
      </c>
      <c r="D652" s="300" t="s">
        <v>2946</v>
      </c>
      <c r="E652" s="300" t="s">
        <v>928</v>
      </c>
      <c r="F652" s="300" t="s">
        <v>2943</v>
      </c>
      <c r="G652" s="300" t="s">
        <v>2944</v>
      </c>
      <c r="H652" s="300" t="s">
        <v>2932</v>
      </c>
      <c r="I652" s="300" t="s">
        <v>449</v>
      </c>
    </row>
    <row r="653" spans="2:9" ht="14.5">
      <c r="B653" s="300" t="s">
        <v>926</v>
      </c>
      <c r="C653" s="300" t="s">
        <v>2947</v>
      </c>
      <c r="D653" s="300" t="s">
        <v>2948</v>
      </c>
      <c r="E653" s="300" t="s">
        <v>928</v>
      </c>
      <c r="F653" s="300" t="s">
        <v>2949</v>
      </c>
      <c r="G653" s="300" t="s">
        <v>2950</v>
      </c>
      <c r="H653" s="300" t="s">
        <v>2932</v>
      </c>
      <c r="I653" s="300" t="s">
        <v>449</v>
      </c>
    </row>
    <row r="654" spans="2:9" ht="14.5">
      <c r="B654" s="300" t="s">
        <v>926</v>
      </c>
      <c r="C654" s="300" t="s">
        <v>2951</v>
      </c>
      <c r="D654" s="300" t="s">
        <v>2952</v>
      </c>
      <c r="E654" s="300" t="s">
        <v>928</v>
      </c>
      <c r="F654" s="300" t="s">
        <v>2949</v>
      </c>
      <c r="G654" s="300" t="s">
        <v>2950</v>
      </c>
      <c r="H654" s="300" t="s">
        <v>2932</v>
      </c>
      <c r="I654" s="300" t="s">
        <v>449</v>
      </c>
    </row>
    <row r="655" spans="2:9" ht="14.5">
      <c r="B655" s="300" t="s">
        <v>926</v>
      </c>
      <c r="C655" s="300" t="s">
        <v>2953</v>
      </c>
      <c r="D655" s="300" t="s">
        <v>2930</v>
      </c>
      <c r="E655" s="300" t="s">
        <v>928</v>
      </c>
      <c r="F655" s="378" t="s">
        <v>5169</v>
      </c>
      <c r="G655" s="300" t="s">
        <v>2954</v>
      </c>
      <c r="H655" s="300" t="s">
        <v>2932</v>
      </c>
      <c r="I655" s="300" t="s">
        <v>449</v>
      </c>
    </row>
    <row r="656" spans="2:9" ht="14.5">
      <c r="B656" s="300" t="s">
        <v>926</v>
      </c>
      <c r="C656" s="300" t="s">
        <v>2955</v>
      </c>
      <c r="D656" s="300" t="s">
        <v>2956</v>
      </c>
      <c r="E656" s="300" t="s">
        <v>928</v>
      </c>
      <c r="F656" s="300" t="s">
        <v>2957</v>
      </c>
      <c r="G656" s="300" t="s">
        <v>2958</v>
      </c>
      <c r="H656" s="300" t="s">
        <v>2932</v>
      </c>
      <c r="I656" s="300" t="s">
        <v>449</v>
      </c>
    </row>
    <row r="657" spans="2:9" ht="14.5">
      <c r="B657" s="300" t="s">
        <v>926</v>
      </c>
      <c r="C657" s="300" t="s">
        <v>2959</v>
      </c>
      <c r="D657" s="300" t="s">
        <v>2960</v>
      </c>
      <c r="E657" s="300" t="s">
        <v>928</v>
      </c>
      <c r="F657" s="378" t="s">
        <v>5170</v>
      </c>
      <c r="G657" s="300" t="s">
        <v>2961</v>
      </c>
      <c r="H657" s="300" t="s">
        <v>2962</v>
      </c>
      <c r="I657" s="300" t="s">
        <v>446</v>
      </c>
    </row>
    <row r="658" spans="2:9" ht="14.5">
      <c r="B658" s="300" t="s">
        <v>926</v>
      </c>
      <c r="C658" s="300" t="s">
        <v>2963</v>
      </c>
      <c r="D658" s="300" t="s">
        <v>2964</v>
      </c>
      <c r="E658" s="300" t="s">
        <v>928</v>
      </c>
      <c r="F658" s="378" t="s">
        <v>5170</v>
      </c>
      <c r="G658" s="300" t="s">
        <v>2961</v>
      </c>
      <c r="H658" s="300" t="s">
        <v>2962</v>
      </c>
      <c r="I658" s="300" t="s">
        <v>446</v>
      </c>
    </row>
    <row r="659" spans="2:9" ht="14.5">
      <c r="B659" s="300" t="s">
        <v>926</v>
      </c>
      <c r="C659" s="300" t="s">
        <v>2965</v>
      </c>
      <c r="D659" s="300" t="s">
        <v>2966</v>
      </c>
      <c r="E659" s="300" t="s">
        <v>928</v>
      </c>
      <c r="F659" s="300" t="s">
        <v>2967</v>
      </c>
      <c r="G659" s="300" t="s">
        <v>2968</v>
      </c>
      <c r="H659" s="300" t="s">
        <v>2962</v>
      </c>
      <c r="I659" s="300" t="s">
        <v>446</v>
      </c>
    </row>
    <row r="660" spans="2:9" ht="14.5">
      <c r="B660" s="300" t="s">
        <v>926</v>
      </c>
      <c r="C660" s="300" t="s">
        <v>2969</v>
      </c>
      <c r="D660" s="300" t="s">
        <v>2970</v>
      </c>
      <c r="E660" s="300" t="s">
        <v>928</v>
      </c>
      <c r="F660" s="300" t="s">
        <v>2971</v>
      </c>
      <c r="G660" s="300" t="s">
        <v>2972</v>
      </c>
      <c r="H660" s="300" t="s">
        <v>2962</v>
      </c>
      <c r="I660" s="300" t="s">
        <v>446</v>
      </c>
    </row>
    <row r="661" spans="2:9" ht="14.5">
      <c r="B661" s="300" t="s">
        <v>926</v>
      </c>
      <c r="C661" s="300" t="s">
        <v>2973</v>
      </c>
      <c r="D661" s="300" t="s">
        <v>2974</v>
      </c>
      <c r="E661" s="300" t="s">
        <v>928</v>
      </c>
      <c r="F661" s="300" t="s">
        <v>2975</v>
      </c>
      <c r="G661" s="300" t="s">
        <v>2976</v>
      </c>
      <c r="H661" s="300" t="s">
        <v>2962</v>
      </c>
      <c r="I661" s="300" t="s">
        <v>446</v>
      </c>
    </row>
    <row r="662" spans="2:9" ht="14.5">
      <c r="B662" s="300" t="s">
        <v>926</v>
      </c>
      <c r="C662" s="300" t="s">
        <v>2977</v>
      </c>
      <c r="D662" s="300" t="s">
        <v>2978</v>
      </c>
      <c r="E662" s="300" t="s">
        <v>928</v>
      </c>
      <c r="F662" s="300" t="s">
        <v>2979</v>
      </c>
      <c r="G662" s="300" t="s">
        <v>2980</v>
      </c>
      <c r="H662" s="300" t="s">
        <v>2962</v>
      </c>
      <c r="I662" s="300" t="s">
        <v>446</v>
      </c>
    </row>
    <row r="663" spans="2:9" ht="14.5">
      <c r="B663" s="300" t="s">
        <v>926</v>
      </c>
      <c r="C663" s="300" t="s">
        <v>2981</v>
      </c>
      <c r="D663" s="300" t="s">
        <v>2982</v>
      </c>
      <c r="E663" s="300" t="s">
        <v>928</v>
      </c>
      <c r="F663" s="300" t="s">
        <v>2983</v>
      </c>
      <c r="G663" s="300" t="s">
        <v>2984</v>
      </c>
      <c r="H663" s="300" t="s">
        <v>2962</v>
      </c>
      <c r="I663" s="300" t="s">
        <v>446</v>
      </c>
    </row>
    <row r="664" spans="2:9" ht="14.5">
      <c r="B664" s="300" t="s">
        <v>926</v>
      </c>
      <c r="C664" s="300" t="s">
        <v>2985</v>
      </c>
      <c r="D664" s="300" t="s">
        <v>2986</v>
      </c>
      <c r="E664" s="300" t="s">
        <v>928</v>
      </c>
      <c r="F664" s="300" t="s">
        <v>2983</v>
      </c>
      <c r="G664" s="300" t="s">
        <v>2984</v>
      </c>
      <c r="H664" s="300" t="s">
        <v>2962</v>
      </c>
      <c r="I664" s="300" t="s">
        <v>446</v>
      </c>
    </row>
    <row r="665" spans="2:9" ht="14.5">
      <c r="B665" s="300" t="s">
        <v>926</v>
      </c>
      <c r="C665" s="300" t="s">
        <v>2987</v>
      </c>
      <c r="D665" s="300" t="s">
        <v>2988</v>
      </c>
      <c r="E665" s="300" t="s">
        <v>928</v>
      </c>
      <c r="F665" s="300" t="s">
        <v>2983</v>
      </c>
      <c r="G665" s="300" t="s">
        <v>2984</v>
      </c>
      <c r="H665" s="300" t="s">
        <v>2962</v>
      </c>
      <c r="I665" s="300" t="s">
        <v>446</v>
      </c>
    </row>
    <row r="666" spans="2:9" ht="14.5">
      <c r="B666" s="300" t="s">
        <v>926</v>
      </c>
      <c r="C666" s="300" t="s">
        <v>2989</v>
      </c>
      <c r="D666" s="300" t="s">
        <v>2982</v>
      </c>
      <c r="E666" s="300" t="s">
        <v>928</v>
      </c>
      <c r="F666" s="300" t="s">
        <v>2983</v>
      </c>
      <c r="G666" s="300" t="s">
        <v>2984</v>
      </c>
      <c r="H666" s="300" t="s">
        <v>2962</v>
      </c>
      <c r="I666" s="300" t="s">
        <v>446</v>
      </c>
    </row>
    <row r="667" spans="2:9" ht="14.5">
      <c r="B667" s="300" t="s">
        <v>926</v>
      </c>
      <c r="C667" s="300" t="s">
        <v>2990</v>
      </c>
      <c r="D667" s="300" t="s">
        <v>2991</v>
      </c>
      <c r="E667" s="300" t="s">
        <v>928</v>
      </c>
      <c r="F667" s="378" t="s">
        <v>5171</v>
      </c>
      <c r="G667" s="300" t="s">
        <v>2992</v>
      </c>
      <c r="H667" s="300" t="s">
        <v>2962</v>
      </c>
      <c r="I667" s="300" t="s">
        <v>446</v>
      </c>
    </row>
    <row r="668" spans="2:9" ht="14.5">
      <c r="B668" s="300" t="s">
        <v>926</v>
      </c>
      <c r="C668" s="300" t="s">
        <v>2993</v>
      </c>
      <c r="D668" s="300" t="s">
        <v>2994</v>
      </c>
      <c r="E668" s="300" t="s">
        <v>928</v>
      </c>
      <c r="F668" s="378" t="s">
        <v>5172</v>
      </c>
      <c r="G668" s="300" t="s">
        <v>2995</v>
      </c>
      <c r="H668" s="300" t="s">
        <v>2962</v>
      </c>
      <c r="I668" s="300" t="s">
        <v>446</v>
      </c>
    </row>
    <row r="669" spans="2:9" ht="14.5">
      <c r="B669" s="300" t="s">
        <v>926</v>
      </c>
      <c r="C669" s="300" t="s">
        <v>2996</v>
      </c>
      <c r="D669" s="300" t="s">
        <v>2997</v>
      </c>
      <c r="E669" s="300" t="s">
        <v>928</v>
      </c>
      <c r="F669" s="300" t="s">
        <v>2998</v>
      </c>
      <c r="G669" s="300" t="s">
        <v>2999</v>
      </c>
      <c r="H669" s="300" t="s">
        <v>2962</v>
      </c>
      <c r="I669" s="300" t="s">
        <v>446</v>
      </c>
    </row>
    <row r="670" spans="2:9" ht="14.5">
      <c r="B670" s="300" t="s">
        <v>926</v>
      </c>
      <c r="C670" s="300" t="s">
        <v>3000</v>
      </c>
      <c r="D670" s="300" t="s">
        <v>3001</v>
      </c>
      <c r="E670" s="300" t="s">
        <v>928</v>
      </c>
      <c r="F670" s="300" t="s">
        <v>2998</v>
      </c>
      <c r="G670" s="300" t="s">
        <v>2999</v>
      </c>
      <c r="H670" s="300" t="s">
        <v>2962</v>
      </c>
      <c r="I670" s="300" t="s">
        <v>446</v>
      </c>
    </row>
    <row r="671" spans="2:9" ht="14.5">
      <c r="B671" s="300" t="s">
        <v>926</v>
      </c>
      <c r="C671" s="300" t="s">
        <v>3002</v>
      </c>
      <c r="D671" s="300" t="s">
        <v>3003</v>
      </c>
      <c r="E671" s="300" t="s">
        <v>928</v>
      </c>
      <c r="F671" s="300" t="s">
        <v>3004</v>
      </c>
      <c r="G671" s="300" t="s">
        <v>3005</v>
      </c>
      <c r="H671" s="300" t="s">
        <v>2962</v>
      </c>
      <c r="I671" s="300" t="s">
        <v>446</v>
      </c>
    </row>
    <row r="672" spans="2:9" ht="14.5">
      <c r="B672" s="300" t="s">
        <v>926</v>
      </c>
      <c r="C672" s="300" t="s">
        <v>3006</v>
      </c>
      <c r="D672" s="300" t="s">
        <v>3007</v>
      </c>
      <c r="E672" s="300" t="s">
        <v>928</v>
      </c>
      <c r="F672" s="300" t="s">
        <v>3008</v>
      </c>
      <c r="G672" s="300" t="s">
        <v>3009</v>
      </c>
      <c r="H672" s="300" t="s">
        <v>2962</v>
      </c>
      <c r="I672" s="300" t="s">
        <v>446</v>
      </c>
    </row>
    <row r="673" spans="2:9" ht="14.5">
      <c r="B673" s="300" t="s">
        <v>926</v>
      </c>
      <c r="C673" s="300" t="s">
        <v>3010</v>
      </c>
      <c r="D673" s="300" t="s">
        <v>3011</v>
      </c>
      <c r="E673" s="300" t="s">
        <v>928</v>
      </c>
      <c r="F673" s="300" t="s">
        <v>3012</v>
      </c>
      <c r="G673" s="300" t="s">
        <v>3013</v>
      </c>
      <c r="H673" s="300" t="s">
        <v>2962</v>
      </c>
      <c r="I673" s="300" t="s">
        <v>446</v>
      </c>
    </row>
    <row r="674" spans="2:9" ht="14.5">
      <c r="B674" s="300" t="s">
        <v>926</v>
      </c>
      <c r="C674" s="300" t="s">
        <v>3014</v>
      </c>
      <c r="D674" s="300" t="s">
        <v>3015</v>
      </c>
      <c r="E674" s="300" t="s">
        <v>928</v>
      </c>
      <c r="F674" s="300" t="s">
        <v>3016</v>
      </c>
      <c r="G674" s="300" t="s">
        <v>3017</v>
      </c>
      <c r="H674" s="300" t="s">
        <v>2962</v>
      </c>
      <c r="I674" s="300" t="s">
        <v>446</v>
      </c>
    </row>
    <row r="675" spans="2:9" ht="14.5">
      <c r="B675" s="300" t="s">
        <v>926</v>
      </c>
      <c r="C675" s="300" t="s">
        <v>3018</v>
      </c>
      <c r="D675" s="300" t="s">
        <v>3019</v>
      </c>
      <c r="E675" s="300" t="s">
        <v>928</v>
      </c>
      <c r="F675" s="300" t="s">
        <v>3020</v>
      </c>
      <c r="G675" s="300" t="s">
        <v>3021</v>
      </c>
      <c r="H675" s="300" t="s">
        <v>2962</v>
      </c>
      <c r="I675" s="300" t="s">
        <v>446</v>
      </c>
    </row>
    <row r="676" spans="2:9" ht="14.5">
      <c r="B676" s="300" t="s">
        <v>926</v>
      </c>
      <c r="C676" s="300" t="s">
        <v>3022</v>
      </c>
      <c r="D676" s="300" t="s">
        <v>3023</v>
      </c>
      <c r="E676" s="300" t="s">
        <v>928</v>
      </c>
      <c r="F676" s="300" t="s">
        <v>2998</v>
      </c>
      <c r="G676" s="300" t="s">
        <v>2999</v>
      </c>
      <c r="H676" s="300" t="s">
        <v>2962</v>
      </c>
      <c r="I676" s="300" t="s">
        <v>446</v>
      </c>
    </row>
    <row r="677" spans="2:9" ht="14.5">
      <c r="B677" s="300" t="s">
        <v>926</v>
      </c>
      <c r="C677" s="300" t="s">
        <v>3024</v>
      </c>
      <c r="D677" s="300" t="s">
        <v>3025</v>
      </c>
      <c r="E677" s="300" t="s">
        <v>928</v>
      </c>
      <c r="F677" s="300" t="s">
        <v>2998</v>
      </c>
      <c r="G677" s="300" t="s">
        <v>2999</v>
      </c>
      <c r="H677" s="300" t="s">
        <v>2962</v>
      </c>
      <c r="I677" s="300" t="s">
        <v>446</v>
      </c>
    </row>
    <row r="678" spans="2:9" ht="14.5">
      <c r="B678" s="300" t="s">
        <v>926</v>
      </c>
      <c r="C678" s="300" t="s">
        <v>3026</v>
      </c>
      <c r="D678" s="300" t="s">
        <v>3027</v>
      </c>
      <c r="E678" s="300" t="s">
        <v>928</v>
      </c>
      <c r="F678" s="378" t="s">
        <v>5173</v>
      </c>
      <c r="G678" s="300" t="s">
        <v>3028</v>
      </c>
      <c r="H678" s="300" t="s">
        <v>2962</v>
      </c>
      <c r="I678" s="300" t="s">
        <v>446</v>
      </c>
    </row>
    <row r="679" spans="2:9" ht="14.5">
      <c r="B679" s="300" t="s">
        <v>926</v>
      </c>
      <c r="C679" s="300" t="s">
        <v>3029</v>
      </c>
      <c r="D679" s="300" t="s">
        <v>3030</v>
      </c>
      <c r="E679" s="300" t="s">
        <v>928</v>
      </c>
      <c r="F679" s="300" t="s">
        <v>3031</v>
      </c>
      <c r="G679" s="300" t="s">
        <v>3032</v>
      </c>
      <c r="H679" s="300" t="s">
        <v>2962</v>
      </c>
      <c r="I679" s="300" t="s">
        <v>446</v>
      </c>
    </row>
    <row r="680" spans="2:9" ht="14.5">
      <c r="B680" s="300" t="s">
        <v>926</v>
      </c>
      <c r="C680" s="300" t="s">
        <v>3033</v>
      </c>
      <c r="D680" s="300" t="s">
        <v>3034</v>
      </c>
      <c r="E680" s="300" t="s">
        <v>928</v>
      </c>
      <c r="F680" s="300" t="s">
        <v>3035</v>
      </c>
      <c r="G680" s="300" t="s">
        <v>3036</v>
      </c>
      <c r="H680" s="300" t="s">
        <v>2962</v>
      </c>
      <c r="I680" s="300" t="s">
        <v>446</v>
      </c>
    </row>
    <row r="681" spans="2:9" ht="14.5">
      <c r="B681" s="300" t="s">
        <v>926</v>
      </c>
      <c r="C681" s="300" t="s">
        <v>3037</v>
      </c>
      <c r="D681" s="300" t="s">
        <v>3038</v>
      </c>
      <c r="E681" s="300" t="s">
        <v>928</v>
      </c>
      <c r="F681" s="300" t="s">
        <v>2998</v>
      </c>
      <c r="G681" s="300" t="s">
        <v>2999</v>
      </c>
      <c r="H681" s="300" t="s">
        <v>2962</v>
      </c>
      <c r="I681" s="300" t="s">
        <v>446</v>
      </c>
    </row>
    <row r="682" spans="2:9" ht="14.5">
      <c r="B682" s="300" t="s">
        <v>926</v>
      </c>
      <c r="C682" s="300" t="s">
        <v>3039</v>
      </c>
      <c r="D682" s="300" t="s">
        <v>3040</v>
      </c>
      <c r="E682" s="300" t="s">
        <v>928</v>
      </c>
      <c r="F682" s="378" t="s">
        <v>5174</v>
      </c>
      <c r="G682" s="300" t="s">
        <v>3041</v>
      </c>
      <c r="H682" s="300" t="s">
        <v>2962</v>
      </c>
      <c r="I682" s="300" t="s">
        <v>446</v>
      </c>
    </row>
    <row r="683" spans="2:9" ht="14.5">
      <c r="B683" s="300" t="s">
        <v>926</v>
      </c>
      <c r="C683" s="300" t="s">
        <v>3042</v>
      </c>
      <c r="D683" s="300" t="s">
        <v>3043</v>
      </c>
      <c r="E683" s="300" t="s">
        <v>928</v>
      </c>
      <c r="F683" s="378" t="s">
        <v>3044</v>
      </c>
      <c r="G683" s="300" t="s">
        <v>3045</v>
      </c>
      <c r="H683" s="300" t="s">
        <v>2962</v>
      </c>
      <c r="I683" s="300" t="s">
        <v>446</v>
      </c>
    </row>
    <row r="684" spans="2:9" ht="14.5">
      <c r="B684" s="300" t="s">
        <v>926</v>
      </c>
      <c r="C684" s="300" t="s">
        <v>3046</v>
      </c>
      <c r="D684" s="300" t="s">
        <v>3047</v>
      </c>
      <c r="E684" s="300" t="s">
        <v>928</v>
      </c>
      <c r="F684" s="300" t="s">
        <v>3048</v>
      </c>
      <c r="G684" s="300" t="s">
        <v>3049</v>
      </c>
      <c r="H684" s="300" t="s">
        <v>2962</v>
      </c>
      <c r="I684" s="300" t="s">
        <v>446</v>
      </c>
    </row>
    <row r="685" spans="2:9" ht="14.5">
      <c r="B685" s="300" t="s">
        <v>926</v>
      </c>
      <c r="C685" s="300" t="s">
        <v>3050</v>
      </c>
      <c r="D685" s="300" t="s">
        <v>3051</v>
      </c>
      <c r="E685" s="300" t="s">
        <v>928</v>
      </c>
      <c r="F685" s="300" t="s">
        <v>3048</v>
      </c>
      <c r="G685" s="300" t="s">
        <v>3049</v>
      </c>
      <c r="H685" s="300" t="s">
        <v>2962</v>
      </c>
      <c r="I685" s="300" t="s">
        <v>446</v>
      </c>
    </row>
    <row r="686" spans="2:9" ht="14.5">
      <c r="B686" s="300" t="s">
        <v>926</v>
      </c>
      <c r="C686" s="300" t="s">
        <v>3052</v>
      </c>
      <c r="D686" s="300" t="s">
        <v>3053</v>
      </c>
      <c r="E686" s="300" t="s">
        <v>928</v>
      </c>
      <c r="F686" s="300" t="s">
        <v>3054</v>
      </c>
      <c r="G686" s="300" t="s">
        <v>3055</v>
      </c>
      <c r="H686" s="300" t="s">
        <v>2962</v>
      </c>
      <c r="I686" s="300" t="s">
        <v>446</v>
      </c>
    </row>
    <row r="687" spans="2:9" ht="14.5">
      <c r="B687" s="300" t="s">
        <v>926</v>
      </c>
      <c r="C687" s="300" t="s">
        <v>3056</v>
      </c>
      <c r="D687" s="300" t="s">
        <v>3057</v>
      </c>
      <c r="E687" s="300" t="s">
        <v>928</v>
      </c>
      <c r="F687" s="300" t="s">
        <v>3054</v>
      </c>
      <c r="G687" s="300" t="s">
        <v>3055</v>
      </c>
      <c r="H687" s="300" t="s">
        <v>2962</v>
      </c>
      <c r="I687" s="300" t="s">
        <v>446</v>
      </c>
    </row>
    <row r="688" spans="2:9" ht="14.5">
      <c r="B688" s="300" t="s">
        <v>926</v>
      </c>
      <c r="C688" s="300" t="s">
        <v>3058</v>
      </c>
      <c r="D688" s="300" t="s">
        <v>3059</v>
      </c>
      <c r="E688" s="300" t="s">
        <v>928</v>
      </c>
      <c r="F688" s="378" t="s">
        <v>5175</v>
      </c>
      <c r="G688" s="300" t="s">
        <v>3060</v>
      </c>
      <c r="H688" s="300" t="s">
        <v>2962</v>
      </c>
      <c r="I688" s="300" t="s">
        <v>446</v>
      </c>
    </row>
    <row r="689" spans="2:9" ht="14.5">
      <c r="B689" s="300" t="s">
        <v>926</v>
      </c>
      <c r="C689" s="300" t="s">
        <v>3061</v>
      </c>
      <c r="D689" s="300" t="s">
        <v>3062</v>
      </c>
      <c r="E689" s="300" t="s">
        <v>928</v>
      </c>
      <c r="F689" s="378" t="s">
        <v>5176</v>
      </c>
      <c r="G689" s="300" t="s">
        <v>3063</v>
      </c>
      <c r="H689" s="300" t="s">
        <v>2962</v>
      </c>
      <c r="I689" s="300" t="s">
        <v>446</v>
      </c>
    </row>
    <row r="690" spans="2:9" ht="14.5">
      <c r="B690" s="300" t="s">
        <v>926</v>
      </c>
      <c r="C690" s="300" t="s">
        <v>3064</v>
      </c>
      <c r="D690" s="300" t="s">
        <v>3065</v>
      </c>
      <c r="E690" s="300" t="s">
        <v>928</v>
      </c>
      <c r="F690" s="300" t="s">
        <v>3066</v>
      </c>
      <c r="G690" s="300" t="s">
        <v>3067</v>
      </c>
      <c r="H690" s="300" t="s">
        <v>2962</v>
      </c>
      <c r="I690" s="300" t="s">
        <v>446</v>
      </c>
    </row>
    <row r="691" spans="2:9" ht="14.5">
      <c r="B691" s="300" t="s">
        <v>926</v>
      </c>
      <c r="C691" s="300" t="s">
        <v>3068</v>
      </c>
      <c r="D691" s="300" t="s">
        <v>3069</v>
      </c>
      <c r="E691" s="300" t="s">
        <v>928</v>
      </c>
      <c r="F691" s="300" t="s">
        <v>3066</v>
      </c>
      <c r="G691" s="300" t="s">
        <v>3067</v>
      </c>
      <c r="H691" s="300" t="s">
        <v>2962</v>
      </c>
      <c r="I691" s="300" t="s">
        <v>446</v>
      </c>
    </row>
    <row r="692" spans="2:9" ht="14.5">
      <c r="B692" s="300" t="s">
        <v>926</v>
      </c>
      <c r="C692" s="300" t="s">
        <v>3070</v>
      </c>
      <c r="D692" s="300" t="s">
        <v>3071</v>
      </c>
      <c r="E692" s="300" t="s">
        <v>928</v>
      </c>
      <c r="F692" s="300" t="s">
        <v>3066</v>
      </c>
      <c r="G692" s="300" t="s">
        <v>3067</v>
      </c>
      <c r="H692" s="300" t="s">
        <v>2962</v>
      </c>
      <c r="I692" s="300" t="s">
        <v>446</v>
      </c>
    </row>
    <row r="693" spans="2:9" ht="14.5">
      <c r="B693" s="300" t="s">
        <v>926</v>
      </c>
      <c r="C693" s="300" t="s">
        <v>3072</v>
      </c>
      <c r="D693" s="300" t="s">
        <v>3073</v>
      </c>
      <c r="E693" s="300" t="s">
        <v>928</v>
      </c>
      <c r="F693" s="300" t="s">
        <v>3074</v>
      </c>
      <c r="G693" s="300" t="s">
        <v>3075</v>
      </c>
      <c r="H693" s="300" t="s">
        <v>2962</v>
      </c>
      <c r="I693" s="300" t="s">
        <v>446</v>
      </c>
    </row>
    <row r="694" spans="2:9" ht="14.5">
      <c r="B694" s="300" t="s">
        <v>926</v>
      </c>
      <c r="C694" s="300" t="s">
        <v>3076</v>
      </c>
      <c r="D694" s="300" t="s">
        <v>3077</v>
      </c>
      <c r="E694" s="300" t="s">
        <v>928</v>
      </c>
      <c r="F694" s="300" t="s">
        <v>2975</v>
      </c>
      <c r="G694" s="300" t="s">
        <v>2976</v>
      </c>
      <c r="H694" s="300" t="s">
        <v>2962</v>
      </c>
      <c r="I694" s="300" t="s">
        <v>446</v>
      </c>
    </row>
    <row r="695" spans="2:9" ht="14.5">
      <c r="B695" s="300" t="s">
        <v>926</v>
      </c>
      <c r="C695" s="300" t="s">
        <v>3078</v>
      </c>
      <c r="D695" s="300" t="s">
        <v>3079</v>
      </c>
      <c r="E695" s="300" t="s">
        <v>928</v>
      </c>
      <c r="F695" s="300" t="s">
        <v>3066</v>
      </c>
      <c r="G695" s="300" t="s">
        <v>3067</v>
      </c>
      <c r="H695" s="300" t="s">
        <v>2962</v>
      </c>
      <c r="I695" s="300" t="s">
        <v>446</v>
      </c>
    </row>
    <row r="696" spans="2:9" ht="14.5">
      <c r="B696" s="300" t="s">
        <v>926</v>
      </c>
      <c r="C696" s="300" t="s">
        <v>3080</v>
      </c>
      <c r="D696" s="300" t="s">
        <v>3081</v>
      </c>
      <c r="E696" s="300" t="s">
        <v>928</v>
      </c>
      <c r="F696" s="300" t="s">
        <v>3066</v>
      </c>
      <c r="G696" s="300" t="s">
        <v>3067</v>
      </c>
      <c r="H696" s="300" t="s">
        <v>2962</v>
      </c>
      <c r="I696" s="300" t="s">
        <v>446</v>
      </c>
    </row>
    <row r="697" spans="2:9" ht="14.5">
      <c r="B697" s="300" t="s">
        <v>926</v>
      </c>
      <c r="C697" s="300" t="s">
        <v>3082</v>
      </c>
      <c r="D697" s="300" t="s">
        <v>3083</v>
      </c>
      <c r="E697" s="300" t="s">
        <v>928</v>
      </c>
      <c r="F697" s="378" t="s">
        <v>5176</v>
      </c>
      <c r="G697" s="300" t="s">
        <v>3063</v>
      </c>
      <c r="H697" s="300" t="s">
        <v>2962</v>
      </c>
      <c r="I697" s="300" t="s">
        <v>446</v>
      </c>
    </row>
    <row r="698" spans="2:9" ht="14.5">
      <c r="B698" s="300" t="s">
        <v>926</v>
      </c>
      <c r="C698" s="300" t="s">
        <v>3084</v>
      </c>
      <c r="D698" s="300" t="s">
        <v>3085</v>
      </c>
      <c r="E698" s="300" t="s">
        <v>928</v>
      </c>
      <c r="F698" s="300" t="s">
        <v>3086</v>
      </c>
      <c r="G698" s="300" t="s">
        <v>3087</v>
      </c>
      <c r="H698" s="300" t="s">
        <v>2962</v>
      </c>
      <c r="I698" s="300" t="s">
        <v>446</v>
      </c>
    </row>
    <row r="699" spans="2:9" ht="14.5">
      <c r="B699" s="300" t="s">
        <v>926</v>
      </c>
      <c r="C699" s="300" t="s">
        <v>3088</v>
      </c>
      <c r="D699" s="300" t="s">
        <v>3089</v>
      </c>
      <c r="E699" s="300" t="s">
        <v>928</v>
      </c>
      <c r="F699" s="300" t="s">
        <v>3086</v>
      </c>
      <c r="G699" s="300" t="s">
        <v>3087</v>
      </c>
      <c r="H699" s="300" t="s">
        <v>2962</v>
      </c>
      <c r="I699" s="300" t="s">
        <v>446</v>
      </c>
    </row>
    <row r="700" spans="2:9" ht="14.5">
      <c r="B700" s="300" t="s">
        <v>926</v>
      </c>
      <c r="C700" s="300" t="s">
        <v>3090</v>
      </c>
      <c r="D700" s="300" t="s">
        <v>3091</v>
      </c>
      <c r="E700" s="300" t="s">
        <v>928</v>
      </c>
      <c r="F700" s="378" t="s">
        <v>5175</v>
      </c>
      <c r="G700" s="300" t="s">
        <v>3060</v>
      </c>
      <c r="H700" s="300" t="s">
        <v>2962</v>
      </c>
      <c r="I700" s="300" t="s">
        <v>446</v>
      </c>
    </row>
    <row r="701" spans="2:9" ht="14.5">
      <c r="B701" s="300" t="s">
        <v>926</v>
      </c>
      <c r="C701" s="300" t="s">
        <v>3092</v>
      </c>
      <c r="D701" s="300" t="s">
        <v>3093</v>
      </c>
      <c r="E701" s="300" t="s">
        <v>928</v>
      </c>
      <c r="F701" s="378" t="s">
        <v>5177</v>
      </c>
      <c r="G701" s="300" t="s">
        <v>3094</v>
      </c>
      <c r="H701" s="300" t="s">
        <v>2962</v>
      </c>
      <c r="I701" s="300" t="s">
        <v>446</v>
      </c>
    </row>
    <row r="702" spans="2:9" ht="14.5">
      <c r="B702" s="300" t="s">
        <v>926</v>
      </c>
      <c r="C702" s="300" t="s">
        <v>3095</v>
      </c>
      <c r="D702" s="300" t="s">
        <v>3096</v>
      </c>
      <c r="E702" s="300" t="s">
        <v>928</v>
      </c>
      <c r="F702" s="300" t="s">
        <v>3097</v>
      </c>
      <c r="G702" s="300" t="s">
        <v>3098</v>
      </c>
      <c r="H702" s="300" t="s">
        <v>2962</v>
      </c>
      <c r="I702" s="300" t="s">
        <v>446</v>
      </c>
    </row>
    <row r="703" spans="2:9" ht="14.5">
      <c r="B703" s="300" t="s">
        <v>926</v>
      </c>
      <c r="C703" s="300" t="s">
        <v>3099</v>
      </c>
      <c r="D703" s="300" t="s">
        <v>3100</v>
      </c>
      <c r="E703" s="300" t="s">
        <v>928</v>
      </c>
      <c r="F703" s="300" t="s">
        <v>3097</v>
      </c>
      <c r="G703" s="300" t="s">
        <v>3098</v>
      </c>
      <c r="H703" s="300" t="s">
        <v>2962</v>
      </c>
      <c r="I703" s="300" t="s">
        <v>446</v>
      </c>
    </row>
    <row r="704" spans="2:9" ht="14.5">
      <c r="B704" s="300" t="s">
        <v>926</v>
      </c>
      <c r="C704" s="300" t="s">
        <v>3101</v>
      </c>
      <c r="D704" s="300" t="s">
        <v>3102</v>
      </c>
      <c r="E704" s="300" t="s">
        <v>928</v>
      </c>
      <c r="F704" s="378" t="s">
        <v>5178</v>
      </c>
      <c r="G704" s="300" t="s">
        <v>3103</v>
      </c>
      <c r="H704" s="300" t="s">
        <v>2962</v>
      </c>
      <c r="I704" s="300" t="s">
        <v>446</v>
      </c>
    </row>
    <row r="705" spans="2:9" ht="14.5">
      <c r="B705" s="300" t="s">
        <v>926</v>
      </c>
      <c r="C705" s="300" t="s">
        <v>3104</v>
      </c>
      <c r="D705" s="300" t="s">
        <v>3105</v>
      </c>
      <c r="E705" s="300" t="s">
        <v>928</v>
      </c>
      <c r="F705" s="300" t="s">
        <v>3106</v>
      </c>
      <c r="G705" s="300" t="s">
        <v>3107</v>
      </c>
      <c r="H705" s="300" t="s">
        <v>2962</v>
      </c>
      <c r="I705" s="300" t="s">
        <v>446</v>
      </c>
    </row>
    <row r="706" spans="2:9" ht="14.5">
      <c r="B706" s="300" t="s">
        <v>926</v>
      </c>
      <c r="C706" s="300" t="s">
        <v>3108</v>
      </c>
      <c r="D706" s="300" t="s">
        <v>3109</v>
      </c>
      <c r="E706" s="300" t="s">
        <v>928</v>
      </c>
      <c r="F706" s="378" t="s">
        <v>5178</v>
      </c>
      <c r="G706" s="300" t="s">
        <v>3103</v>
      </c>
      <c r="H706" s="300" t="s">
        <v>2962</v>
      </c>
      <c r="I706" s="300" t="s">
        <v>446</v>
      </c>
    </row>
    <row r="707" spans="2:9" ht="14.5">
      <c r="B707" s="300" t="s">
        <v>926</v>
      </c>
      <c r="C707" s="300" t="s">
        <v>3110</v>
      </c>
      <c r="D707" s="300" t="s">
        <v>3111</v>
      </c>
      <c r="E707" s="300" t="s">
        <v>928</v>
      </c>
      <c r="F707" s="300" t="s">
        <v>3112</v>
      </c>
      <c r="G707" s="300" t="s">
        <v>3113</v>
      </c>
      <c r="H707" s="300" t="s">
        <v>2962</v>
      </c>
      <c r="I707" s="300" t="s">
        <v>446</v>
      </c>
    </row>
    <row r="708" spans="2:9" ht="14.5">
      <c r="B708" s="300" t="s">
        <v>926</v>
      </c>
      <c r="C708" s="300" t="s">
        <v>3114</v>
      </c>
      <c r="D708" s="300" t="s">
        <v>3115</v>
      </c>
      <c r="E708" s="300" t="s">
        <v>928</v>
      </c>
      <c r="F708" s="300" t="s">
        <v>3116</v>
      </c>
      <c r="G708" s="300" t="s">
        <v>3117</v>
      </c>
      <c r="H708" s="300" t="s">
        <v>2962</v>
      </c>
      <c r="I708" s="300" t="s">
        <v>446</v>
      </c>
    </row>
    <row r="709" spans="2:9" ht="14.5">
      <c r="B709" s="300" t="s">
        <v>926</v>
      </c>
      <c r="C709" s="300" t="s">
        <v>3118</v>
      </c>
      <c r="D709" s="300" t="s">
        <v>3119</v>
      </c>
      <c r="E709" s="300" t="s">
        <v>928</v>
      </c>
      <c r="F709" s="300" t="s">
        <v>3120</v>
      </c>
      <c r="G709" s="300" t="s">
        <v>3121</v>
      </c>
      <c r="H709" s="300" t="s">
        <v>2962</v>
      </c>
      <c r="I709" s="300" t="s">
        <v>446</v>
      </c>
    </row>
    <row r="710" spans="2:9" ht="14.5">
      <c r="B710" s="300" t="s">
        <v>926</v>
      </c>
      <c r="C710" s="300" t="s">
        <v>3122</v>
      </c>
      <c r="D710" s="300" t="s">
        <v>3123</v>
      </c>
      <c r="E710" s="300" t="s">
        <v>928</v>
      </c>
      <c r="F710" s="300" t="s">
        <v>3106</v>
      </c>
      <c r="G710" s="300" t="s">
        <v>3107</v>
      </c>
      <c r="H710" s="300" t="s">
        <v>2962</v>
      </c>
      <c r="I710" s="300" t="s">
        <v>446</v>
      </c>
    </row>
    <row r="711" spans="2:9" ht="14.5">
      <c r="B711" s="300" t="s">
        <v>926</v>
      </c>
      <c r="C711" s="300" t="s">
        <v>3124</v>
      </c>
      <c r="D711" s="300" t="s">
        <v>3125</v>
      </c>
      <c r="E711" s="300" t="s">
        <v>928</v>
      </c>
      <c r="F711" s="378" t="s">
        <v>5179</v>
      </c>
      <c r="G711" s="300" t="s">
        <v>3126</v>
      </c>
      <c r="H711" s="300" t="s">
        <v>2962</v>
      </c>
      <c r="I711" s="300" t="s">
        <v>446</v>
      </c>
    </row>
    <row r="712" spans="2:9" ht="14.5">
      <c r="B712" s="300" t="s">
        <v>926</v>
      </c>
      <c r="C712" s="300" t="s">
        <v>3127</v>
      </c>
      <c r="D712" s="300" t="s">
        <v>3128</v>
      </c>
      <c r="E712" s="300" t="s">
        <v>928</v>
      </c>
      <c r="F712" s="378" t="s">
        <v>5180</v>
      </c>
      <c r="G712" s="300" t="s">
        <v>3129</v>
      </c>
      <c r="H712" s="300" t="s">
        <v>2962</v>
      </c>
      <c r="I712" s="300" t="s">
        <v>446</v>
      </c>
    </row>
    <row r="713" spans="2:9" ht="14.5">
      <c r="B713" s="300" t="s">
        <v>926</v>
      </c>
      <c r="C713" s="300" t="s">
        <v>3130</v>
      </c>
      <c r="D713" s="300" t="s">
        <v>3131</v>
      </c>
      <c r="E713" s="300" t="s">
        <v>928</v>
      </c>
      <c r="F713" s="300" t="s">
        <v>3132</v>
      </c>
      <c r="G713" s="300" t="s">
        <v>3133</v>
      </c>
      <c r="H713" s="300" t="s">
        <v>2962</v>
      </c>
      <c r="I713" s="300" t="s">
        <v>446</v>
      </c>
    </row>
    <row r="714" spans="2:9" ht="14.5">
      <c r="B714" s="300" t="s">
        <v>926</v>
      </c>
      <c r="C714" s="300" t="s">
        <v>3134</v>
      </c>
      <c r="D714" s="300" t="s">
        <v>3135</v>
      </c>
      <c r="E714" s="300" t="s">
        <v>928</v>
      </c>
      <c r="F714" s="300" t="s">
        <v>3136</v>
      </c>
      <c r="G714" s="300" t="s">
        <v>3137</v>
      </c>
      <c r="H714" s="300" t="s">
        <v>2962</v>
      </c>
      <c r="I714" s="300" t="s">
        <v>446</v>
      </c>
    </row>
    <row r="715" spans="2:9" ht="14.5">
      <c r="B715" s="300" t="s">
        <v>926</v>
      </c>
      <c r="C715" s="300" t="s">
        <v>3138</v>
      </c>
      <c r="D715" s="300" t="s">
        <v>3139</v>
      </c>
      <c r="E715" s="300" t="s">
        <v>928</v>
      </c>
      <c r="F715" s="300" t="s">
        <v>3140</v>
      </c>
      <c r="G715" s="300" t="s">
        <v>3141</v>
      </c>
      <c r="H715" s="300" t="s">
        <v>2962</v>
      </c>
      <c r="I715" s="300" t="s">
        <v>446</v>
      </c>
    </row>
    <row r="716" spans="2:9" ht="14.5">
      <c r="B716" s="300" t="s">
        <v>926</v>
      </c>
      <c r="C716" s="300" t="s">
        <v>3142</v>
      </c>
      <c r="D716" s="300" t="s">
        <v>3143</v>
      </c>
      <c r="E716" s="300" t="s">
        <v>928</v>
      </c>
      <c r="F716" s="300" t="s">
        <v>3140</v>
      </c>
      <c r="G716" s="300" t="s">
        <v>3141</v>
      </c>
      <c r="H716" s="300" t="s">
        <v>2962</v>
      </c>
      <c r="I716" s="300" t="s">
        <v>446</v>
      </c>
    </row>
    <row r="717" spans="2:9" ht="14.5">
      <c r="B717" s="300" t="s">
        <v>926</v>
      </c>
      <c r="C717" s="300" t="s">
        <v>3144</v>
      </c>
      <c r="D717" s="300" t="s">
        <v>3145</v>
      </c>
      <c r="E717" s="300" t="s">
        <v>928</v>
      </c>
      <c r="F717" s="300" t="s">
        <v>3146</v>
      </c>
      <c r="G717" s="300" t="s">
        <v>3147</v>
      </c>
      <c r="H717" s="300" t="s">
        <v>2962</v>
      </c>
      <c r="I717" s="300" t="s">
        <v>446</v>
      </c>
    </row>
    <row r="718" spans="2:9" ht="14.5">
      <c r="B718" s="300" t="s">
        <v>926</v>
      </c>
      <c r="C718" s="300" t="s">
        <v>3148</v>
      </c>
      <c r="D718" s="300" t="s">
        <v>3149</v>
      </c>
      <c r="E718" s="300" t="s">
        <v>928</v>
      </c>
      <c r="F718" s="300" t="s">
        <v>3146</v>
      </c>
      <c r="G718" s="300" t="s">
        <v>3147</v>
      </c>
      <c r="H718" s="300" t="s">
        <v>2962</v>
      </c>
      <c r="I718" s="300" t="s">
        <v>446</v>
      </c>
    </row>
    <row r="719" spans="2:9" ht="14.5">
      <c r="B719" s="300" t="s">
        <v>926</v>
      </c>
      <c r="C719" s="300" t="s">
        <v>3150</v>
      </c>
      <c r="D719" s="300" t="s">
        <v>3151</v>
      </c>
      <c r="E719" s="300" t="s">
        <v>928</v>
      </c>
      <c r="F719" s="300" t="s">
        <v>3152</v>
      </c>
      <c r="G719" s="300" t="s">
        <v>3153</v>
      </c>
      <c r="H719" s="300" t="s">
        <v>2962</v>
      </c>
      <c r="I719" s="300" t="s">
        <v>446</v>
      </c>
    </row>
    <row r="720" spans="2:9" ht="14.5">
      <c r="B720" s="300" t="s">
        <v>926</v>
      </c>
      <c r="C720" s="300" t="s">
        <v>3154</v>
      </c>
      <c r="D720" s="300" t="s">
        <v>3155</v>
      </c>
      <c r="E720" s="300" t="s">
        <v>928</v>
      </c>
      <c r="F720" s="378" t="s">
        <v>5181</v>
      </c>
      <c r="G720" s="300" t="s">
        <v>3156</v>
      </c>
      <c r="H720" s="300" t="s">
        <v>2962</v>
      </c>
      <c r="I720" s="300" t="s">
        <v>446</v>
      </c>
    </row>
    <row r="721" spans="2:9" ht="14.5">
      <c r="B721" s="300" t="s">
        <v>926</v>
      </c>
      <c r="C721" s="300" t="s">
        <v>3157</v>
      </c>
      <c r="D721" s="300" t="s">
        <v>3158</v>
      </c>
      <c r="E721" s="300" t="s">
        <v>928</v>
      </c>
      <c r="F721" s="300" t="s">
        <v>3159</v>
      </c>
      <c r="G721" s="300" t="s">
        <v>3160</v>
      </c>
      <c r="H721" s="300" t="s">
        <v>2962</v>
      </c>
      <c r="I721" s="300" t="s">
        <v>446</v>
      </c>
    </row>
    <row r="722" spans="2:9" ht="14.5">
      <c r="B722" s="300" t="s">
        <v>926</v>
      </c>
      <c r="C722" s="300" t="s">
        <v>3161</v>
      </c>
      <c r="D722" s="300" t="s">
        <v>3162</v>
      </c>
      <c r="E722" s="300" t="s">
        <v>928</v>
      </c>
      <c r="F722" s="300" t="s">
        <v>3159</v>
      </c>
      <c r="G722" s="300" t="s">
        <v>3160</v>
      </c>
      <c r="H722" s="300" t="s">
        <v>2962</v>
      </c>
      <c r="I722" s="300" t="s">
        <v>446</v>
      </c>
    </row>
    <row r="723" spans="2:9" ht="14.5">
      <c r="B723" s="300" t="s">
        <v>926</v>
      </c>
      <c r="C723" s="300" t="s">
        <v>3163</v>
      </c>
      <c r="D723" s="300" t="s">
        <v>3164</v>
      </c>
      <c r="E723" s="300" t="s">
        <v>928</v>
      </c>
      <c r="F723" s="300" t="s">
        <v>3165</v>
      </c>
      <c r="G723" s="300" t="s">
        <v>3166</v>
      </c>
      <c r="H723" s="300" t="s">
        <v>2962</v>
      </c>
      <c r="I723" s="300" t="s">
        <v>446</v>
      </c>
    </row>
    <row r="724" spans="2:9" ht="14.5">
      <c r="B724" s="300" t="s">
        <v>926</v>
      </c>
      <c r="C724" s="300" t="s">
        <v>3167</v>
      </c>
      <c r="D724" s="300" t="s">
        <v>3168</v>
      </c>
      <c r="E724" s="300" t="s">
        <v>928</v>
      </c>
      <c r="F724" s="300" t="s">
        <v>3159</v>
      </c>
      <c r="G724" s="300" t="s">
        <v>3160</v>
      </c>
      <c r="H724" s="300" t="s">
        <v>2962</v>
      </c>
      <c r="I724" s="300" t="s">
        <v>446</v>
      </c>
    </row>
    <row r="725" spans="2:9" ht="14.5">
      <c r="B725" s="300" t="s">
        <v>926</v>
      </c>
      <c r="C725" s="300" t="s">
        <v>3169</v>
      </c>
      <c r="D725" s="300" t="s">
        <v>3170</v>
      </c>
      <c r="E725" s="300" t="s">
        <v>928</v>
      </c>
      <c r="F725" s="300" t="s">
        <v>3159</v>
      </c>
      <c r="G725" s="300" t="s">
        <v>3160</v>
      </c>
      <c r="H725" s="300" t="s">
        <v>2962</v>
      </c>
      <c r="I725" s="300" t="s">
        <v>446</v>
      </c>
    </row>
    <row r="726" spans="2:9" ht="14.5">
      <c r="B726" s="300" t="s">
        <v>926</v>
      </c>
      <c r="C726" s="300" t="s">
        <v>3171</v>
      </c>
      <c r="D726" s="300" t="s">
        <v>3172</v>
      </c>
      <c r="E726" s="300" t="s">
        <v>928</v>
      </c>
      <c r="F726" s="378" t="s">
        <v>5182</v>
      </c>
      <c r="G726" s="300" t="s">
        <v>3173</v>
      </c>
      <c r="H726" s="300" t="s">
        <v>2962</v>
      </c>
      <c r="I726" s="300" t="s">
        <v>446</v>
      </c>
    </row>
    <row r="727" spans="2:9" ht="14.5">
      <c r="B727" s="300" t="s">
        <v>926</v>
      </c>
      <c r="C727" s="300" t="s">
        <v>3174</v>
      </c>
      <c r="D727" s="300" t="s">
        <v>3175</v>
      </c>
      <c r="E727" s="300" t="s">
        <v>928</v>
      </c>
      <c r="F727" s="300" t="s">
        <v>3176</v>
      </c>
      <c r="G727" s="300" t="s">
        <v>3177</v>
      </c>
      <c r="H727" s="300" t="s">
        <v>2962</v>
      </c>
      <c r="I727" s="300" t="s">
        <v>446</v>
      </c>
    </row>
    <row r="728" spans="2:9" ht="14.5">
      <c r="B728" s="300" t="s">
        <v>926</v>
      </c>
      <c r="C728" s="300" t="s">
        <v>3178</v>
      </c>
      <c r="D728" s="300" t="s">
        <v>3179</v>
      </c>
      <c r="E728" s="300" t="s">
        <v>928</v>
      </c>
      <c r="F728" s="300" t="s">
        <v>3180</v>
      </c>
      <c r="G728" s="300" t="s">
        <v>3181</v>
      </c>
      <c r="H728" s="300" t="s">
        <v>2962</v>
      </c>
      <c r="I728" s="300" t="s">
        <v>446</v>
      </c>
    </row>
    <row r="729" spans="2:9" ht="14.5">
      <c r="B729" s="300" t="s">
        <v>926</v>
      </c>
      <c r="C729" s="300" t="s">
        <v>3182</v>
      </c>
      <c r="D729" s="300" t="s">
        <v>3183</v>
      </c>
      <c r="E729" s="300" t="s">
        <v>928</v>
      </c>
      <c r="F729" s="378" t="s">
        <v>5182</v>
      </c>
      <c r="G729" s="300" t="s">
        <v>3173</v>
      </c>
      <c r="H729" s="300" t="s">
        <v>2962</v>
      </c>
      <c r="I729" s="300" t="s">
        <v>446</v>
      </c>
    </row>
    <row r="730" spans="2:9" ht="14.5">
      <c r="B730" s="300" t="s">
        <v>926</v>
      </c>
      <c r="C730" s="300" t="s">
        <v>3184</v>
      </c>
      <c r="D730" s="300" t="s">
        <v>3185</v>
      </c>
      <c r="E730" s="300" t="s">
        <v>928</v>
      </c>
      <c r="F730" s="300" t="s">
        <v>3186</v>
      </c>
      <c r="G730" s="300" t="s">
        <v>3187</v>
      </c>
      <c r="H730" s="300" t="s">
        <v>2962</v>
      </c>
      <c r="I730" s="300" t="s">
        <v>446</v>
      </c>
    </row>
    <row r="731" spans="2:9" ht="14.5">
      <c r="B731" s="300" t="s">
        <v>926</v>
      </c>
      <c r="C731" s="300" t="s">
        <v>3188</v>
      </c>
      <c r="D731" s="300" t="s">
        <v>3189</v>
      </c>
      <c r="E731" s="300" t="s">
        <v>928</v>
      </c>
      <c r="F731" s="300" t="s">
        <v>3190</v>
      </c>
      <c r="G731" s="300" t="s">
        <v>3191</v>
      </c>
      <c r="H731" s="300" t="s">
        <v>2962</v>
      </c>
      <c r="I731" s="300" t="s">
        <v>446</v>
      </c>
    </row>
    <row r="732" spans="2:9" ht="14.5">
      <c r="B732" s="300" t="s">
        <v>926</v>
      </c>
      <c r="C732" s="300" t="s">
        <v>3192</v>
      </c>
      <c r="D732" s="300" t="s">
        <v>3193</v>
      </c>
      <c r="E732" s="300" t="s">
        <v>928</v>
      </c>
      <c r="F732" s="300" t="s">
        <v>3194</v>
      </c>
      <c r="G732" s="300" t="s">
        <v>3195</v>
      </c>
      <c r="H732" s="300" t="s">
        <v>2962</v>
      </c>
      <c r="I732" s="300" t="s">
        <v>446</v>
      </c>
    </row>
    <row r="733" spans="2:9" ht="14.5">
      <c r="B733" s="300" t="s">
        <v>926</v>
      </c>
      <c r="C733" s="300" t="s">
        <v>3196</v>
      </c>
      <c r="D733" s="300" t="s">
        <v>3197</v>
      </c>
      <c r="E733" s="300" t="s">
        <v>928</v>
      </c>
      <c r="F733" s="300" t="s">
        <v>3194</v>
      </c>
      <c r="G733" s="300" t="s">
        <v>3195</v>
      </c>
      <c r="H733" s="300" t="s">
        <v>2962</v>
      </c>
      <c r="I733" s="300" t="s">
        <v>446</v>
      </c>
    </row>
    <row r="734" spans="2:9" ht="14.5">
      <c r="B734" s="300" t="s">
        <v>926</v>
      </c>
      <c r="C734" s="300" t="s">
        <v>3198</v>
      </c>
      <c r="D734" s="300" t="s">
        <v>3199</v>
      </c>
      <c r="E734" s="300" t="s">
        <v>928</v>
      </c>
      <c r="F734" s="378" t="s">
        <v>5183</v>
      </c>
      <c r="G734" s="300" t="s">
        <v>3200</v>
      </c>
      <c r="H734" s="300" t="s">
        <v>2962</v>
      </c>
      <c r="I734" s="300" t="s">
        <v>446</v>
      </c>
    </row>
    <row r="735" spans="2:9" ht="14.5">
      <c r="B735" s="300" t="s">
        <v>926</v>
      </c>
      <c r="C735" s="300" t="s">
        <v>3201</v>
      </c>
      <c r="D735" s="300" t="s">
        <v>3202</v>
      </c>
      <c r="E735" s="300" t="s">
        <v>928</v>
      </c>
      <c r="F735" s="300" t="s">
        <v>3203</v>
      </c>
      <c r="G735" s="300" t="s">
        <v>3204</v>
      </c>
      <c r="H735" s="300" t="s">
        <v>2962</v>
      </c>
      <c r="I735" s="300" t="s">
        <v>446</v>
      </c>
    </row>
    <row r="736" spans="2:9" ht="14.5">
      <c r="B736" s="300" t="s">
        <v>926</v>
      </c>
      <c r="C736" s="300" t="s">
        <v>3205</v>
      </c>
      <c r="D736" s="300" t="s">
        <v>3199</v>
      </c>
      <c r="E736" s="300" t="s">
        <v>928</v>
      </c>
      <c r="F736" s="300" t="s">
        <v>3203</v>
      </c>
      <c r="G736" s="300" t="s">
        <v>3204</v>
      </c>
      <c r="H736" s="300" t="s">
        <v>2962</v>
      </c>
      <c r="I736" s="300" t="s">
        <v>446</v>
      </c>
    </row>
    <row r="737" spans="2:9" ht="14.5">
      <c r="B737" s="300" t="s">
        <v>926</v>
      </c>
      <c r="C737" s="300" t="s">
        <v>3206</v>
      </c>
      <c r="D737" s="300" t="s">
        <v>3207</v>
      </c>
      <c r="E737" s="300" t="s">
        <v>928</v>
      </c>
      <c r="F737" s="300" t="s">
        <v>3203</v>
      </c>
      <c r="G737" s="300" t="s">
        <v>3204</v>
      </c>
      <c r="H737" s="300" t="s">
        <v>2962</v>
      </c>
      <c r="I737" s="300" t="s">
        <v>446</v>
      </c>
    </row>
    <row r="738" spans="2:9" ht="14.5">
      <c r="B738" s="300" t="s">
        <v>926</v>
      </c>
      <c r="C738" s="300" t="s">
        <v>3208</v>
      </c>
      <c r="D738" s="300" t="s">
        <v>3209</v>
      </c>
      <c r="E738" s="300" t="s">
        <v>928</v>
      </c>
      <c r="F738" s="378" t="s">
        <v>5184</v>
      </c>
      <c r="G738" s="300" t="s">
        <v>3210</v>
      </c>
      <c r="H738" s="300" t="s">
        <v>2962</v>
      </c>
      <c r="I738" s="300" t="s">
        <v>446</v>
      </c>
    </row>
    <row r="739" spans="2:9" ht="14.5">
      <c r="B739" s="300" t="s">
        <v>926</v>
      </c>
      <c r="C739" s="300" t="s">
        <v>3211</v>
      </c>
      <c r="D739" s="300" t="s">
        <v>3212</v>
      </c>
      <c r="E739" s="300" t="s">
        <v>928</v>
      </c>
      <c r="F739" s="300" t="s">
        <v>3213</v>
      </c>
      <c r="G739" s="300" t="s">
        <v>3214</v>
      </c>
      <c r="H739" s="300" t="s">
        <v>2962</v>
      </c>
      <c r="I739" s="300" t="s">
        <v>446</v>
      </c>
    </row>
    <row r="740" spans="2:9" ht="14.5">
      <c r="B740" s="300" t="s">
        <v>926</v>
      </c>
      <c r="C740" s="300" t="s">
        <v>3215</v>
      </c>
      <c r="D740" s="300" t="s">
        <v>3216</v>
      </c>
      <c r="E740" s="300" t="s">
        <v>928</v>
      </c>
      <c r="F740" s="300" t="s">
        <v>3217</v>
      </c>
      <c r="G740" s="300" t="s">
        <v>3218</v>
      </c>
      <c r="H740" s="300" t="s">
        <v>2962</v>
      </c>
      <c r="I740" s="300" t="s">
        <v>446</v>
      </c>
    </row>
    <row r="741" spans="2:9" ht="14.5">
      <c r="B741" s="300" t="s">
        <v>926</v>
      </c>
      <c r="C741" s="300" t="s">
        <v>3219</v>
      </c>
      <c r="D741" s="300" t="s">
        <v>3220</v>
      </c>
      <c r="E741" s="300" t="s">
        <v>928</v>
      </c>
      <c r="F741" s="378" t="s">
        <v>5184</v>
      </c>
      <c r="G741" s="300" t="s">
        <v>3210</v>
      </c>
      <c r="H741" s="300" t="s">
        <v>2962</v>
      </c>
      <c r="I741" s="300" t="s">
        <v>446</v>
      </c>
    </row>
    <row r="742" spans="2:9" ht="14.5">
      <c r="B742" s="300" t="s">
        <v>926</v>
      </c>
      <c r="C742" s="300" t="s">
        <v>3221</v>
      </c>
      <c r="D742" s="300" t="s">
        <v>3222</v>
      </c>
      <c r="E742" s="300" t="s">
        <v>928</v>
      </c>
      <c r="F742" s="300" t="s">
        <v>3223</v>
      </c>
      <c r="G742" s="300" t="s">
        <v>3224</v>
      </c>
      <c r="H742" s="300" t="s">
        <v>2962</v>
      </c>
      <c r="I742" s="300" t="s">
        <v>446</v>
      </c>
    </row>
    <row r="743" spans="2:9" ht="14.5">
      <c r="B743" s="300" t="s">
        <v>926</v>
      </c>
      <c r="C743" s="300" t="s">
        <v>3225</v>
      </c>
      <c r="D743" s="300" t="s">
        <v>3226</v>
      </c>
      <c r="E743" s="300" t="s">
        <v>928</v>
      </c>
      <c r="F743" s="378" t="s">
        <v>5185</v>
      </c>
      <c r="G743" s="300" t="s">
        <v>3227</v>
      </c>
      <c r="H743" s="300" t="s">
        <v>2962</v>
      </c>
      <c r="I743" s="300" t="s">
        <v>446</v>
      </c>
    </row>
    <row r="744" spans="2:9" ht="14.5">
      <c r="B744" s="300" t="s">
        <v>926</v>
      </c>
      <c r="C744" s="300" t="s">
        <v>3228</v>
      </c>
      <c r="D744" s="300" t="s">
        <v>3229</v>
      </c>
      <c r="E744" s="300" t="s">
        <v>928</v>
      </c>
      <c r="F744" s="300" t="s">
        <v>3230</v>
      </c>
      <c r="G744" s="300" t="s">
        <v>3231</v>
      </c>
      <c r="H744" s="300" t="s">
        <v>2962</v>
      </c>
      <c r="I744" s="300" t="s">
        <v>446</v>
      </c>
    </row>
    <row r="745" spans="2:9" ht="14.5">
      <c r="B745" s="300" t="s">
        <v>926</v>
      </c>
      <c r="C745" s="300" t="s">
        <v>3232</v>
      </c>
      <c r="D745" s="300" t="s">
        <v>3233</v>
      </c>
      <c r="E745" s="300" t="s">
        <v>928</v>
      </c>
      <c r="F745" s="300" t="s">
        <v>3230</v>
      </c>
      <c r="G745" s="300" t="s">
        <v>3231</v>
      </c>
      <c r="H745" s="300" t="s">
        <v>2962</v>
      </c>
      <c r="I745" s="300" t="s">
        <v>446</v>
      </c>
    </row>
    <row r="746" spans="2:9" ht="14.5">
      <c r="B746" s="300" t="s">
        <v>926</v>
      </c>
      <c r="C746" s="300" t="s">
        <v>3234</v>
      </c>
      <c r="D746" s="300" t="s">
        <v>3235</v>
      </c>
      <c r="E746" s="300" t="s">
        <v>928</v>
      </c>
      <c r="F746" s="300" t="s">
        <v>3236</v>
      </c>
      <c r="G746" s="300" t="s">
        <v>3237</v>
      </c>
      <c r="H746" s="300" t="s">
        <v>2962</v>
      </c>
      <c r="I746" s="300" t="s">
        <v>446</v>
      </c>
    </row>
    <row r="747" spans="2:9" ht="14.5">
      <c r="B747" s="300" t="s">
        <v>926</v>
      </c>
      <c r="C747" s="300" t="s">
        <v>3238</v>
      </c>
      <c r="D747" s="300" t="s">
        <v>3239</v>
      </c>
      <c r="E747" s="300" t="s">
        <v>928</v>
      </c>
      <c r="F747" s="300" t="s">
        <v>3240</v>
      </c>
      <c r="G747" s="300" t="s">
        <v>3241</v>
      </c>
      <c r="H747" s="300" t="s">
        <v>2962</v>
      </c>
      <c r="I747" s="300" t="s">
        <v>446</v>
      </c>
    </row>
    <row r="748" spans="2:9" ht="14.5">
      <c r="B748" s="300" t="s">
        <v>926</v>
      </c>
      <c r="C748" s="300" t="s">
        <v>3242</v>
      </c>
      <c r="D748" s="300" t="s">
        <v>3243</v>
      </c>
      <c r="E748" s="300" t="s">
        <v>928</v>
      </c>
      <c r="F748" s="300" t="s">
        <v>3180</v>
      </c>
      <c r="G748" s="300" t="s">
        <v>3181</v>
      </c>
      <c r="H748" s="300" t="s">
        <v>2962</v>
      </c>
      <c r="I748" s="300" t="s">
        <v>446</v>
      </c>
    </row>
    <row r="749" spans="2:9" ht="14.5">
      <c r="B749" s="300" t="s">
        <v>926</v>
      </c>
      <c r="C749" s="300" t="s">
        <v>3244</v>
      </c>
      <c r="D749" s="300" t="s">
        <v>3245</v>
      </c>
      <c r="E749" s="300" t="s">
        <v>928</v>
      </c>
      <c r="F749" s="378" t="s">
        <v>5186</v>
      </c>
      <c r="G749" s="300" t="s">
        <v>3246</v>
      </c>
      <c r="H749" s="300" t="s">
        <v>2962</v>
      </c>
      <c r="I749" s="300" t="s">
        <v>446</v>
      </c>
    </row>
    <row r="750" spans="2:9" ht="14.5">
      <c r="B750" s="300" t="s">
        <v>926</v>
      </c>
      <c r="C750" s="300" t="s">
        <v>3247</v>
      </c>
      <c r="D750" s="300" t="s">
        <v>3248</v>
      </c>
      <c r="E750" s="300" t="s">
        <v>928</v>
      </c>
      <c r="F750" s="300" t="s">
        <v>3249</v>
      </c>
      <c r="G750" s="300" t="s">
        <v>3250</v>
      </c>
      <c r="H750" s="300" t="s">
        <v>2962</v>
      </c>
      <c r="I750" s="300" t="s">
        <v>446</v>
      </c>
    </row>
    <row r="751" spans="2:9" ht="14.5">
      <c r="B751" s="300" t="s">
        <v>926</v>
      </c>
      <c r="C751" s="300" t="s">
        <v>3251</v>
      </c>
      <c r="D751" s="300" t="s">
        <v>3252</v>
      </c>
      <c r="E751" s="300" t="s">
        <v>928</v>
      </c>
      <c r="F751" s="300" t="s">
        <v>3253</v>
      </c>
      <c r="G751" s="300" t="s">
        <v>3254</v>
      </c>
      <c r="H751" s="300" t="s">
        <v>2962</v>
      </c>
      <c r="I751" s="300" t="s">
        <v>446</v>
      </c>
    </row>
    <row r="752" spans="2:9" ht="14.5">
      <c r="B752" s="300" t="s">
        <v>926</v>
      </c>
      <c r="C752" s="300" t="s">
        <v>3255</v>
      </c>
      <c r="D752" s="300" t="s">
        <v>3256</v>
      </c>
      <c r="E752" s="300" t="s">
        <v>928</v>
      </c>
      <c r="F752" s="300" t="s">
        <v>3257</v>
      </c>
      <c r="G752" s="300" t="s">
        <v>3258</v>
      </c>
      <c r="H752" s="300" t="s">
        <v>2962</v>
      </c>
      <c r="I752" s="300" t="s">
        <v>446</v>
      </c>
    </row>
    <row r="753" spans="2:9" ht="14.5">
      <c r="B753" s="300" t="s">
        <v>926</v>
      </c>
      <c r="C753" s="300" t="s">
        <v>3259</v>
      </c>
      <c r="D753" s="300" t="s">
        <v>3260</v>
      </c>
      <c r="E753" s="300" t="s">
        <v>928</v>
      </c>
      <c r="F753" s="300" t="s">
        <v>3257</v>
      </c>
      <c r="G753" s="300" t="s">
        <v>3258</v>
      </c>
      <c r="H753" s="300" t="s">
        <v>2962</v>
      </c>
      <c r="I753" s="300" t="s">
        <v>446</v>
      </c>
    </row>
    <row r="754" spans="2:9" ht="14.5">
      <c r="B754" s="300" t="s">
        <v>926</v>
      </c>
      <c r="C754" s="300" t="s">
        <v>3261</v>
      </c>
      <c r="D754" s="300" t="s">
        <v>3262</v>
      </c>
      <c r="E754" s="300" t="s">
        <v>928</v>
      </c>
      <c r="F754" s="300" t="s">
        <v>3263</v>
      </c>
      <c r="G754" s="300" t="s">
        <v>3264</v>
      </c>
      <c r="H754" s="300" t="s">
        <v>2962</v>
      </c>
      <c r="I754" s="300" t="s">
        <v>446</v>
      </c>
    </row>
    <row r="755" spans="2:9" ht="14.5">
      <c r="B755" s="300" t="s">
        <v>926</v>
      </c>
      <c r="C755" s="300" t="s">
        <v>3265</v>
      </c>
      <c r="D755" s="300" t="s">
        <v>3266</v>
      </c>
      <c r="E755" s="300" t="s">
        <v>928</v>
      </c>
      <c r="F755" s="378" t="s">
        <v>5187</v>
      </c>
      <c r="G755" s="300" t="s">
        <v>3267</v>
      </c>
      <c r="H755" s="300" t="s">
        <v>2962</v>
      </c>
      <c r="I755" s="300" t="s">
        <v>446</v>
      </c>
    </row>
    <row r="756" spans="2:9" ht="14.5">
      <c r="B756" s="300" t="s">
        <v>926</v>
      </c>
      <c r="C756" s="300" t="s">
        <v>3268</v>
      </c>
      <c r="D756" s="300" t="s">
        <v>3269</v>
      </c>
      <c r="E756" s="300" t="s">
        <v>928</v>
      </c>
      <c r="F756" s="378" t="s">
        <v>5188</v>
      </c>
      <c r="G756" s="300" t="s">
        <v>3270</v>
      </c>
      <c r="H756" s="300" t="s">
        <v>2962</v>
      </c>
      <c r="I756" s="300" t="s">
        <v>446</v>
      </c>
    </row>
    <row r="757" spans="2:9" ht="14.5">
      <c r="B757" s="300" t="s">
        <v>926</v>
      </c>
      <c r="C757" s="300" t="s">
        <v>3271</v>
      </c>
      <c r="D757" s="300" t="s">
        <v>3272</v>
      </c>
      <c r="E757" s="300" t="s">
        <v>928</v>
      </c>
      <c r="F757" s="300" t="s">
        <v>3273</v>
      </c>
      <c r="G757" s="300" t="s">
        <v>3274</v>
      </c>
      <c r="H757" s="300" t="s">
        <v>2962</v>
      </c>
      <c r="I757" s="300" t="s">
        <v>446</v>
      </c>
    </row>
    <row r="758" spans="2:9" ht="14.5">
      <c r="B758" s="300" t="s">
        <v>926</v>
      </c>
      <c r="C758" s="300" t="s">
        <v>3275</v>
      </c>
      <c r="D758" s="300" t="s">
        <v>3276</v>
      </c>
      <c r="E758" s="300" t="s">
        <v>928</v>
      </c>
      <c r="F758" s="300" t="s">
        <v>3277</v>
      </c>
      <c r="G758" s="300" t="s">
        <v>3278</v>
      </c>
      <c r="H758" s="300" t="s">
        <v>2962</v>
      </c>
      <c r="I758" s="300" t="s">
        <v>446</v>
      </c>
    </row>
    <row r="759" spans="2:9" ht="14.5">
      <c r="B759" s="300" t="s">
        <v>926</v>
      </c>
      <c r="C759" s="300" t="s">
        <v>3279</v>
      </c>
      <c r="D759" s="300" t="s">
        <v>3280</v>
      </c>
      <c r="E759" s="300" t="s">
        <v>928</v>
      </c>
      <c r="F759" s="300" t="s">
        <v>3277</v>
      </c>
      <c r="G759" s="300" t="s">
        <v>3278</v>
      </c>
      <c r="H759" s="300" t="s">
        <v>2962</v>
      </c>
      <c r="I759" s="300" t="s">
        <v>446</v>
      </c>
    </row>
    <row r="760" spans="2:9" ht="14.5">
      <c r="B760" s="300" t="s">
        <v>926</v>
      </c>
      <c r="C760" s="300" t="s">
        <v>3281</v>
      </c>
      <c r="D760" s="300" t="s">
        <v>3282</v>
      </c>
      <c r="E760" s="300" t="s">
        <v>928</v>
      </c>
      <c r="F760" s="300" t="s">
        <v>3277</v>
      </c>
      <c r="G760" s="300" t="s">
        <v>3278</v>
      </c>
      <c r="H760" s="300" t="s">
        <v>2962</v>
      </c>
      <c r="I760" s="300" t="s">
        <v>446</v>
      </c>
    </row>
    <row r="761" spans="2:9" ht="14.5">
      <c r="B761" s="300" t="s">
        <v>926</v>
      </c>
      <c r="C761" s="300" t="s">
        <v>3283</v>
      </c>
      <c r="D761" s="300" t="s">
        <v>3284</v>
      </c>
      <c r="E761" s="300" t="s">
        <v>928</v>
      </c>
      <c r="F761" s="378" t="s">
        <v>5189</v>
      </c>
      <c r="G761" s="300" t="s">
        <v>3285</v>
      </c>
      <c r="H761" s="300" t="s">
        <v>2962</v>
      </c>
      <c r="I761" s="300" t="s">
        <v>446</v>
      </c>
    </row>
    <row r="762" spans="2:9" ht="14.5">
      <c r="B762" s="300" t="s">
        <v>926</v>
      </c>
      <c r="C762" s="300" t="s">
        <v>3286</v>
      </c>
      <c r="D762" s="300" t="s">
        <v>3287</v>
      </c>
      <c r="E762" s="300" t="s">
        <v>928</v>
      </c>
      <c r="F762" s="378" t="s">
        <v>3288</v>
      </c>
      <c r="G762" s="300" t="s">
        <v>3289</v>
      </c>
      <c r="H762" s="300" t="s">
        <v>2962</v>
      </c>
      <c r="I762" s="300" t="s">
        <v>446</v>
      </c>
    </row>
    <row r="763" spans="2:9" ht="14.5">
      <c r="B763" s="300" t="s">
        <v>926</v>
      </c>
      <c r="C763" s="300" t="s">
        <v>3290</v>
      </c>
      <c r="D763" s="300" t="s">
        <v>3291</v>
      </c>
      <c r="E763" s="300" t="s">
        <v>928</v>
      </c>
      <c r="F763" s="300" t="s">
        <v>3292</v>
      </c>
      <c r="G763" s="300" t="s">
        <v>3293</v>
      </c>
      <c r="H763" s="300" t="s">
        <v>2962</v>
      </c>
      <c r="I763" s="300" t="s">
        <v>446</v>
      </c>
    </row>
    <row r="764" spans="2:9" ht="14.5">
      <c r="B764" s="300" t="s">
        <v>926</v>
      </c>
      <c r="C764" s="300" t="s">
        <v>3294</v>
      </c>
      <c r="D764" s="300" t="s">
        <v>3295</v>
      </c>
      <c r="E764" s="300" t="s">
        <v>928</v>
      </c>
      <c r="F764" s="300" t="s">
        <v>3288</v>
      </c>
      <c r="G764" s="300" t="s">
        <v>3289</v>
      </c>
      <c r="H764" s="300" t="s">
        <v>2962</v>
      </c>
      <c r="I764" s="300" t="s">
        <v>446</v>
      </c>
    </row>
    <row r="765" spans="2:9" ht="14.5">
      <c r="B765" s="300" t="s">
        <v>926</v>
      </c>
      <c r="C765" s="300" t="s">
        <v>3296</v>
      </c>
      <c r="D765" s="300" t="s">
        <v>3297</v>
      </c>
      <c r="E765" s="300" t="s">
        <v>928</v>
      </c>
      <c r="F765" s="300" t="s">
        <v>3288</v>
      </c>
      <c r="G765" s="300" t="s">
        <v>3289</v>
      </c>
      <c r="H765" s="300" t="s">
        <v>2962</v>
      </c>
      <c r="I765" s="300" t="s">
        <v>446</v>
      </c>
    </row>
    <row r="766" spans="2:9" ht="14.5">
      <c r="B766" s="300" t="s">
        <v>926</v>
      </c>
      <c r="C766" s="300" t="s">
        <v>3298</v>
      </c>
      <c r="D766" s="300" t="s">
        <v>3299</v>
      </c>
      <c r="E766" s="300" t="s">
        <v>928</v>
      </c>
      <c r="F766" s="378" t="s">
        <v>5190</v>
      </c>
      <c r="G766" s="300" t="s">
        <v>3300</v>
      </c>
      <c r="H766" s="300" t="s">
        <v>2962</v>
      </c>
      <c r="I766" s="300" t="s">
        <v>446</v>
      </c>
    </row>
    <row r="767" spans="2:9" ht="14.5">
      <c r="B767" s="300" t="s">
        <v>926</v>
      </c>
      <c r="C767" s="300" t="s">
        <v>3301</v>
      </c>
      <c r="D767" s="300" t="s">
        <v>3302</v>
      </c>
      <c r="E767" s="300" t="s">
        <v>928</v>
      </c>
      <c r="F767" s="300" t="s">
        <v>3303</v>
      </c>
      <c r="G767" s="300" t="s">
        <v>3304</v>
      </c>
      <c r="H767" s="300" t="s">
        <v>2962</v>
      </c>
      <c r="I767" s="300" t="s">
        <v>446</v>
      </c>
    </row>
    <row r="768" spans="2:9" ht="14.5">
      <c r="B768" s="300" t="s">
        <v>926</v>
      </c>
      <c r="C768" s="300" t="s">
        <v>3305</v>
      </c>
      <c r="D768" s="300" t="s">
        <v>3306</v>
      </c>
      <c r="E768" s="300" t="s">
        <v>928</v>
      </c>
      <c r="F768" s="300" t="s">
        <v>3307</v>
      </c>
      <c r="G768" s="300" t="s">
        <v>3308</v>
      </c>
      <c r="H768" s="300" t="s">
        <v>2962</v>
      </c>
      <c r="I768" s="300" t="s">
        <v>446</v>
      </c>
    </row>
    <row r="769" spans="2:9" ht="14.5">
      <c r="B769" s="300" t="s">
        <v>926</v>
      </c>
      <c r="C769" s="300" t="s">
        <v>3309</v>
      </c>
      <c r="D769" s="300" t="s">
        <v>3310</v>
      </c>
      <c r="E769" s="300" t="s">
        <v>928</v>
      </c>
      <c r="F769" s="300" t="s">
        <v>3311</v>
      </c>
      <c r="G769" s="300" t="s">
        <v>3312</v>
      </c>
      <c r="H769" s="300" t="s">
        <v>2962</v>
      </c>
      <c r="I769" s="300" t="s">
        <v>446</v>
      </c>
    </row>
    <row r="770" spans="2:9" ht="14.5">
      <c r="B770" s="300" t="s">
        <v>926</v>
      </c>
      <c r="C770" s="300" t="s">
        <v>3313</v>
      </c>
      <c r="D770" s="300" t="s">
        <v>3314</v>
      </c>
      <c r="E770" s="300" t="s">
        <v>928</v>
      </c>
      <c r="F770" s="300" t="s">
        <v>3315</v>
      </c>
      <c r="G770" s="300" t="s">
        <v>3316</v>
      </c>
      <c r="H770" s="300" t="s">
        <v>2962</v>
      </c>
      <c r="I770" s="300" t="s">
        <v>446</v>
      </c>
    </row>
    <row r="771" spans="2:9" ht="14.5">
      <c r="B771" s="300" t="s">
        <v>926</v>
      </c>
      <c r="C771" s="300" t="s">
        <v>3317</v>
      </c>
      <c r="D771" s="300" t="s">
        <v>3318</v>
      </c>
      <c r="E771" s="300" t="s">
        <v>928</v>
      </c>
      <c r="F771" s="300" t="s">
        <v>3315</v>
      </c>
      <c r="G771" s="300" t="s">
        <v>3316</v>
      </c>
      <c r="H771" s="300" t="s">
        <v>2962</v>
      </c>
      <c r="I771" s="300" t="s">
        <v>446</v>
      </c>
    </row>
    <row r="772" spans="2:9" ht="14.5">
      <c r="B772" s="300" t="s">
        <v>926</v>
      </c>
      <c r="C772" s="300" t="s">
        <v>3319</v>
      </c>
      <c r="D772" s="300" t="s">
        <v>3320</v>
      </c>
      <c r="E772" s="300" t="s">
        <v>928</v>
      </c>
      <c r="F772" s="300" t="s">
        <v>3321</v>
      </c>
      <c r="G772" s="300" t="s">
        <v>3322</v>
      </c>
      <c r="H772" s="300" t="s">
        <v>2962</v>
      </c>
      <c r="I772" s="300" t="s">
        <v>446</v>
      </c>
    </row>
    <row r="773" spans="2:9" ht="14.5">
      <c r="B773" s="300" t="s">
        <v>926</v>
      </c>
      <c r="C773" s="300" t="s">
        <v>3323</v>
      </c>
      <c r="D773" s="300" t="s">
        <v>3324</v>
      </c>
      <c r="E773" s="300" t="s">
        <v>928</v>
      </c>
      <c r="F773" s="300" t="s">
        <v>3325</v>
      </c>
      <c r="G773" s="300" t="s">
        <v>3326</v>
      </c>
      <c r="H773" s="300" t="s">
        <v>2962</v>
      </c>
      <c r="I773" s="300" t="s">
        <v>446</v>
      </c>
    </row>
    <row r="774" spans="2:9" ht="14.5">
      <c r="B774" s="300" t="s">
        <v>926</v>
      </c>
      <c r="C774" s="300" t="s">
        <v>3327</v>
      </c>
      <c r="D774" s="300" t="s">
        <v>3328</v>
      </c>
      <c r="E774" s="300" t="s">
        <v>928</v>
      </c>
      <c r="F774" s="300" t="s">
        <v>3325</v>
      </c>
      <c r="G774" s="300" t="s">
        <v>3326</v>
      </c>
      <c r="H774" s="300" t="s">
        <v>2962</v>
      </c>
      <c r="I774" s="300" t="s">
        <v>446</v>
      </c>
    </row>
    <row r="775" spans="2:9" ht="14.5">
      <c r="B775" s="300" t="s">
        <v>926</v>
      </c>
      <c r="C775" s="300" t="s">
        <v>3329</v>
      </c>
      <c r="D775" s="300" t="s">
        <v>3330</v>
      </c>
      <c r="E775" s="300" t="s">
        <v>928</v>
      </c>
      <c r="F775" s="300" t="s">
        <v>3331</v>
      </c>
      <c r="G775" s="300" t="s">
        <v>3332</v>
      </c>
      <c r="H775" s="300" t="s">
        <v>2962</v>
      </c>
      <c r="I775" s="300" t="s">
        <v>446</v>
      </c>
    </row>
    <row r="776" spans="2:9" ht="14.5">
      <c r="B776" s="300" t="s">
        <v>926</v>
      </c>
      <c r="C776" s="300" t="s">
        <v>3333</v>
      </c>
      <c r="D776" s="300" t="s">
        <v>3334</v>
      </c>
      <c r="E776" s="300" t="s">
        <v>928</v>
      </c>
      <c r="F776" s="300" t="s">
        <v>3335</v>
      </c>
      <c r="G776" s="300" t="s">
        <v>3336</v>
      </c>
      <c r="H776" s="300" t="s">
        <v>2962</v>
      </c>
      <c r="I776" s="300" t="s">
        <v>446</v>
      </c>
    </row>
    <row r="777" spans="2:9" ht="14.5">
      <c r="B777" s="300" t="s">
        <v>926</v>
      </c>
      <c r="C777" s="300" t="s">
        <v>3337</v>
      </c>
      <c r="D777" s="300" t="s">
        <v>3338</v>
      </c>
      <c r="E777" s="300" t="s">
        <v>928</v>
      </c>
      <c r="F777" s="300" t="s">
        <v>3335</v>
      </c>
      <c r="G777" s="300" t="s">
        <v>3336</v>
      </c>
      <c r="H777" s="300" t="s">
        <v>2962</v>
      </c>
      <c r="I777" s="300" t="s">
        <v>446</v>
      </c>
    </row>
    <row r="778" spans="2:9" ht="14.5">
      <c r="B778" s="300" t="s">
        <v>926</v>
      </c>
      <c r="C778" s="300" t="s">
        <v>3339</v>
      </c>
      <c r="D778" s="300" t="s">
        <v>3340</v>
      </c>
      <c r="E778" s="300" t="s">
        <v>928</v>
      </c>
      <c r="F778" s="300" t="s">
        <v>3341</v>
      </c>
      <c r="G778" s="300" t="s">
        <v>3342</v>
      </c>
      <c r="H778" s="300" t="s">
        <v>2962</v>
      </c>
      <c r="I778" s="300" t="s">
        <v>446</v>
      </c>
    </row>
    <row r="779" spans="2:9" ht="14.5">
      <c r="B779" s="300" t="s">
        <v>926</v>
      </c>
      <c r="C779" s="300" t="s">
        <v>3343</v>
      </c>
      <c r="D779" s="300" t="s">
        <v>3344</v>
      </c>
      <c r="E779" s="300" t="s">
        <v>928</v>
      </c>
      <c r="F779" s="300" t="s">
        <v>3341</v>
      </c>
      <c r="G779" s="300" t="s">
        <v>3342</v>
      </c>
      <c r="H779" s="300" t="s">
        <v>2962</v>
      </c>
      <c r="I779" s="300" t="s">
        <v>446</v>
      </c>
    </row>
    <row r="780" spans="2:9" ht="14.5">
      <c r="B780" s="300" t="s">
        <v>926</v>
      </c>
      <c r="C780" s="300" t="s">
        <v>3345</v>
      </c>
      <c r="D780" s="300" t="s">
        <v>3346</v>
      </c>
      <c r="E780" s="300" t="s">
        <v>928</v>
      </c>
      <c r="F780" s="300" t="s">
        <v>2975</v>
      </c>
      <c r="G780" s="300" t="s">
        <v>2976</v>
      </c>
      <c r="H780" s="300" t="s">
        <v>2962</v>
      </c>
      <c r="I780" s="300" t="s">
        <v>446</v>
      </c>
    </row>
    <row r="781" spans="2:9" ht="14.5">
      <c r="B781" s="300" t="s">
        <v>926</v>
      </c>
      <c r="C781" s="300" t="s">
        <v>3347</v>
      </c>
      <c r="D781" s="300" t="s">
        <v>3348</v>
      </c>
      <c r="E781" s="300" t="s">
        <v>928</v>
      </c>
      <c r="F781" s="300" t="s">
        <v>2975</v>
      </c>
      <c r="G781" s="300" t="s">
        <v>2976</v>
      </c>
      <c r="H781" s="300" t="s">
        <v>2962</v>
      </c>
      <c r="I781" s="300" t="s">
        <v>446</v>
      </c>
    </row>
    <row r="782" spans="2:9" ht="14.5">
      <c r="B782" s="300" t="s">
        <v>926</v>
      </c>
      <c r="C782" s="300" t="s">
        <v>3349</v>
      </c>
      <c r="D782" s="300" t="s">
        <v>3350</v>
      </c>
      <c r="E782" s="300" t="s">
        <v>928</v>
      </c>
      <c r="F782" s="378" t="s">
        <v>5191</v>
      </c>
      <c r="G782" s="300" t="s">
        <v>3351</v>
      </c>
      <c r="H782" s="300" t="s">
        <v>2962</v>
      </c>
      <c r="I782" s="300" t="s">
        <v>446</v>
      </c>
    </row>
    <row r="783" spans="2:9" ht="14.5">
      <c r="B783" s="300" t="s">
        <v>926</v>
      </c>
      <c r="C783" s="300" t="s">
        <v>3352</v>
      </c>
      <c r="D783" s="300" t="s">
        <v>3353</v>
      </c>
      <c r="E783" s="300" t="s">
        <v>928</v>
      </c>
      <c r="F783" s="300" t="s">
        <v>3354</v>
      </c>
      <c r="G783" s="300" t="s">
        <v>3355</v>
      </c>
      <c r="H783" s="300" t="s">
        <v>2962</v>
      </c>
      <c r="I783" s="300" t="s">
        <v>446</v>
      </c>
    </row>
    <row r="784" spans="2:9" ht="14.5">
      <c r="B784" s="300" t="s">
        <v>926</v>
      </c>
      <c r="C784" s="300" t="s">
        <v>3356</v>
      </c>
      <c r="D784" s="300" t="s">
        <v>3357</v>
      </c>
      <c r="E784" s="300" t="s">
        <v>928</v>
      </c>
      <c r="F784" s="300" t="s">
        <v>3358</v>
      </c>
      <c r="G784" s="300" t="s">
        <v>3359</v>
      </c>
      <c r="H784" s="300" t="s">
        <v>2962</v>
      </c>
      <c r="I784" s="300" t="s">
        <v>446</v>
      </c>
    </row>
    <row r="785" spans="2:9" ht="14.5">
      <c r="B785" s="300" t="s">
        <v>926</v>
      </c>
      <c r="C785" s="300" t="s">
        <v>3360</v>
      </c>
      <c r="D785" s="300" t="s">
        <v>3361</v>
      </c>
      <c r="E785" s="300" t="s">
        <v>928</v>
      </c>
      <c r="F785" s="300" t="s">
        <v>3362</v>
      </c>
      <c r="G785" s="300" t="s">
        <v>3363</v>
      </c>
      <c r="H785" s="300" t="s">
        <v>2962</v>
      </c>
      <c r="I785" s="300" t="s">
        <v>446</v>
      </c>
    </row>
    <row r="786" spans="2:9" ht="14.5">
      <c r="B786" s="300" t="s">
        <v>926</v>
      </c>
      <c r="C786" s="300" t="s">
        <v>3364</v>
      </c>
      <c r="D786" s="300" t="s">
        <v>3365</v>
      </c>
      <c r="E786" s="300" t="s">
        <v>928</v>
      </c>
      <c r="F786" s="300" t="s">
        <v>2975</v>
      </c>
      <c r="G786" s="300" t="s">
        <v>2976</v>
      </c>
      <c r="H786" s="300" t="s">
        <v>2962</v>
      </c>
      <c r="I786" s="300" t="s">
        <v>446</v>
      </c>
    </row>
    <row r="787" spans="2:9" ht="14.5">
      <c r="B787" s="300" t="s">
        <v>926</v>
      </c>
      <c r="C787" s="300" t="s">
        <v>3366</v>
      </c>
      <c r="D787" s="300" t="s">
        <v>3367</v>
      </c>
      <c r="E787" s="300" t="s">
        <v>928</v>
      </c>
      <c r="F787" s="378" t="s">
        <v>5192</v>
      </c>
      <c r="G787" s="300" t="s">
        <v>3368</v>
      </c>
      <c r="H787" s="300" t="s">
        <v>3369</v>
      </c>
      <c r="I787" s="300" t="s">
        <v>446</v>
      </c>
    </row>
    <row r="788" spans="2:9" ht="14.5">
      <c r="B788" s="300" t="s">
        <v>926</v>
      </c>
      <c r="C788" s="300" t="s">
        <v>3370</v>
      </c>
      <c r="D788" s="300" t="s">
        <v>3371</v>
      </c>
      <c r="E788" s="300" t="s">
        <v>928</v>
      </c>
      <c r="F788" s="378" t="s">
        <v>5193</v>
      </c>
      <c r="G788" s="300" t="s">
        <v>3372</v>
      </c>
      <c r="H788" s="300" t="s">
        <v>3369</v>
      </c>
      <c r="I788" s="300" t="s">
        <v>446</v>
      </c>
    </row>
    <row r="789" spans="2:9" ht="14.5">
      <c r="B789" s="300" t="s">
        <v>926</v>
      </c>
      <c r="C789" s="300" t="s">
        <v>3373</v>
      </c>
      <c r="D789" s="300" t="s">
        <v>3374</v>
      </c>
      <c r="E789" s="300" t="s">
        <v>928</v>
      </c>
      <c r="F789" s="300" t="s">
        <v>3375</v>
      </c>
      <c r="G789" s="300" t="s">
        <v>3376</v>
      </c>
      <c r="H789" s="300" t="s">
        <v>3369</v>
      </c>
      <c r="I789" s="300" t="s">
        <v>446</v>
      </c>
    </row>
    <row r="790" spans="2:9" ht="14.5">
      <c r="B790" s="300" t="s">
        <v>926</v>
      </c>
      <c r="C790" s="300" t="s">
        <v>3377</v>
      </c>
      <c r="D790" s="300" t="s">
        <v>3378</v>
      </c>
      <c r="E790" s="300" t="s">
        <v>928</v>
      </c>
      <c r="F790" s="300" t="s">
        <v>3375</v>
      </c>
      <c r="G790" s="300" t="s">
        <v>3376</v>
      </c>
      <c r="H790" s="300" t="s">
        <v>3369</v>
      </c>
      <c r="I790" s="300" t="s">
        <v>446</v>
      </c>
    </row>
    <row r="791" spans="2:9" ht="14.5">
      <c r="B791" s="300" t="s">
        <v>926</v>
      </c>
      <c r="C791" s="300" t="s">
        <v>3379</v>
      </c>
      <c r="D791" s="300" t="s">
        <v>3380</v>
      </c>
      <c r="E791" s="300" t="s">
        <v>928</v>
      </c>
      <c r="F791" s="300" t="s">
        <v>3381</v>
      </c>
      <c r="G791" s="300" t="s">
        <v>3382</v>
      </c>
      <c r="H791" s="300" t="s">
        <v>3369</v>
      </c>
      <c r="I791" s="300" t="s">
        <v>446</v>
      </c>
    </row>
    <row r="792" spans="2:9" ht="14.5">
      <c r="B792" s="300" t="s">
        <v>926</v>
      </c>
      <c r="C792" s="300" t="s">
        <v>3383</v>
      </c>
      <c r="D792" s="300" t="s">
        <v>3384</v>
      </c>
      <c r="E792" s="300" t="s">
        <v>928</v>
      </c>
      <c r="F792" s="300" t="s">
        <v>3385</v>
      </c>
      <c r="G792" s="300" t="s">
        <v>3384</v>
      </c>
      <c r="H792" s="300" t="s">
        <v>3369</v>
      </c>
      <c r="I792" s="300" t="s">
        <v>446</v>
      </c>
    </row>
    <row r="793" spans="2:9" ht="14.5">
      <c r="B793" s="300" t="s">
        <v>926</v>
      </c>
      <c r="C793" s="300" t="s">
        <v>3386</v>
      </c>
      <c r="D793" s="300" t="s">
        <v>3387</v>
      </c>
      <c r="E793" s="300" t="s">
        <v>928</v>
      </c>
      <c r="F793" s="300" t="s">
        <v>3388</v>
      </c>
      <c r="G793" s="300" t="s">
        <v>3389</v>
      </c>
      <c r="H793" s="300" t="s">
        <v>3369</v>
      </c>
      <c r="I793" s="300" t="s">
        <v>446</v>
      </c>
    </row>
    <row r="794" spans="2:9" ht="14.5">
      <c r="B794" s="300" t="s">
        <v>926</v>
      </c>
      <c r="C794" s="300" t="s">
        <v>3390</v>
      </c>
      <c r="D794" s="300" t="s">
        <v>3391</v>
      </c>
      <c r="E794" s="300" t="s">
        <v>928</v>
      </c>
      <c r="F794" s="300" t="s">
        <v>3392</v>
      </c>
      <c r="G794" s="300" t="s">
        <v>3393</v>
      </c>
      <c r="H794" s="300" t="s">
        <v>3369</v>
      </c>
      <c r="I794" s="300" t="s">
        <v>446</v>
      </c>
    </row>
    <row r="795" spans="2:9" ht="14.5">
      <c r="B795" s="300" t="s">
        <v>926</v>
      </c>
      <c r="C795" s="300" t="s">
        <v>3394</v>
      </c>
      <c r="D795" s="300" t="s">
        <v>3395</v>
      </c>
      <c r="E795" s="300" t="s">
        <v>928</v>
      </c>
      <c r="F795" s="300" t="s">
        <v>3396</v>
      </c>
      <c r="G795" s="300" t="s">
        <v>3397</v>
      </c>
      <c r="H795" s="300" t="s">
        <v>3369</v>
      </c>
      <c r="I795" s="300" t="s">
        <v>446</v>
      </c>
    </row>
    <row r="796" spans="2:9" ht="14.5">
      <c r="B796" s="300" t="s">
        <v>926</v>
      </c>
      <c r="C796" s="300" t="s">
        <v>3398</v>
      </c>
      <c r="D796" s="300" t="s">
        <v>3399</v>
      </c>
      <c r="E796" s="300" t="s">
        <v>928</v>
      </c>
      <c r="F796" s="300" t="s">
        <v>3400</v>
      </c>
      <c r="G796" s="300" t="s">
        <v>3401</v>
      </c>
      <c r="H796" s="300" t="s">
        <v>3369</v>
      </c>
      <c r="I796" s="300" t="s">
        <v>446</v>
      </c>
    </row>
    <row r="797" spans="2:9" ht="14.5">
      <c r="B797" s="300" t="s">
        <v>926</v>
      </c>
      <c r="C797" s="300" t="s">
        <v>3402</v>
      </c>
      <c r="D797" s="300" t="s">
        <v>3403</v>
      </c>
      <c r="E797" s="300" t="s">
        <v>928</v>
      </c>
      <c r="F797" s="300" t="s">
        <v>3400</v>
      </c>
      <c r="G797" s="300" t="s">
        <v>3401</v>
      </c>
      <c r="H797" s="300" t="s">
        <v>3369</v>
      </c>
      <c r="I797" s="300" t="s">
        <v>446</v>
      </c>
    </row>
    <row r="798" spans="2:9" ht="14.5">
      <c r="B798" s="300" t="s">
        <v>926</v>
      </c>
      <c r="C798" s="300" t="s">
        <v>3404</v>
      </c>
      <c r="D798" s="300" t="s">
        <v>3405</v>
      </c>
      <c r="E798" s="300" t="s">
        <v>928</v>
      </c>
      <c r="F798" s="378" t="s">
        <v>5194</v>
      </c>
      <c r="G798" s="300" t="s">
        <v>3406</v>
      </c>
      <c r="H798" s="300" t="s">
        <v>3369</v>
      </c>
      <c r="I798" s="300" t="s">
        <v>446</v>
      </c>
    </row>
    <row r="799" spans="2:9" ht="14.5">
      <c r="B799" s="300" t="s">
        <v>926</v>
      </c>
      <c r="C799" s="300" t="s">
        <v>3407</v>
      </c>
      <c r="D799" s="300" t="s">
        <v>3408</v>
      </c>
      <c r="E799" s="300" t="s">
        <v>928</v>
      </c>
      <c r="F799" s="300" t="s">
        <v>3409</v>
      </c>
      <c r="G799" s="300" t="s">
        <v>3410</v>
      </c>
      <c r="H799" s="300" t="s">
        <v>3369</v>
      </c>
      <c r="I799" s="300" t="s">
        <v>446</v>
      </c>
    </row>
    <row r="800" spans="2:9" ht="14.5">
      <c r="B800" s="300" t="s">
        <v>926</v>
      </c>
      <c r="C800" s="300" t="s">
        <v>3411</v>
      </c>
      <c r="D800" s="300" t="s">
        <v>3412</v>
      </c>
      <c r="E800" s="300" t="s">
        <v>928</v>
      </c>
      <c r="F800" s="300" t="s">
        <v>3409</v>
      </c>
      <c r="G800" s="300" t="s">
        <v>3410</v>
      </c>
      <c r="H800" s="300" t="s">
        <v>3369</v>
      </c>
      <c r="I800" s="300" t="s">
        <v>446</v>
      </c>
    </row>
    <row r="801" spans="2:9" ht="14.5">
      <c r="B801" s="300" t="s">
        <v>926</v>
      </c>
      <c r="C801" s="300" t="s">
        <v>3413</v>
      </c>
      <c r="D801" s="300" t="s">
        <v>3414</v>
      </c>
      <c r="E801" s="300" t="s">
        <v>928</v>
      </c>
      <c r="F801" s="300" t="s">
        <v>3409</v>
      </c>
      <c r="G801" s="300" t="s">
        <v>3410</v>
      </c>
      <c r="H801" s="300" t="s">
        <v>3369</v>
      </c>
      <c r="I801" s="300" t="s">
        <v>446</v>
      </c>
    </row>
    <row r="802" spans="2:9" ht="14.5">
      <c r="B802" s="300" t="s">
        <v>926</v>
      </c>
      <c r="C802" s="300" t="s">
        <v>3415</v>
      </c>
      <c r="D802" s="300" t="s">
        <v>3416</v>
      </c>
      <c r="E802" s="300" t="s">
        <v>928</v>
      </c>
      <c r="F802" s="378" t="s">
        <v>5195</v>
      </c>
      <c r="G802" s="300" t="s">
        <v>3417</v>
      </c>
      <c r="H802" s="300" t="s">
        <v>3369</v>
      </c>
      <c r="I802" s="300" t="s">
        <v>446</v>
      </c>
    </row>
    <row r="803" spans="2:9" ht="14.5">
      <c r="B803" s="300" t="s">
        <v>926</v>
      </c>
      <c r="C803" s="300" t="s">
        <v>3418</v>
      </c>
      <c r="D803" s="300" t="s">
        <v>3419</v>
      </c>
      <c r="E803" s="300" t="s">
        <v>928</v>
      </c>
      <c r="F803" s="300" t="s">
        <v>3420</v>
      </c>
      <c r="G803" s="300" t="s">
        <v>3421</v>
      </c>
      <c r="H803" s="300" t="s">
        <v>3369</v>
      </c>
      <c r="I803" s="300" t="s">
        <v>446</v>
      </c>
    </row>
    <row r="804" spans="2:9" ht="14.5">
      <c r="B804" s="300" t="s">
        <v>926</v>
      </c>
      <c r="C804" s="300" t="s">
        <v>3422</v>
      </c>
      <c r="D804" s="300" t="s">
        <v>3423</v>
      </c>
      <c r="E804" s="300" t="s">
        <v>928</v>
      </c>
      <c r="F804" s="378" t="s">
        <v>5196</v>
      </c>
      <c r="G804" s="300" t="s">
        <v>3424</v>
      </c>
      <c r="H804" s="300" t="s">
        <v>3369</v>
      </c>
      <c r="I804" s="300" t="s">
        <v>446</v>
      </c>
    </row>
    <row r="805" spans="2:9" ht="14.5">
      <c r="B805" s="300" t="s">
        <v>926</v>
      </c>
      <c r="C805" s="300" t="s">
        <v>3425</v>
      </c>
      <c r="D805" s="300" t="s">
        <v>3426</v>
      </c>
      <c r="E805" s="300" t="s">
        <v>928</v>
      </c>
      <c r="F805" s="300" t="s">
        <v>3427</v>
      </c>
      <c r="G805" s="300" t="s">
        <v>3428</v>
      </c>
      <c r="H805" s="300" t="s">
        <v>3369</v>
      </c>
      <c r="I805" s="300" t="s">
        <v>446</v>
      </c>
    </row>
    <row r="806" spans="2:9" ht="14.5">
      <c r="B806" s="300" t="s">
        <v>926</v>
      </c>
      <c r="C806" s="300" t="s">
        <v>3429</v>
      </c>
      <c r="D806" s="300" t="s">
        <v>3430</v>
      </c>
      <c r="E806" s="300" t="s">
        <v>928</v>
      </c>
      <c r="F806" s="300" t="s">
        <v>3427</v>
      </c>
      <c r="G806" s="300" t="s">
        <v>3428</v>
      </c>
      <c r="H806" s="300" t="s">
        <v>3369</v>
      </c>
      <c r="I806" s="300" t="s">
        <v>446</v>
      </c>
    </row>
    <row r="807" spans="2:9" ht="14.5">
      <c r="B807" s="300" t="s">
        <v>926</v>
      </c>
      <c r="C807" s="300" t="s">
        <v>3431</v>
      </c>
      <c r="D807" s="300" t="s">
        <v>3432</v>
      </c>
      <c r="E807" s="300" t="s">
        <v>928</v>
      </c>
      <c r="F807" s="300" t="s">
        <v>3427</v>
      </c>
      <c r="G807" s="300" t="s">
        <v>3428</v>
      </c>
      <c r="H807" s="300" t="s">
        <v>3369</v>
      </c>
      <c r="I807" s="300" t="s">
        <v>446</v>
      </c>
    </row>
    <row r="808" spans="2:9" ht="14.5">
      <c r="B808" s="300" t="s">
        <v>926</v>
      </c>
      <c r="C808" s="300" t="s">
        <v>3433</v>
      </c>
      <c r="D808" s="300" t="s">
        <v>3434</v>
      </c>
      <c r="E808" s="300" t="s">
        <v>928</v>
      </c>
      <c r="F808" s="300" t="s">
        <v>3427</v>
      </c>
      <c r="G808" s="300" t="s">
        <v>3428</v>
      </c>
      <c r="H808" s="300" t="s">
        <v>3369</v>
      </c>
      <c r="I808" s="300" t="s">
        <v>446</v>
      </c>
    </row>
    <row r="809" spans="2:9" ht="14.5">
      <c r="B809" s="300" t="s">
        <v>926</v>
      </c>
      <c r="C809" s="300" t="s">
        <v>3435</v>
      </c>
      <c r="D809" s="300" t="s">
        <v>3436</v>
      </c>
      <c r="E809" s="300" t="s">
        <v>928</v>
      </c>
      <c r="F809" s="300" t="s">
        <v>3427</v>
      </c>
      <c r="G809" s="300" t="s">
        <v>3428</v>
      </c>
      <c r="H809" s="300" t="s">
        <v>3369</v>
      </c>
      <c r="I809" s="300" t="s">
        <v>446</v>
      </c>
    </row>
    <row r="810" spans="2:9" ht="14.5">
      <c r="B810" s="300" t="s">
        <v>926</v>
      </c>
      <c r="C810" s="300" t="s">
        <v>3437</v>
      </c>
      <c r="D810" s="300" t="s">
        <v>3438</v>
      </c>
      <c r="E810" s="300" t="s">
        <v>928</v>
      </c>
      <c r="F810" s="378" t="s">
        <v>5197</v>
      </c>
      <c r="G810" s="300" t="s">
        <v>3439</v>
      </c>
      <c r="H810" s="300" t="s">
        <v>3369</v>
      </c>
      <c r="I810" s="300" t="s">
        <v>446</v>
      </c>
    </row>
    <row r="811" spans="2:9" ht="14.5">
      <c r="B811" s="300" t="s">
        <v>926</v>
      </c>
      <c r="C811" s="300" t="s">
        <v>3440</v>
      </c>
      <c r="D811" s="300" t="s">
        <v>3441</v>
      </c>
      <c r="E811" s="300" t="s">
        <v>928</v>
      </c>
      <c r="F811" s="300" t="s">
        <v>3442</v>
      </c>
      <c r="G811" s="300" t="s">
        <v>3443</v>
      </c>
      <c r="H811" s="300" t="s">
        <v>3369</v>
      </c>
      <c r="I811" s="300" t="s">
        <v>446</v>
      </c>
    </row>
    <row r="812" spans="2:9" ht="14.5">
      <c r="B812" s="300" t="s">
        <v>926</v>
      </c>
      <c r="C812" s="300" t="s">
        <v>3444</v>
      </c>
      <c r="D812" s="300" t="s">
        <v>3445</v>
      </c>
      <c r="E812" s="300" t="s">
        <v>928</v>
      </c>
      <c r="F812" s="378" t="s">
        <v>5197</v>
      </c>
      <c r="G812" s="300" t="s">
        <v>3439</v>
      </c>
      <c r="H812" s="300" t="s">
        <v>3369</v>
      </c>
      <c r="I812" s="300" t="s">
        <v>446</v>
      </c>
    </row>
    <row r="813" spans="2:9" ht="14.5">
      <c r="B813" s="300" t="s">
        <v>926</v>
      </c>
      <c r="C813" s="300" t="s">
        <v>3446</v>
      </c>
      <c r="D813" s="300" t="s">
        <v>3447</v>
      </c>
      <c r="E813" s="300" t="s">
        <v>928</v>
      </c>
      <c r="F813" s="300" t="s">
        <v>3448</v>
      </c>
      <c r="G813" s="300" t="s">
        <v>3449</v>
      </c>
      <c r="H813" s="300" t="s">
        <v>3369</v>
      </c>
      <c r="I813" s="300" t="s">
        <v>446</v>
      </c>
    </row>
    <row r="814" spans="2:9" ht="14.5">
      <c r="B814" s="300" t="s">
        <v>926</v>
      </c>
      <c r="C814" s="300" t="s">
        <v>3450</v>
      </c>
      <c r="D814" s="300" t="s">
        <v>3451</v>
      </c>
      <c r="E814" s="300" t="s">
        <v>928</v>
      </c>
      <c r="F814" s="300" t="s">
        <v>3448</v>
      </c>
      <c r="G814" s="300" t="s">
        <v>3449</v>
      </c>
      <c r="H814" s="300" t="s">
        <v>3369</v>
      </c>
      <c r="I814" s="300" t="s">
        <v>446</v>
      </c>
    </row>
    <row r="815" spans="2:9" ht="14.5">
      <c r="B815" s="300" t="s">
        <v>926</v>
      </c>
      <c r="C815" s="300" t="s">
        <v>3452</v>
      </c>
      <c r="D815" s="300" t="s">
        <v>3453</v>
      </c>
      <c r="E815" s="300" t="s">
        <v>928</v>
      </c>
      <c r="F815" s="378" t="s">
        <v>5197</v>
      </c>
      <c r="G815" s="300" t="s">
        <v>3439</v>
      </c>
      <c r="H815" s="300" t="s">
        <v>3369</v>
      </c>
      <c r="I815" s="300" t="s">
        <v>446</v>
      </c>
    </row>
    <row r="816" spans="2:9" ht="14.5">
      <c r="B816" s="300" t="s">
        <v>926</v>
      </c>
      <c r="C816" s="300" t="s">
        <v>3454</v>
      </c>
      <c r="D816" s="300" t="s">
        <v>3455</v>
      </c>
      <c r="E816" s="300" t="s">
        <v>928</v>
      </c>
      <c r="F816" s="300" t="s">
        <v>3456</v>
      </c>
      <c r="G816" s="300" t="s">
        <v>3457</v>
      </c>
      <c r="H816" s="300" t="s">
        <v>3369</v>
      </c>
      <c r="I816" s="300" t="s">
        <v>446</v>
      </c>
    </row>
    <row r="817" spans="2:9" ht="14.5">
      <c r="B817" s="300" t="s">
        <v>926</v>
      </c>
      <c r="C817" s="300" t="s">
        <v>3458</v>
      </c>
      <c r="D817" s="300" t="s">
        <v>3459</v>
      </c>
      <c r="E817" s="300" t="s">
        <v>928</v>
      </c>
      <c r="F817" s="300" t="s">
        <v>3460</v>
      </c>
      <c r="G817" s="300" t="s">
        <v>3461</v>
      </c>
      <c r="H817" s="300" t="s">
        <v>3369</v>
      </c>
      <c r="I817" s="300" t="s">
        <v>446</v>
      </c>
    </row>
    <row r="818" spans="2:9" ht="14.5">
      <c r="B818" s="300" t="s">
        <v>926</v>
      </c>
      <c r="C818" s="300" t="s">
        <v>3462</v>
      </c>
      <c r="D818" s="300" t="s">
        <v>3463</v>
      </c>
      <c r="E818" s="300" t="s">
        <v>928</v>
      </c>
      <c r="F818" s="300" t="s">
        <v>3464</v>
      </c>
      <c r="G818" s="300" t="s">
        <v>3465</v>
      </c>
      <c r="H818" s="300" t="s">
        <v>3369</v>
      </c>
      <c r="I818" s="300" t="s">
        <v>446</v>
      </c>
    </row>
    <row r="819" spans="2:9" ht="14.5">
      <c r="B819" s="300" t="s">
        <v>926</v>
      </c>
      <c r="C819" s="300" t="s">
        <v>3466</v>
      </c>
      <c r="D819" s="300" t="s">
        <v>3467</v>
      </c>
      <c r="E819" s="300" t="s">
        <v>928</v>
      </c>
      <c r="F819" s="378" t="s">
        <v>2702</v>
      </c>
      <c r="G819" s="300" t="s">
        <v>3468</v>
      </c>
      <c r="H819" s="300" t="s">
        <v>3369</v>
      </c>
      <c r="I819" s="300" t="s">
        <v>446</v>
      </c>
    </row>
    <row r="820" spans="2:9" ht="14.5">
      <c r="B820" s="300" t="s">
        <v>926</v>
      </c>
      <c r="C820" s="300" t="s">
        <v>3469</v>
      </c>
      <c r="D820" s="300" t="s">
        <v>3470</v>
      </c>
      <c r="E820" s="300" t="s">
        <v>928</v>
      </c>
      <c r="F820" s="300" t="s">
        <v>3471</v>
      </c>
      <c r="G820" s="300" t="s">
        <v>3472</v>
      </c>
      <c r="H820" s="300" t="s">
        <v>3369</v>
      </c>
      <c r="I820" s="300" t="s">
        <v>446</v>
      </c>
    </row>
    <row r="821" spans="2:9" ht="14.5">
      <c r="B821" s="300" t="s">
        <v>926</v>
      </c>
      <c r="C821" s="300" t="s">
        <v>3473</v>
      </c>
      <c r="D821" s="300" t="s">
        <v>3474</v>
      </c>
      <c r="E821" s="300" t="s">
        <v>928</v>
      </c>
      <c r="F821" s="378" t="s">
        <v>5198</v>
      </c>
      <c r="G821" s="300" t="s">
        <v>3475</v>
      </c>
      <c r="H821" s="300" t="s">
        <v>3369</v>
      </c>
      <c r="I821" s="300" t="s">
        <v>446</v>
      </c>
    </row>
    <row r="822" spans="2:9" ht="14.5">
      <c r="B822" s="300" t="s">
        <v>926</v>
      </c>
      <c r="C822" s="300" t="s">
        <v>3476</v>
      </c>
      <c r="D822" s="300" t="s">
        <v>3477</v>
      </c>
      <c r="E822" s="300" t="s">
        <v>928</v>
      </c>
      <c r="F822" s="300" t="s">
        <v>3478</v>
      </c>
      <c r="G822" s="300" t="s">
        <v>3479</v>
      </c>
      <c r="H822" s="300" t="s">
        <v>3369</v>
      </c>
      <c r="I822" s="300" t="s">
        <v>446</v>
      </c>
    </row>
    <row r="823" spans="2:9" ht="14.5">
      <c r="B823" s="300" t="s">
        <v>926</v>
      </c>
      <c r="C823" s="300" t="s">
        <v>3480</v>
      </c>
      <c r="D823" s="300" t="s">
        <v>3481</v>
      </c>
      <c r="E823" s="300" t="s">
        <v>928</v>
      </c>
      <c r="F823" s="300" t="s">
        <v>3478</v>
      </c>
      <c r="G823" s="300" t="s">
        <v>3479</v>
      </c>
      <c r="H823" s="300" t="s">
        <v>3369</v>
      </c>
      <c r="I823" s="300" t="s">
        <v>446</v>
      </c>
    </row>
    <row r="824" spans="2:9" ht="14.5">
      <c r="B824" s="300" t="s">
        <v>926</v>
      </c>
      <c r="C824" s="300" t="s">
        <v>3482</v>
      </c>
      <c r="D824" s="300" t="s">
        <v>3483</v>
      </c>
      <c r="E824" s="300" t="s">
        <v>928</v>
      </c>
      <c r="F824" s="300" t="s">
        <v>3478</v>
      </c>
      <c r="G824" s="300" t="s">
        <v>3479</v>
      </c>
      <c r="H824" s="300" t="s">
        <v>3369</v>
      </c>
      <c r="I824" s="300" t="s">
        <v>446</v>
      </c>
    </row>
    <row r="825" spans="2:9" ht="14.5">
      <c r="B825" s="300" t="s">
        <v>926</v>
      </c>
      <c r="C825" s="300" t="s">
        <v>3484</v>
      </c>
      <c r="D825" s="300" t="s">
        <v>3485</v>
      </c>
      <c r="E825" s="300" t="s">
        <v>928</v>
      </c>
      <c r="F825" s="300" t="s">
        <v>3486</v>
      </c>
      <c r="G825" s="300" t="s">
        <v>3487</v>
      </c>
      <c r="H825" s="300" t="s">
        <v>3488</v>
      </c>
      <c r="I825" s="300" t="s">
        <v>446</v>
      </c>
    </row>
    <row r="826" spans="2:9" ht="14.5">
      <c r="B826" s="300" t="s">
        <v>926</v>
      </c>
      <c r="C826" s="300" t="s">
        <v>3489</v>
      </c>
      <c r="D826" s="300" t="s">
        <v>3490</v>
      </c>
      <c r="E826" s="300" t="s">
        <v>928</v>
      </c>
      <c r="F826" s="300" t="s">
        <v>3491</v>
      </c>
      <c r="G826" s="300" t="s">
        <v>3492</v>
      </c>
      <c r="H826" s="300" t="s">
        <v>3369</v>
      </c>
      <c r="I826" s="300" t="s">
        <v>446</v>
      </c>
    </row>
    <row r="827" spans="2:9" ht="14.5">
      <c r="B827" s="300" t="s">
        <v>926</v>
      </c>
      <c r="C827" s="300" t="s">
        <v>3493</v>
      </c>
      <c r="D827" s="300" t="s">
        <v>3494</v>
      </c>
      <c r="E827" s="300" t="s">
        <v>928</v>
      </c>
      <c r="F827" s="300" t="s">
        <v>3491</v>
      </c>
      <c r="G827" s="300" t="s">
        <v>3492</v>
      </c>
      <c r="H827" s="300" t="s">
        <v>3369</v>
      </c>
      <c r="I827" s="300" t="s">
        <v>446</v>
      </c>
    </row>
    <row r="828" spans="2:9" ht="14.5">
      <c r="B828" s="300" t="s">
        <v>926</v>
      </c>
      <c r="C828" s="300" t="s">
        <v>3495</v>
      </c>
      <c r="D828" s="300" t="s">
        <v>3496</v>
      </c>
      <c r="E828" s="300" t="s">
        <v>928</v>
      </c>
      <c r="F828" s="300" t="s">
        <v>3491</v>
      </c>
      <c r="G828" s="300" t="s">
        <v>3492</v>
      </c>
      <c r="H828" s="300" t="s">
        <v>3369</v>
      </c>
      <c r="I828" s="300" t="s">
        <v>446</v>
      </c>
    </row>
    <row r="829" spans="2:9" ht="14.5">
      <c r="B829" s="300" t="s">
        <v>926</v>
      </c>
      <c r="C829" s="300" t="s">
        <v>3497</v>
      </c>
      <c r="D829" s="300" t="s">
        <v>3498</v>
      </c>
      <c r="E829" s="300" t="s">
        <v>928</v>
      </c>
      <c r="F829" s="300" t="s">
        <v>3499</v>
      </c>
      <c r="G829" s="300" t="s">
        <v>3500</v>
      </c>
      <c r="H829" s="300" t="s">
        <v>3488</v>
      </c>
      <c r="I829" s="300" t="s">
        <v>446</v>
      </c>
    </row>
    <row r="830" spans="2:9" ht="14.5">
      <c r="B830" s="300" t="s">
        <v>926</v>
      </c>
      <c r="C830" s="300" t="s">
        <v>3501</v>
      </c>
      <c r="D830" s="300" t="s">
        <v>3502</v>
      </c>
      <c r="E830" s="300" t="s">
        <v>928</v>
      </c>
      <c r="F830" s="300" t="s">
        <v>3499</v>
      </c>
      <c r="G830" s="300" t="s">
        <v>3500</v>
      </c>
      <c r="H830" s="300" t="s">
        <v>3488</v>
      </c>
      <c r="I830" s="300" t="s">
        <v>446</v>
      </c>
    </row>
    <row r="831" spans="2:9" ht="14.5">
      <c r="B831" s="300" t="s">
        <v>926</v>
      </c>
      <c r="C831" s="300" t="s">
        <v>3503</v>
      </c>
      <c r="D831" s="300" t="s">
        <v>3492</v>
      </c>
      <c r="E831" s="300" t="s">
        <v>928</v>
      </c>
      <c r="F831" s="300" t="s">
        <v>3491</v>
      </c>
      <c r="G831" s="300" t="s">
        <v>3492</v>
      </c>
      <c r="H831" s="300" t="s">
        <v>3369</v>
      </c>
      <c r="I831" s="300" t="s">
        <v>446</v>
      </c>
    </row>
    <row r="832" spans="2:9" ht="14.5">
      <c r="B832" s="300" t="s">
        <v>926</v>
      </c>
      <c r="C832" s="300" t="s">
        <v>3504</v>
      </c>
      <c r="D832" s="300" t="s">
        <v>3505</v>
      </c>
      <c r="E832" s="300" t="s">
        <v>928</v>
      </c>
      <c r="F832" s="300" t="s">
        <v>3240</v>
      </c>
      <c r="G832" s="300" t="s">
        <v>3241</v>
      </c>
      <c r="H832" s="300" t="s">
        <v>2962</v>
      </c>
      <c r="I832" s="300" t="s">
        <v>446</v>
      </c>
    </row>
    <row r="833" spans="2:9" ht="14.5">
      <c r="B833" s="300" t="s">
        <v>926</v>
      </c>
      <c r="C833" s="300" t="s">
        <v>3506</v>
      </c>
      <c r="D833" s="300" t="s">
        <v>3507</v>
      </c>
      <c r="E833" s="300" t="s">
        <v>928</v>
      </c>
      <c r="F833" s="378" t="s">
        <v>5199</v>
      </c>
      <c r="G833" s="300" t="s">
        <v>3508</v>
      </c>
      <c r="H833" s="300" t="s">
        <v>3369</v>
      </c>
      <c r="I833" s="300" t="s">
        <v>446</v>
      </c>
    </row>
    <row r="834" spans="2:9" ht="14.5">
      <c r="B834" s="300" t="s">
        <v>926</v>
      </c>
      <c r="C834" s="300" t="s">
        <v>3509</v>
      </c>
      <c r="D834" s="300" t="s">
        <v>3510</v>
      </c>
      <c r="E834" s="300" t="s">
        <v>928</v>
      </c>
      <c r="F834" s="300" t="s">
        <v>3511</v>
      </c>
      <c r="G834" s="300" t="s">
        <v>3512</v>
      </c>
      <c r="H834" s="300" t="s">
        <v>3369</v>
      </c>
      <c r="I834" s="300" t="s">
        <v>446</v>
      </c>
    </row>
    <row r="835" spans="2:9" ht="14.5">
      <c r="B835" s="300" t="s">
        <v>926</v>
      </c>
      <c r="C835" s="300" t="s">
        <v>3513</v>
      </c>
      <c r="D835" s="300" t="s">
        <v>3514</v>
      </c>
      <c r="E835" s="300" t="s">
        <v>928</v>
      </c>
      <c r="F835" s="300" t="s">
        <v>3515</v>
      </c>
      <c r="G835" s="300" t="s">
        <v>3516</v>
      </c>
      <c r="H835" s="300" t="s">
        <v>3369</v>
      </c>
      <c r="I835" s="300" t="s">
        <v>446</v>
      </c>
    </row>
    <row r="836" spans="2:9" ht="14.5">
      <c r="B836" s="300" t="s">
        <v>926</v>
      </c>
      <c r="C836" s="300" t="s">
        <v>3517</v>
      </c>
      <c r="D836" s="300" t="s">
        <v>3518</v>
      </c>
      <c r="E836" s="300" t="s">
        <v>928</v>
      </c>
      <c r="F836" s="300" t="s">
        <v>3519</v>
      </c>
      <c r="G836" s="300" t="s">
        <v>3520</v>
      </c>
      <c r="H836" s="300" t="s">
        <v>3369</v>
      </c>
      <c r="I836" s="300" t="s">
        <v>446</v>
      </c>
    </row>
    <row r="837" spans="2:9" ht="14.5">
      <c r="B837" s="300" t="s">
        <v>926</v>
      </c>
      <c r="C837" s="300" t="s">
        <v>3521</v>
      </c>
      <c r="D837" s="300" t="s">
        <v>3522</v>
      </c>
      <c r="E837" s="300" t="s">
        <v>928</v>
      </c>
      <c r="F837" s="300" t="s">
        <v>3519</v>
      </c>
      <c r="G837" s="300" t="s">
        <v>3520</v>
      </c>
      <c r="H837" s="300" t="s">
        <v>3369</v>
      </c>
      <c r="I837" s="300" t="s">
        <v>446</v>
      </c>
    </row>
    <row r="838" spans="2:9" ht="14.5">
      <c r="B838" s="300" t="s">
        <v>926</v>
      </c>
      <c r="C838" s="300" t="s">
        <v>3523</v>
      </c>
      <c r="D838" s="300" t="s">
        <v>3524</v>
      </c>
      <c r="E838" s="300" t="s">
        <v>928</v>
      </c>
      <c r="F838" s="378" t="s">
        <v>5200</v>
      </c>
      <c r="G838" s="300" t="s">
        <v>3525</v>
      </c>
      <c r="H838" s="300" t="s">
        <v>3369</v>
      </c>
      <c r="I838" s="300" t="s">
        <v>446</v>
      </c>
    </row>
    <row r="839" spans="2:9" ht="14.5">
      <c r="B839" s="300" t="s">
        <v>926</v>
      </c>
      <c r="C839" s="300" t="s">
        <v>3526</v>
      </c>
      <c r="D839" s="300" t="s">
        <v>3527</v>
      </c>
      <c r="E839" s="300" t="s">
        <v>928</v>
      </c>
      <c r="F839" s="378" t="s">
        <v>2685</v>
      </c>
      <c r="G839" s="300" t="s">
        <v>3528</v>
      </c>
      <c r="H839" s="300" t="s">
        <v>3369</v>
      </c>
      <c r="I839" s="300" t="s">
        <v>446</v>
      </c>
    </row>
    <row r="840" spans="2:9" ht="14.5">
      <c r="B840" s="300" t="s">
        <v>926</v>
      </c>
      <c r="C840" s="300" t="s">
        <v>3529</v>
      </c>
      <c r="D840" s="300" t="s">
        <v>3530</v>
      </c>
      <c r="E840" s="300" t="s">
        <v>928</v>
      </c>
      <c r="F840" s="300" t="s">
        <v>3531</v>
      </c>
      <c r="G840" s="300" t="s">
        <v>3530</v>
      </c>
      <c r="H840" s="300" t="s">
        <v>3369</v>
      </c>
      <c r="I840" s="300" t="s">
        <v>446</v>
      </c>
    </row>
    <row r="841" spans="2:9" ht="14.5">
      <c r="B841" s="300" t="s">
        <v>926</v>
      </c>
      <c r="C841" s="300" t="s">
        <v>3532</v>
      </c>
      <c r="D841" s="300" t="s">
        <v>3533</v>
      </c>
      <c r="E841" s="300" t="s">
        <v>928</v>
      </c>
      <c r="F841" s="300" t="s">
        <v>3534</v>
      </c>
      <c r="G841" s="300" t="s">
        <v>3533</v>
      </c>
      <c r="H841" s="300" t="s">
        <v>3369</v>
      </c>
      <c r="I841" s="300" t="s">
        <v>446</v>
      </c>
    </row>
    <row r="842" spans="2:9" ht="14.5">
      <c r="B842" s="300" t="s">
        <v>926</v>
      </c>
      <c r="C842" s="300" t="s">
        <v>3535</v>
      </c>
      <c r="D842" s="300" t="s">
        <v>3536</v>
      </c>
      <c r="E842" s="300" t="s">
        <v>928</v>
      </c>
      <c r="F842" s="378" t="s">
        <v>5201</v>
      </c>
      <c r="G842" s="300" t="s">
        <v>3537</v>
      </c>
      <c r="H842" s="300" t="s">
        <v>3369</v>
      </c>
      <c r="I842" s="300" t="s">
        <v>446</v>
      </c>
    </row>
    <row r="843" spans="2:9" ht="14.5">
      <c r="B843" s="300" t="s">
        <v>926</v>
      </c>
      <c r="C843" s="300" t="s">
        <v>3538</v>
      </c>
      <c r="D843" s="300" t="s">
        <v>3539</v>
      </c>
      <c r="E843" s="300" t="s">
        <v>928</v>
      </c>
      <c r="F843" s="300" t="s">
        <v>3540</v>
      </c>
      <c r="G843" s="300" t="s">
        <v>3541</v>
      </c>
      <c r="H843" s="300" t="s">
        <v>3369</v>
      </c>
      <c r="I843" s="300" t="s">
        <v>446</v>
      </c>
    </row>
    <row r="844" spans="2:9" ht="14.5">
      <c r="B844" s="300" t="s">
        <v>926</v>
      </c>
      <c r="C844" s="300" t="s">
        <v>3542</v>
      </c>
      <c r="D844" s="300" t="s">
        <v>3543</v>
      </c>
      <c r="E844" s="300" t="s">
        <v>928</v>
      </c>
      <c r="F844" s="300" t="s">
        <v>3544</v>
      </c>
      <c r="G844" s="300" t="s">
        <v>3545</v>
      </c>
      <c r="H844" s="300" t="s">
        <v>3369</v>
      </c>
      <c r="I844" s="300" t="s">
        <v>446</v>
      </c>
    </row>
    <row r="845" spans="2:9" ht="14.5">
      <c r="B845" s="300" t="s">
        <v>926</v>
      </c>
      <c r="C845" s="300" t="s">
        <v>3546</v>
      </c>
      <c r="D845" s="300" t="s">
        <v>3547</v>
      </c>
      <c r="E845" s="300" t="s">
        <v>928</v>
      </c>
      <c r="F845" s="300" t="s">
        <v>3544</v>
      </c>
      <c r="G845" s="300" t="s">
        <v>3545</v>
      </c>
      <c r="H845" s="300" t="s">
        <v>3369</v>
      </c>
      <c r="I845" s="300" t="s">
        <v>446</v>
      </c>
    </row>
    <row r="846" spans="2:9" ht="14.5">
      <c r="B846" s="300" t="s">
        <v>926</v>
      </c>
      <c r="C846" s="300" t="s">
        <v>3548</v>
      </c>
      <c r="D846" s="300" t="s">
        <v>3549</v>
      </c>
      <c r="E846" s="300" t="s">
        <v>928</v>
      </c>
      <c r="F846" s="300" t="s">
        <v>3544</v>
      </c>
      <c r="G846" s="300" t="s">
        <v>3545</v>
      </c>
      <c r="H846" s="300" t="s">
        <v>3369</v>
      </c>
      <c r="I846" s="300" t="s">
        <v>446</v>
      </c>
    </row>
    <row r="847" spans="2:9" ht="14.5">
      <c r="B847" s="300" t="s">
        <v>926</v>
      </c>
      <c r="C847" s="300" t="s">
        <v>3550</v>
      </c>
      <c r="D847" s="300" t="s">
        <v>3551</v>
      </c>
      <c r="E847" s="300" t="s">
        <v>928</v>
      </c>
      <c r="F847" s="378" t="s">
        <v>5202</v>
      </c>
      <c r="G847" s="300" t="s">
        <v>3552</v>
      </c>
      <c r="H847" s="300" t="s">
        <v>3553</v>
      </c>
      <c r="I847" s="300" t="s">
        <v>446</v>
      </c>
    </row>
    <row r="848" spans="2:9" ht="14.5">
      <c r="B848" s="300" t="s">
        <v>926</v>
      </c>
      <c r="C848" s="300" t="s">
        <v>3554</v>
      </c>
      <c r="D848" s="300" t="s">
        <v>3552</v>
      </c>
      <c r="E848" s="300" t="s">
        <v>928</v>
      </c>
      <c r="F848" s="300" t="s">
        <v>3555</v>
      </c>
      <c r="G848" s="300" t="s">
        <v>3556</v>
      </c>
      <c r="H848" s="300" t="s">
        <v>3553</v>
      </c>
      <c r="I848" s="300" t="s">
        <v>446</v>
      </c>
    </row>
    <row r="849" spans="2:9" ht="14.5">
      <c r="B849" s="300" t="s">
        <v>926</v>
      </c>
      <c r="C849" s="300" t="s">
        <v>3557</v>
      </c>
      <c r="D849" s="300" t="s">
        <v>3558</v>
      </c>
      <c r="E849" s="300" t="s">
        <v>928</v>
      </c>
      <c r="F849" s="378" t="s">
        <v>5203</v>
      </c>
      <c r="G849" s="300" t="s">
        <v>3559</v>
      </c>
      <c r="H849" s="300" t="s">
        <v>3369</v>
      </c>
      <c r="I849" s="300" t="s">
        <v>446</v>
      </c>
    </row>
    <row r="850" spans="2:9" ht="14.5">
      <c r="B850" s="300" t="s">
        <v>926</v>
      </c>
      <c r="C850" s="300" t="s">
        <v>3560</v>
      </c>
      <c r="D850" s="300" t="s">
        <v>3561</v>
      </c>
      <c r="E850" s="300" t="s">
        <v>928</v>
      </c>
      <c r="F850" s="300" t="s">
        <v>3562</v>
      </c>
      <c r="G850" s="300" t="s">
        <v>3563</v>
      </c>
      <c r="H850" s="300" t="s">
        <v>3369</v>
      </c>
      <c r="I850" s="300" t="s">
        <v>446</v>
      </c>
    </row>
    <row r="851" spans="2:9" ht="14.5">
      <c r="B851" s="300" t="s">
        <v>926</v>
      </c>
      <c r="C851" s="300" t="s">
        <v>3564</v>
      </c>
      <c r="D851" s="300" t="s">
        <v>3565</v>
      </c>
      <c r="E851" s="300" t="s">
        <v>928</v>
      </c>
      <c r="F851" s="300" t="s">
        <v>3566</v>
      </c>
      <c r="G851" s="300" t="s">
        <v>3567</v>
      </c>
      <c r="H851" s="300" t="s">
        <v>3369</v>
      </c>
      <c r="I851" s="300" t="s">
        <v>446</v>
      </c>
    </row>
    <row r="852" spans="2:9" ht="14.5">
      <c r="B852" s="300" t="s">
        <v>926</v>
      </c>
      <c r="C852" s="300" t="s">
        <v>3568</v>
      </c>
      <c r="D852" s="300" t="s">
        <v>3569</v>
      </c>
      <c r="E852" s="300" t="s">
        <v>928</v>
      </c>
      <c r="F852" s="300" t="s">
        <v>3566</v>
      </c>
      <c r="G852" s="300" t="s">
        <v>3567</v>
      </c>
      <c r="H852" s="300" t="s">
        <v>3369</v>
      </c>
      <c r="I852" s="300" t="s">
        <v>446</v>
      </c>
    </row>
    <row r="853" spans="2:9" ht="14.5">
      <c r="B853" s="300" t="s">
        <v>926</v>
      </c>
      <c r="C853" s="300" t="s">
        <v>3570</v>
      </c>
      <c r="D853" s="300" t="s">
        <v>3571</v>
      </c>
      <c r="E853" s="300" t="s">
        <v>928</v>
      </c>
      <c r="F853" s="378" t="s">
        <v>4083</v>
      </c>
      <c r="G853" s="300" t="s">
        <v>3572</v>
      </c>
      <c r="H853" s="300" t="s">
        <v>3553</v>
      </c>
      <c r="I853" s="300" t="s">
        <v>446</v>
      </c>
    </row>
    <row r="854" spans="2:9" ht="14.5">
      <c r="B854" s="300" t="s">
        <v>926</v>
      </c>
      <c r="C854" s="300" t="s">
        <v>3573</v>
      </c>
      <c r="D854" s="300" t="s">
        <v>3574</v>
      </c>
      <c r="E854" s="300" t="s">
        <v>928</v>
      </c>
      <c r="F854" s="300" t="s">
        <v>3575</v>
      </c>
      <c r="G854" s="300" t="s">
        <v>3576</v>
      </c>
      <c r="H854" s="300" t="s">
        <v>3553</v>
      </c>
      <c r="I854" s="300" t="s">
        <v>446</v>
      </c>
    </row>
    <row r="855" spans="2:9" ht="14.5">
      <c r="B855" s="300" t="s">
        <v>926</v>
      </c>
      <c r="C855" s="300" t="s">
        <v>3577</v>
      </c>
      <c r="D855" s="300" t="s">
        <v>3578</v>
      </c>
      <c r="E855" s="300" t="s">
        <v>928</v>
      </c>
      <c r="F855" s="300" t="s">
        <v>3579</v>
      </c>
      <c r="G855" s="300" t="s">
        <v>3580</v>
      </c>
      <c r="H855" s="300" t="s">
        <v>3553</v>
      </c>
      <c r="I855" s="300" t="s">
        <v>446</v>
      </c>
    </row>
    <row r="856" spans="2:9" ht="14.5">
      <c r="B856" s="300" t="s">
        <v>926</v>
      </c>
      <c r="C856" s="300" t="s">
        <v>3581</v>
      </c>
      <c r="D856" s="300" t="s">
        <v>3582</v>
      </c>
      <c r="E856" s="300" t="s">
        <v>928</v>
      </c>
      <c r="F856" s="300" t="s">
        <v>3583</v>
      </c>
      <c r="G856" s="300" t="s">
        <v>3584</v>
      </c>
      <c r="H856" s="300" t="s">
        <v>3553</v>
      </c>
      <c r="I856" s="300" t="s">
        <v>446</v>
      </c>
    </row>
    <row r="857" spans="2:9" ht="14.5">
      <c r="B857" s="300" t="s">
        <v>926</v>
      </c>
      <c r="C857" s="300" t="s">
        <v>3585</v>
      </c>
      <c r="D857" s="300" t="s">
        <v>3586</v>
      </c>
      <c r="E857" s="300" t="s">
        <v>928</v>
      </c>
      <c r="F857" s="300" t="s">
        <v>3587</v>
      </c>
      <c r="G857" s="300" t="s">
        <v>3588</v>
      </c>
      <c r="H857" s="300" t="s">
        <v>3553</v>
      </c>
      <c r="I857" s="300" t="s">
        <v>446</v>
      </c>
    </row>
    <row r="858" spans="2:9" ht="14.5">
      <c r="B858" s="300" t="s">
        <v>926</v>
      </c>
      <c r="C858" s="300" t="s">
        <v>3589</v>
      </c>
      <c r="D858" s="300" t="s">
        <v>3590</v>
      </c>
      <c r="E858" s="300" t="s">
        <v>928</v>
      </c>
      <c r="F858" s="300" t="s">
        <v>3591</v>
      </c>
      <c r="G858" s="300" t="s">
        <v>3592</v>
      </c>
      <c r="H858" s="300" t="s">
        <v>3553</v>
      </c>
      <c r="I858" s="300" t="s">
        <v>446</v>
      </c>
    </row>
    <row r="859" spans="2:9" ht="14.5">
      <c r="B859" s="300" t="s">
        <v>926</v>
      </c>
      <c r="C859" s="300" t="s">
        <v>3593</v>
      </c>
      <c r="D859" s="300" t="s">
        <v>3594</v>
      </c>
      <c r="E859" s="300" t="s">
        <v>928</v>
      </c>
      <c r="F859" s="300" t="s">
        <v>3579</v>
      </c>
      <c r="G859" s="300" t="s">
        <v>3580</v>
      </c>
      <c r="H859" s="300" t="s">
        <v>3553</v>
      </c>
      <c r="I859" s="300" t="s">
        <v>446</v>
      </c>
    </row>
    <row r="860" spans="2:9" ht="14.5">
      <c r="B860" s="300" t="s">
        <v>926</v>
      </c>
      <c r="C860" s="300" t="s">
        <v>3595</v>
      </c>
      <c r="D860" s="300" t="s">
        <v>3596</v>
      </c>
      <c r="E860" s="300" t="s">
        <v>928</v>
      </c>
      <c r="F860" s="378" t="s">
        <v>4083</v>
      </c>
      <c r="G860" s="300" t="s">
        <v>3572</v>
      </c>
      <c r="H860" s="300" t="s">
        <v>3553</v>
      </c>
      <c r="I860" s="300" t="s">
        <v>446</v>
      </c>
    </row>
    <row r="861" spans="2:9" ht="14.5">
      <c r="B861" s="300" t="s">
        <v>926</v>
      </c>
      <c r="C861" s="300" t="s">
        <v>3597</v>
      </c>
      <c r="D861" s="300" t="s">
        <v>3598</v>
      </c>
      <c r="E861" s="300" t="s">
        <v>928</v>
      </c>
      <c r="F861" s="300" t="s">
        <v>3599</v>
      </c>
      <c r="G861" s="300" t="s">
        <v>3598</v>
      </c>
      <c r="H861" s="300" t="s">
        <v>3553</v>
      </c>
      <c r="I861" s="300" t="s">
        <v>446</v>
      </c>
    </row>
    <row r="862" spans="2:9" ht="14.5">
      <c r="B862" s="300" t="s">
        <v>926</v>
      </c>
      <c r="C862" s="300" t="s">
        <v>3600</v>
      </c>
      <c r="D862" s="300" t="s">
        <v>3601</v>
      </c>
      <c r="E862" s="300" t="s">
        <v>928</v>
      </c>
      <c r="F862" s="300" t="s">
        <v>3602</v>
      </c>
      <c r="G862" s="300" t="s">
        <v>3603</v>
      </c>
      <c r="H862" s="300" t="s">
        <v>3553</v>
      </c>
      <c r="I862" s="300" t="s">
        <v>446</v>
      </c>
    </row>
    <row r="863" spans="2:9" ht="14.5">
      <c r="B863" s="300" t="s">
        <v>926</v>
      </c>
      <c r="C863" s="300" t="s">
        <v>3604</v>
      </c>
      <c r="D863" s="300" t="s">
        <v>3605</v>
      </c>
      <c r="E863" s="300" t="s">
        <v>928</v>
      </c>
      <c r="F863" s="300" t="s">
        <v>3602</v>
      </c>
      <c r="G863" s="300" t="s">
        <v>3603</v>
      </c>
      <c r="H863" s="300" t="s">
        <v>3553</v>
      </c>
      <c r="I863" s="300" t="s">
        <v>446</v>
      </c>
    </row>
    <row r="864" spans="2:9" ht="14.5">
      <c r="B864" s="300" t="s">
        <v>926</v>
      </c>
      <c r="C864" s="300" t="s">
        <v>3606</v>
      </c>
      <c r="D864" s="300" t="s">
        <v>3607</v>
      </c>
      <c r="E864" s="300" t="s">
        <v>928</v>
      </c>
      <c r="F864" s="378" t="s">
        <v>2723</v>
      </c>
      <c r="G864" s="300" t="s">
        <v>3608</v>
      </c>
      <c r="H864" s="300" t="s">
        <v>3369</v>
      </c>
      <c r="I864" s="300" t="s">
        <v>446</v>
      </c>
    </row>
    <row r="865" spans="2:9" ht="14.5">
      <c r="B865" s="300" t="s">
        <v>926</v>
      </c>
      <c r="C865" s="300" t="s">
        <v>3609</v>
      </c>
      <c r="D865" s="300" t="s">
        <v>3610</v>
      </c>
      <c r="E865" s="300" t="s">
        <v>928</v>
      </c>
      <c r="F865" s="300" t="s">
        <v>3611</v>
      </c>
      <c r="G865" s="300" t="s">
        <v>3612</v>
      </c>
      <c r="H865" s="300" t="s">
        <v>3369</v>
      </c>
      <c r="I865" s="300" t="s">
        <v>446</v>
      </c>
    </row>
    <row r="866" spans="2:9" ht="14.5">
      <c r="B866" s="300" t="s">
        <v>926</v>
      </c>
      <c r="C866" s="300" t="s">
        <v>3613</v>
      </c>
      <c r="D866" s="300" t="s">
        <v>3614</v>
      </c>
      <c r="E866" s="300" t="s">
        <v>928</v>
      </c>
      <c r="F866" s="300" t="s">
        <v>3615</v>
      </c>
      <c r="G866" s="300" t="s">
        <v>3616</v>
      </c>
      <c r="H866" s="300" t="s">
        <v>3369</v>
      </c>
      <c r="I866" s="300" t="s">
        <v>446</v>
      </c>
    </row>
    <row r="867" spans="2:9" ht="14.5">
      <c r="B867" s="300" t="s">
        <v>926</v>
      </c>
      <c r="C867" s="300" t="s">
        <v>3617</v>
      </c>
      <c r="D867" s="300" t="s">
        <v>3608</v>
      </c>
      <c r="E867" s="300" t="s">
        <v>928</v>
      </c>
      <c r="F867" s="300" t="s">
        <v>3618</v>
      </c>
      <c r="G867" s="300" t="s">
        <v>3619</v>
      </c>
      <c r="H867" s="300" t="s">
        <v>3369</v>
      </c>
      <c r="I867" s="300" t="s">
        <v>446</v>
      </c>
    </row>
    <row r="868" spans="2:9" ht="14.5">
      <c r="B868" s="300" t="s">
        <v>926</v>
      </c>
      <c r="C868" s="300" t="s">
        <v>3620</v>
      </c>
      <c r="D868" s="300" t="s">
        <v>3621</v>
      </c>
      <c r="E868" s="300" t="s">
        <v>928</v>
      </c>
      <c r="F868" s="378" t="s">
        <v>5204</v>
      </c>
      <c r="G868" s="300" t="s">
        <v>3622</v>
      </c>
      <c r="H868" s="300" t="s">
        <v>3369</v>
      </c>
      <c r="I868" s="300" t="s">
        <v>446</v>
      </c>
    </row>
    <row r="869" spans="2:9" ht="14.5">
      <c r="B869" s="300" t="s">
        <v>926</v>
      </c>
      <c r="C869" s="300" t="s">
        <v>3623</v>
      </c>
      <c r="D869" s="300" t="s">
        <v>3624</v>
      </c>
      <c r="E869" s="300" t="s">
        <v>928</v>
      </c>
      <c r="F869" s="378" t="s">
        <v>2723</v>
      </c>
      <c r="G869" s="300" t="s">
        <v>3608</v>
      </c>
      <c r="H869" s="300" t="s">
        <v>3369</v>
      </c>
      <c r="I869" s="300" t="s">
        <v>446</v>
      </c>
    </row>
    <row r="870" spans="2:9" ht="14.5">
      <c r="B870" s="300" t="s">
        <v>926</v>
      </c>
      <c r="C870" s="300" t="s">
        <v>3625</v>
      </c>
      <c r="D870" s="300" t="s">
        <v>3626</v>
      </c>
      <c r="E870" s="300" t="s">
        <v>928</v>
      </c>
      <c r="F870" s="300" t="s">
        <v>3627</v>
      </c>
      <c r="G870" s="300" t="s">
        <v>3628</v>
      </c>
      <c r="H870" s="300" t="s">
        <v>3369</v>
      </c>
      <c r="I870" s="300" t="s">
        <v>446</v>
      </c>
    </row>
    <row r="871" spans="2:9" ht="14.5">
      <c r="B871" s="300" t="s">
        <v>926</v>
      </c>
      <c r="C871" s="300" t="s">
        <v>3629</v>
      </c>
      <c r="D871" s="300" t="s">
        <v>3630</v>
      </c>
      <c r="E871" s="300" t="s">
        <v>928</v>
      </c>
      <c r="F871" s="300" t="s">
        <v>3631</v>
      </c>
      <c r="G871" s="300" t="s">
        <v>3632</v>
      </c>
      <c r="H871" s="300" t="s">
        <v>3369</v>
      </c>
      <c r="I871" s="300" t="s">
        <v>446</v>
      </c>
    </row>
    <row r="872" spans="2:9" ht="14.5">
      <c r="B872" s="300" t="s">
        <v>926</v>
      </c>
      <c r="C872" s="300" t="s">
        <v>3633</v>
      </c>
      <c r="D872" s="300" t="s">
        <v>3632</v>
      </c>
      <c r="E872" s="300" t="s">
        <v>928</v>
      </c>
      <c r="F872" s="300" t="s">
        <v>3631</v>
      </c>
      <c r="G872" s="300" t="s">
        <v>3632</v>
      </c>
      <c r="H872" s="300" t="s">
        <v>3369</v>
      </c>
      <c r="I872" s="300" t="s">
        <v>446</v>
      </c>
    </row>
    <row r="873" spans="2:9" ht="14.5">
      <c r="B873" s="300" t="s">
        <v>926</v>
      </c>
      <c r="C873" s="300" t="s">
        <v>3634</v>
      </c>
      <c r="D873" s="300" t="s">
        <v>3635</v>
      </c>
      <c r="E873" s="300" t="s">
        <v>928</v>
      </c>
      <c r="F873" s="300" t="s">
        <v>3636</v>
      </c>
      <c r="G873" s="300" t="s">
        <v>3637</v>
      </c>
      <c r="H873" s="300" t="s">
        <v>3369</v>
      </c>
      <c r="I873" s="300" t="s">
        <v>446</v>
      </c>
    </row>
    <row r="874" spans="2:9" ht="14.5">
      <c r="B874" s="300" t="s">
        <v>926</v>
      </c>
      <c r="C874" s="300" t="s">
        <v>3638</v>
      </c>
      <c r="D874" s="300" t="s">
        <v>3639</v>
      </c>
      <c r="E874" s="300" t="s">
        <v>928</v>
      </c>
      <c r="F874" s="378" t="s">
        <v>5205</v>
      </c>
      <c r="G874" s="300" t="s">
        <v>3640</v>
      </c>
      <c r="H874" s="300" t="s">
        <v>3369</v>
      </c>
      <c r="I874" s="300" t="s">
        <v>446</v>
      </c>
    </row>
    <row r="875" spans="2:9" ht="14.5">
      <c r="B875" s="300" t="s">
        <v>926</v>
      </c>
      <c r="C875" s="300" t="s">
        <v>3641</v>
      </c>
      <c r="D875" s="300" t="s">
        <v>3642</v>
      </c>
      <c r="E875" s="300" t="s">
        <v>928</v>
      </c>
      <c r="F875" s="300" t="s">
        <v>3643</v>
      </c>
      <c r="G875" s="300" t="s">
        <v>3642</v>
      </c>
      <c r="H875" s="300" t="s">
        <v>3369</v>
      </c>
      <c r="I875" s="300" t="s">
        <v>446</v>
      </c>
    </row>
    <row r="876" spans="2:9" ht="14.5">
      <c r="B876" s="300" t="s">
        <v>926</v>
      </c>
      <c r="C876" s="300" t="s">
        <v>3644</v>
      </c>
      <c r="D876" s="300" t="s">
        <v>3645</v>
      </c>
      <c r="E876" s="300" t="s">
        <v>928</v>
      </c>
      <c r="F876" s="300" t="s">
        <v>3646</v>
      </c>
      <c r="G876" s="300" t="s">
        <v>3647</v>
      </c>
      <c r="H876" s="300" t="s">
        <v>3369</v>
      </c>
      <c r="I876" s="300" t="s">
        <v>446</v>
      </c>
    </row>
    <row r="877" spans="2:9" ht="14.5">
      <c r="B877" s="300" t="s">
        <v>926</v>
      </c>
      <c r="C877" s="300" t="s">
        <v>3648</v>
      </c>
      <c r="D877" s="300" t="s">
        <v>3649</v>
      </c>
      <c r="E877" s="300" t="s">
        <v>928</v>
      </c>
      <c r="F877" s="300" t="s">
        <v>3186</v>
      </c>
      <c r="G877" s="300" t="s">
        <v>3187</v>
      </c>
      <c r="H877" s="300" t="s">
        <v>2962</v>
      </c>
      <c r="I877" s="300" t="s">
        <v>446</v>
      </c>
    </row>
    <row r="878" spans="2:9" ht="14.5">
      <c r="B878" s="300" t="s">
        <v>926</v>
      </c>
      <c r="C878" s="300" t="s">
        <v>3650</v>
      </c>
      <c r="D878" s="300" t="s">
        <v>3651</v>
      </c>
      <c r="E878" s="300" t="s">
        <v>928</v>
      </c>
      <c r="F878" s="300" t="s">
        <v>3186</v>
      </c>
      <c r="G878" s="300" t="s">
        <v>3187</v>
      </c>
      <c r="H878" s="300" t="s">
        <v>2962</v>
      </c>
      <c r="I878" s="300" t="s">
        <v>446</v>
      </c>
    </row>
    <row r="879" spans="2:9" ht="14.5">
      <c r="B879" s="300" t="s">
        <v>926</v>
      </c>
      <c r="C879" s="300" t="s">
        <v>3652</v>
      </c>
      <c r="D879" s="300" t="s">
        <v>3653</v>
      </c>
      <c r="E879" s="300" t="s">
        <v>928</v>
      </c>
      <c r="F879" s="378" t="s">
        <v>2702</v>
      </c>
      <c r="G879" s="300" t="s">
        <v>3468</v>
      </c>
      <c r="H879" s="300" t="s">
        <v>3369</v>
      </c>
      <c r="I879" s="300" t="s">
        <v>446</v>
      </c>
    </row>
    <row r="880" spans="2:9" ht="14.5">
      <c r="B880" s="300" t="s">
        <v>926</v>
      </c>
      <c r="C880" s="300" t="s">
        <v>3654</v>
      </c>
      <c r="D880" s="300" t="s">
        <v>3655</v>
      </c>
      <c r="E880" s="300" t="s">
        <v>928</v>
      </c>
      <c r="F880" s="300" t="s">
        <v>3656</v>
      </c>
      <c r="G880" s="300" t="s">
        <v>3657</v>
      </c>
      <c r="H880" s="300" t="s">
        <v>3369</v>
      </c>
      <c r="I880" s="300" t="s">
        <v>446</v>
      </c>
    </row>
    <row r="881" spans="2:9" ht="14.5">
      <c r="B881" s="300" t="s">
        <v>926</v>
      </c>
      <c r="C881" s="300" t="s">
        <v>3658</v>
      </c>
      <c r="D881" s="300" t="s">
        <v>3659</v>
      </c>
      <c r="E881" s="300" t="s">
        <v>928</v>
      </c>
      <c r="F881" s="300" t="s">
        <v>3656</v>
      </c>
      <c r="G881" s="300" t="s">
        <v>3657</v>
      </c>
      <c r="H881" s="300" t="s">
        <v>3369</v>
      </c>
      <c r="I881" s="300" t="s">
        <v>446</v>
      </c>
    </row>
    <row r="882" spans="2:9" ht="14.5">
      <c r="B882" s="300" t="s">
        <v>926</v>
      </c>
      <c r="C882" s="300" t="s">
        <v>3660</v>
      </c>
      <c r="D882" s="300" t="s">
        <v>3661</v>
      </c>
      <c r="E882" s="300" t="s">
        <v>928</v>
      </c>
      <c r="F882" s="378" t="s">
        <v>2702</v>
      </c>
      <c r="G882" s="300" t="s">
        <v>3468</v>
      </c>
      <c r="H882" s="300" t="s">
        <v>3369</v>
      </c>
      <c r="I882" s="300" t="s">
        <v>446</v>
      </c>
    </row>
    <row r="883" spans="2:9" ht="14.5">
      <c r="B883" s="300" t="s">
        <v>926</v>
      </c>
      <c r="C883" s="300" t="s">
        <v>3662</v>
      </c>
      <c r="D883" s="300" t="s">
        <v>3663</v>
      </c>
      <c r="E883" s="300" t="s">
        <v>928</v>
      </c>
      <c r="F883" s="300" t="s">
        <v>3664</v>
      </c>
      <c r="G883" s="300" t="s">
        <v>3665</v>
      </c>
      <c r="H883" s="300" t="s">
        <v>3369</v>
      </c>
      <c r="I883" s="300" t="s">
        <v>446</v>
      </c>
    </row>
    <row r="884" spans="2:9" ht="14.5">
      <c r="B884" s="300" t="s">
        <v>926</v>
      </c>
      <c r="C884" s="300" t="s">
        <v>3666</v>
      </c>
      <c r="D884" s="300" t="s">
        <v>3667</v>
      </c>
      <c r="E884" s="300" t="s">
        <v>928</v>
      </c>
      <c r="F884" s="300" t="s">
        <v>3668</v>
      </c>
      <c r="G884" s="300" t="s">
        <v>3669</v>
      </c>
      <c r="H884" s="300" t="s">
        <v>3369</v>
      </c>
      <c r="I884" s="300" t="s">
        <v>446</v>
      </c>
    </row>
    <row r="885" spans="2:9" ht="14.5">
      <c r="B885" s="300" t="s">
        <v>926</v>
      </c>
      <c r="C885" s="300" t="s">
        <v>3670</v>
      </c>
      <c r="D885" s="300" t="s">
        <v>3671</v>
      </c>
      <c r="E885" s="300" t="s">
        <v>928</v>
      </c>
      <c r="F885" s="378" t="s">
        <v>5206</v>
      </c>
      <c r="G885" s="300" t="s">
        <v>3672</v>
      </c>
      <c r="H885" s="300" t="s">
        <v>3369</v>
      </c>
      <c r="I885" s="300" t="s">
        <v>446</v>
      </c>
    </row>
    <row r="886" spans="2:9" ht="14.5">
      <c r="B886" s="300" t="s">
        <v>926</v>
      </c>
      <c r="C886" s="300" t="s">
        <v>3673</v>
      </c>
      <c r="D886" s="300" t="s">
        <v>3674</v>
      </c>
      <c r="E886" s="300" t="s">
        <v>928</v>
      </c>
      <c r="F886" s="300" t="s">
        <v>3675</v>
      </c>
      <c r="G886" s="300" t="s">
        <v>3674</v>
      </c>
      <c r="H886" s="300" t="s">
        <v>3369</v>
      </c>
      <c r="I886" s="300" t="s">
        <v>446</v>
      </c>
    </row>
    <row r="887" spans="2:9" ht="14.5">
      <c r="B887" s="300" t="s">
        <v>926</v>
      </c>
      <c r="C887" s="300" t="s">
        <v>3676</v>
      </c>
      <c r="D887" s="300" t="s">
        <v>3677</v>
      </c>
      <c r="E887" s="300" t="s">
        <v>928</v>
      </c>
      <c r="F887" s="300" t="s">
        <v>3678</v>
      </c>
      <c r="G887" s="300" t="s">
        <v>3679</v>
      </c>
      <c r="H887" s="300" t="s">
        <v>3488</v>
      </c>
      <c r="I887" s="300" t="s">
        <v>446</v>
      </c>
    </row>
    <row r="888" spans="2:9" ht="14.5">
      <c r="B888" s="300" t="s">
        <v>926</v>
      </c>
      <c r="C888" s="300" t="s">
        <v>3680</v>
      </c>
      <c r="D888" s="300" t="s">
        <v>3681</v>
      </c>
      <c r="E888" s="300" t="s">
        <v>928</v>
      </c>
      <c r="F888" s="378" t="s">
        <v>5207</v>
      </c>
      <c r="G888" s="300" t="s">
        <v>3682</v>
      </c>
      <c r="H888" s="300" t="s">
        <v>3488</v>
      </c>
      <c r="I888" s="300" t="s">
        <v>446</v>
      </c>
    </row>
    <row r="889" spans="2:9" ht="14.5">
      <c r="B889" s="300" t="s">
        <v>926</v>
      </c>
      <c r="C889" s="300" t="s">
        <v>3683</v>
      </c>
      <c r="D889" s="300" t="s">
        <v>3684</v>
      </c>
      <c r="E889" s="300" t="s">
        <v>928</v>
      </c>
      <c r="F889" s="300" t="s">
        <v>3685</v>
      </c>
      <c r="G889" s="300" t="s">
        <v>3686</v>
      </c>
      <c r="H889" s="300" t="s">
        <v>3369</v>
      </c>
      <c r="I889" s="300" t="s">
        <v>446</v>
      </c>
    </row>
    <row r="890" spans="2:9" ht="14.5">
      <c r="B890" s="300" t="s">
        <v>926</v>
      </c>
      <c r="C890" s="300" t="s">
        <v>3687</v>
      </c>
      <c r="D890" s="300" t="s">
        <v>3688</v>
      </c>
      <c r="E890" s="300" t="s">
        <v>928</v>
      </c>
      <c r="F890" s="378" t="s">
        <v>2702</v>
      </c>
      <c r="G890" s="300" t="s">
        <v>3468</v>
      </c>
      <c r="H890" s="300" t="s">
        <v>3369</v>
      </c>
      <c r="I890" s="300" t="s">
        <v>446</v>
      </c>
    </row>
    <row r="891" spans="2:9" ht="14.5">
      <c r="B891" s="300" t="s">
        <v>926</v>
      </c>
      <c r="C891" s="300" t="s">
        <v>3689</v>
      </c>
      <c r="D891" s="300" t="s">
        <v>3690</v>
      </c>
      <c r="E891" s="300" t="s">
        <v>928</v>
      </c>
      <c r="F891" s="300" t="s">
        <v>3691</v>
      </c>
      <c r="G891" s="300" t="s">
        <v>3692</v>
      </c>
      <c r="H891" s="300" t="s">
        <v>3369</v>
      </c>
      <c r="I891" s="300" t="s">
        <v>446</v>
      </c>
    </row>
    <row r="892" spans="2:9" ht="14.5">
      <c r="B892" s="300" t="s">
        <v>926</v>
      </c>
      <c r="C892" s="300" t="s">
        <v>3693</v>
      </c>
      <c r="D892" s="300" t="s">
        <v>3694</v>
      </c>
      <c r="E892" s="300" t="s">
        <v>928</v>
      </c>
      <c r="F892" s="300" t="s">
        <v>3695</v>
      </c>
      <c r="G892" s="300" t="s">
        <v>3696</v>
      </c>
      <c r="H892" s="300" t="s">
        <v>3369</v>
      </c>
      <c r="I892" s="300" t="s">
        <v>446</v>
      </c>
    </row>
    <row r="893" spans="2:9" ht="14.5">
      <c r="B893" s="300" t="s">
        <v>926</v>
      </c>
      <c r="C893" s="300" t="s">
        <v>3697</v>
      </c>
      <c r="D893" s="300" t="s">
        <v>3698</v>
      </c>
      <c r="E893" s="300" t="s">
        <v>928</v>
      </c>
      <c r="F893" s="300" t="s">
        <v>3420</v>
      </c>
      <c r="G893" s="300" t="s">
        <v>3421</v>
      </c>
      <c r="H893" s="300" t="s">
        <v>3369</v>
      </c>
      <c r="I893" s="300" t="s">
        <v>446</v>
      </c>
    </row>
    <row r="894" spans="2:9" ht="14.5">
      <c r="B894" s="300" t="s">
        <v>926</v>
      </c>
      <c r="C894" s="300" t="s">
        <v>3699</v>
      </c>
      <c r="D894" s="300" t="s">
        <v>3700</v>
      </c>
      <c r="E894" s="300" t="s">
        <v>928</v>
      </c>
      <c r="F894" s="378" t="s">
        <v>5195</v>
      </c>
      <c r="G894" s="300" t="s">
        <v>3417</v>
      </c>
      <c r="H894" s="300" t="s">
        <v>3369</v>
      </c>
      <c r="I894" s="300" t="s">
        <v>446</v>
      </c>
    </row>
    <row r="895" spans="2:9" ht="14.5">
      <c r="B895" s="300" t="s">
        <v>926</v>
      </c>
      <c r="C895" s="300" t="s">
        <v>3701</v>
      </c>
      <c r="D895" s="300" t="s">
        <v>3702</v>
      </c>
      <c r="E895" s="300" t="s">
        <v>928</v>
      </c>
      <c r="F895" s="300" t="s">
        <v>3703</v>
      </c>
      <c r="G895" s="300" t="s">
        <v>3704</v>
      </c>
      <c r="H895" s="300" t="s">
        <v>3369</v>
      </c>
      <c r="I895" s="300" t="s">
        <v>446</v>
      </c>
    </row>
    <row r="896" spans="2:9" ht="14.5">
      <c r="B896" s="300" t="s">
        <v>926</v>
      </c>
      <c r="C896" s="300" t="s">
        <v>3705</v>
      </c>
      <c r="D896" s="300" t="s">
        <v>3706</v>
      </c>
      <c r="E896" s="300" t="s">
        <v>928</v>
      </c>
      <c r="F896" s="300" t="s">
        <v>3707</v>
      </c>
      <c r="G896" s="300" t="s">
        <v>3708</v>
      </c>
      <c r="H896" s="300" t="s">
        <v>3369</v>
      </c>
      <c r="I896" s="300" t="s">
        <v>446</v>
      </c>
    </row>
    <row r="897" spans="2:9" ht="14.5">
      <c r="B897" s="300" t="s">
        <v>926</v>
      </c>
      <c r="C897" s="300" t="s">
        <v>3709</v>
      </c>
      <c r="D897" s="300" t="s">
        <v>3710</v>
      </c>
      <c r="E897" s="300" t="s">
        <v>928</v>
      </c>
      <c r="F897" s="300" t="s">
        <v>3711</v>
      </c>
      <c r="G897" s="300" t="s">
        <v>3712</v>
      </c>
      <c r="H897" s="300" t="s">
        <v>3369</v>
      </c>
      <c r="I897" s="300" t="s">
        <v>446</v>
      </c>
    </row>
    <row r="898" spans="2:9" ht="14.5">
      <c r="B898" s="300" t="s">
        <v>926</v>
      </c>
      <c r="C898" s="300" t="s">
        <v>3713</v>
      </c>
      <c r="D898" s="300" t="s">
        <v>3714</v>
      </c>
      <c r="E898" s="300" t="s">
        <v>928</v>
      </c>
      <c r="F898" s="300" t="s">
        <v>3715</v>
      </c>
      <c r="G898" s="300" t="s">
        <v>3716</v>
      </c>
      <c r="H898" s="300" t="s">
        <v>3369</v>
      </c>
      <c r="I898" s="300" t="s">
        <v>446</v>
      </c>
    </row>
    <row r="899" spans="2:9" ht="14.5">
      <c r="B899" s="300" t="s">
        <v>926</v>
      </c>
      <c r="C899" s="300" t="s">
        <v>3717</v>
      </c>
      <c r="D899" s="300" t="s">
        <v>3718</v>
      </c>
      <c r="E899" s="300" t="s">
        <v>928</v>
      </c>
      <c r="F899" s="300" t="s">
        <v>3420</v>
      </c>
      <c r="G899" s="300" t="s">
        <v>3421</v>
      </c>
      <c r="H899" s="300" t="s">
        <v>3369</v>
      </c>
      <c r="I899" s="300" t="s">
        <v>446</v>
      </c>
    </row>
    <row r="900" spans="2:9" ht="14.5">
      <c r="B900" s="300" t="s">
        <v>926</v>
      </c>
      <c r="C900" s="300" t="s">
        <v>3719</v>
      </c>
      <c r="D900" s="300" t="s">
        <v>3720</v>
      </c>
      <c r="E900" s="300" t="s">
        <v>928</v>
      </c>
      <c r="F900" s="300" t="s">
        <v>3721</v>
      </c>
      <c r="G900" s="300" t="s">
        <v>3722</v>
      </c>
      <c r="H900" s="300" t="s">
        <v>3369</v>
      </c>
      <c r="I900" s="300" t="s">
        <v>446</v>
      </c>
    </row>
    <row r="901" spans="2:9" ht="14.5">
      <c r="B901" s="300" t="s">
        <v>926</v>
      </c>
      <c r="C901" s="300" t="s">
        <v>3723</v>
      </c>
      <c r="D901" s="300" t="s">
        <v>3724</v>
      </c>
      <c r="E901" s="300" t="s">
        <v>928</v>
      </c>
      <c r="F901" s="300" t="s">
        <v>3420</v>
      </c>
      <c r="G901" s="300" t="s">
        <v>3421</v>
      </c>
      <c r="H901" s="300" t="s">
        <v>3369</v>
      </c>
      <c r="I901" s="300" t="s">
        <v>446</v>
      </c>
    </row>
    <row r="902" spans="2:9" ht="14.5">
      <c r="B902" s="300" t="s">
        <v>926</v>
      </c>
      <c r="C902" s="300" t="s">
        <v>3725</v>
      </c>
      <c r="D902" s="300" t="s">
        <v>3726</v>
      </c>
      <c r="E902" s="300" t="s">
        <v>928</v>
      </c>
      <c r="F902" s="300" t="s">
        <v>3727</v>
      </c>
      <c r="G902" s="300" t="s">
        <v>3728</v>
      </c>
      <c r="H902" s="300" t="s">
        <v>3369</v>
      </c>
      <c r="I902" s="300" t="s">
        <v>446</v>
      </c>
    </row>
    <row r="903" spans="2:9" ht="14.5">
      <c r="B903" s="300" t="s">
        <v>926</v>
      </c>
      <c r="C903" s="300" t="s">
        <v>3729</v>
      </c>
      <c r="D903" s="300" t="s">
        <v>3621</v>
      </c>
      <c r="E903" s="300" t="s">
        <v>928</v>
      </c>
      <c r="F903" s="300" t="s">
        <v>3420</v>
      </c>
      <c r="G903" s="300" t="s">
        <v>3421</v>
      </c>
      <c r="H903" s="300" t="s">
        <v>3369</v>
      </c>
      <c r="I903" s="300" t="s">
        <v>446</v>
      </c>
    </row>
    <row r="904" spans="2:9" ht="14.5">
      <c r="B904" s="300" t="s">
        <v>926</v>
      </c>
      <c r="C904" s="300" t="s">
        <v>3730</v>
      </c>
      <c r="D904" s="300" t="s">
        <v>3731</v>
      </c>
      <c r="E904" s="300" t="s">
        <v>928</v>
      </c>
      <c r="F904" s="378" t="s">
        <v>5208</v>
      </c>
      <c r="G904" s="300" t="s">
        <v>3732</v>
      </c>
      <c r="H904" s="300" t="s">
        <v>3369</v>
      </c>
      <c r="I904" s="300" t="s">
        <v>446</v>
      </c>
    </row>
    <row r="905" spans="2:9" ht="14.5">
      <c r="B905" s="300" t="s">
        <v>926</v>
      </c>
      <c r="C905" s="300" t="s">
        <v>3733</v>
      </c>
      <c r="D905" s="300" t="s">
        <v>3734</v>
      </c>
      <c r="E905" s="300" t="s">
        <v>928</v>
      </c>
      <c r="F905" s="300" t="s">
        <v>3735</v>
      </c>
      <c r="G905" s="300" t="s">
        <v>3736</v>
      </c>
      <c r="H905" s="300" t="s">
        <v>3369</v>
      </c>
      <c r="I905" s="300" t="s">
        <v>446</v>
      </c>
    </row>
    <row r="906" spans="2:9" ht="14.5">
      <c r="B906" s="300" t="s">
        <v>926</v>
      </c>
      <c r="C906" s="300" t="s">
        <v>3737</v>
      </c>
      <c r="D906" s="300" t="s">
        <v>3736</v>
      </c>
      <c r="E906" s="300" t="s">
        <v>928</v>
      </c>
      <c r="F906" s="300" t="s">
        <v>3735</v>
      </c>
      <c r="G906" s="300" t="s">
        <v>3736</v>
      </c>
      <c r="H906" s="300" t="s">
        <v>3369</v>
      </c>
      <c r="I906" s="300" t="s">
        <v>446</v>
      </c>
    </row>
    <row r="907" spans="2:9" ht="14.5">
      <c r="B907" s="300" t="s">
        <v>926</v>
      </c>
      <c r="C907" s="300" t="s">
        <v>3738</v>
      </c>
      <c r="D907" s="300" t="s">
        <v>3739</v>
      </c>
      <c r="E907" s="300" t="s">
        <v>928</v>
      </c>
      <c r="F907" s="378" t="s">
        <v>2746</v>
      </c>
      <c r="G907" s="300" t="s">
        <v>3740</v>
      </c>
      <c r="H907" s="300" t="s">
        <v>3369</v>
      </c>
      <c r="I907" s="300" t="s">
        <v>446</v>
      </c>
    </row>
    <row r="908" spans="2:9" ht="14.5">
      <c r="B908" s="300" t="s">
        <v>926</v>
      </c>
      <c r="C908" s="300" t="s">
        <v>3741</v>
      </c>
      <c r="D908" s="300" t="s">
        <v>3742</v>
      </c>
      <c r="E908" s="300" t="s">
        <v>928</v>
      </c>
      <c r="F908" s="300" t="s">
        <v>3743</v>
      </c>
      <c r="G908" s="300" t="s">
        <v>3744</v>
      </c>
      <c r="H908" s="300" t="s">
        <v>3369</v>
      </c>
      <c r="I908" s="300" t="s">
        <v>446</v>
      </c>
    </row>
    <row r="909" spans="2:9" ht="14.5">
      <c r="B909" s="300" t="s">
        <v>926</v>
      </c>
      <c r="C909" s="300" t="s">
        <v>3745</v>
      </c>
      <c r="D909" s="300" t="s">
        <v>3746</v>
      </c>
      <c r="E909" s="300" t="s">
        <v>928</v>
      </c>
      <c r="F909" s="378" t="s">
        <v>5209</v>
      </c>
      <c r="G909" s="300" t="s">
        <v>3747</v>
      </c>
      <c r="H909" s="300" t="s">
        <v>1040</v>
      </c>
      <c r="I909" s="300" t="s">
        <v>446</v>
      </c>
    </row>
    <row r="910" spans="2:9" ht="14.5">
      <c r="B910" s="300" t="s">
        <v>926</v>
      </c>
      <c r="C910" s="300" t="s">
        <v>3748</v>
      </c>
      <c r="D910" s="300" t="s">
        <v>3749</v>
      </c>
      <c r="E910" s="300" t="s">
        <v>928</v>
      </c>
      <c r="F910" s="300" t="s">
        <v>3750</v>
      </c>
      <c r="G910" s="300" t="s">
        <v>3751</v>
      </c>
      <c r="H910" s="300" t="s">
        <v>1040</v>
      </c>
      <c r="I910" s="300" t="s">
        <v>446</v>
      </c>
    </row>
    <row r="911" spans="2:9" ht="14.5">
      <c r="B911" s="300" t="s">
        <v>926</v>
      </c>
      <c r="C911" s="300" t="s">
        <v>3752</v>
      </c>
      <c r="D911" s="300" t="s">
        <v>3753</v>
      </c>
      <c r="E911" s="300" t="s">
        <v>928</v>
      </c>
      <c r="F911" s="300" t="s">
        <v>3750</v>
      </c>
      <c r="G911" s="300" t="s">
        <v>3751</v>
      </c>
      <c r="H911" s="300" t="s">
        <v>1040</v>
      </c>
      <c r="I911" s="300" t="s">
        <v>446</v>
      </c>
    </row>
    <row r="912" spans="2:9" ht="14.5">
      <c r="B912" s="300" t="s">
        <v>926</v>
      </c>
      <c r="C912" s="300" t="s">
        <v>3754</v>
      </c>
      <c r="D912" s="300" t="s">
        <v>3755</v>
      </c>
      <c r="E912" s="300" t="s">
        <v>928</v>
      </c>
      <c r="F912" s="378" t="s">
        <v>3029</v>
      </c>
      <c r="G912" s="300" t="s">
        <v>3756</v>
      </c>
      <c r="H912" s="300" t="s">
        <v>1040</v>
      </c>
      <c r="I912" s="300" t="s">
        <v>446</v>
      </c>
    </row>
    <row r="913" spans="2:9" ht="14.5">
      <c r="B913" s="300" t="s">
        <v>926</v>
      </c>
      <c r="C913" s="300" t="s">
        <v>3757</v>
      </c>
      <c r="D913" s="300" t="s">
        <v>3758</v>
      </c>
      <c r="E913" s="300" t="s">
        <v>928</v>
      </c>
      <c r="F913" s="300" t="s">
        <v>3759</v>
      </c>
      <c r="G913" s="300" t="s">
        <v>3760</v>
      </c>
      <c r="H913" s="300" t="s">
        <v>1040</v>
      </c>
      <c r="I913" s="300" t="s">
        <v>446</v>
      </c>
    </row>
    <row r="914" spans="2:9" ht="14.5">
      <c r="B914" s="300" t="s">
        <v>926</v>
      </c>
      <c r="C914" s="300" t="s">
        <v>3761</v>
      </c>
      <c r="D914" s="300" t="s">
        <v>3762</v>
      </c>
      <c r="E914" s="300" t="s">
        <v>928</v>
      </c>
      <c r="F914" s="300" t="s">
        <v>3759</v>
      </c>
      <c r="G914" s="300" t="s">
        <v>3760</v>
      </c>
      <c r="H914" s="300" t="s">
        <v>1040</v>
      </c>
      <c r="I914" s="300" t="s">
        <v>446</v>
      </c>
    </row>
    <row r="915" spans="2:9" ht="14.5">
      <c r="B915" s="300" t="s">
        <v>926</v>
      </c>
      <c r="C915" s="300" t="s">
        <v>3763</v>
      </c>
      <c r="D915" s="300" t="s">
        <v>3764</v>
      </c>
      <c r="E915" s="300" t="s">
        <v>928</v>
      </c>
      <c r="F915" s="378" t="s">
        <v>3050</v>
      </c>
      <c r="G915" s="300" t="s">
        <v>3765</v>
      </c>
      <c r="H915" s="300" t="s">
        <v>1040</v>
      </c>
      <c r="I915" s="300" t="s">
        <v>446</v>
      </c>
    </row>
    <row r="916" spans="2:9" ht="14.5">
      <c r="B916" s="300" t="s">
        <v>926</v>
      </c>
      <c r="C916" s="300" t="s">
        <v>3766</v>
      </c>
      <c r="D916" s="300" t="s">
        <v>3767</v>
      </c>
      <c r="E916" s="300" t="s">
        <v>928</v>
      </c>
      <c r="F916" s="300" t="s">
        <v>3768</v>
      </c>
      <c r="G916" s="300" t="s">
        <v>3769</v>
      </c>
      <c r="H916" s="300" t="s">
        <v>1040</v>
      </c>
      <c r="I916" s="300" t="s">
        <v>446</v>
      </c>
    </row>
    <row r="917" spans="2:9" ht="14.5">
      <c r="B917" s="300" t="s">
        <v>926</v>
      </c>
      <c r="C917" s="300" t="s">
        <v>3770</v>
      </c>
      <c r="D917" s="300" t="s">
        <v>3771</v>
      </c>
      <c r="E917" s="300" t="s">
        <v>928</v>
      </c>
      <c r="F917" s="378" t="s">
        <v>3029</v>
      </c>
      <c r="G917" s="300" t="s">
        <v>3756</v>
      </c>
      <c r="H917" s="300" t="s">
        <v>1040</v>
      </c>
      <c r="I917" s="300" t="s">
        <v>446</v>
      </c>
    </row>
    <row r="918" spans="2:9" ht="14.5">
      <c r="B918" s="300" t="s">
        <v>926</v>
      </c>
      <c r="C918" s="300" t="s">
        <v>3772</v>
      </c>
      <c r="D918" s="300" t="s">
        <v>3773</v>
      </c>
      <c r="E918" s="300" t="s">
        <v>928</v>
      </c>
      <c r="F918" s="300" t="s">
        <v>3759</v>
      </c>
      <c r="G918" s="300" t="s">
        <v>3760</v>
      </c>
      <c r="H918" s="300" t="s">
        <v>1040</v>
      </c>
      <c r="I918" s="300" t="s">
        <v>446</v>
      </c>
    </row>
    <row r="919" spans="2:9" ht="14.5">
      <c r="B919" s="300" t="s">
        <v>926</v>
      </c>
      <c r="C919" s="300" t="s">
        <v>3774</v>
      </c>
      <c r="D919" s="300" t="s">
        <v>3775</v>
      </c>
      <c r="E919" s="300" t="s">
        <v>928</v>
      </c>
      <c r="F919" s="300" t="s">
        <v>3776</v>
      </c>
      <c r="G919" s="300" t="s">
        <v>3777</v>
      </c>
      <c r="H919" s="300" t="s">
        <v>1040</v>
      </c>
      <c r="I919" s="300" t="s">
        <v>446</v>
      </c>
    </row>
    <row r="920" spans="2:9" ht="14.5">
      <c r="B920" s="300" t="s">
        <v>926</v>
      </c>
      <c r="C920" s="300" t="s">
        <v>3778</v>
      </c>
      <c r="D920" s="300" t="s">
        <v>3779</v>
      </c>
      <c r="E920" s="300" t="s">
        <v>928</v>
      </c>
      <c r="F920" s="300" t="s">
        <v>3776</v>
      </c>
      <c r="G920" s="300" t="s">
        <v>3777</v>
      </c>
      <c r="H920" s="300" t="s">
        <v>1040</v>
      </c>
      <c r="I920" s="300" t="s">
        <v>446</v>
      </c>
    </row>
    <row r="921" spans="2:9" ht="14.5">
      <c r="B921" s="300" t="s">
        <v>926</v>
      </c>
      <c r="C921" s="300" t="s">
        <v>3780</v>
      </c>
      <c r="D921" s="300" t="s">
        <v>3781</v>
      </c>
      <c r="E921" s="300" t="s">
        <v>928</v>
      </c>
      <c r="F921" s="300" t="s">
        <v>3782</v>
      </c>
      <c r="G921" s="300" t="s">
        <v>3781</v>
      </c>
      <c r="H921" s="300" t="s">
        <v>1040</v>
      </c>
      <c r="I921" s="300" t="s">
        <v>446</v>
      </c>
    </row>
    <row r="922" spans="2:9" ht="14.5">
      <c r="B922" s="300" t="s">
        <v>926</v>
      </c>
      <c r="C922" s="300" t="s">
        <v>3783</v>
      </c>
      <c r="D922" s="300" t="s">
        <v>3784</v>
      </c>
      <c r="E922" s="300" t="s">
        <v>928</v>
      </c>
      <c r="F922" s="378" t="s">
        <v>5209</v>
      </c>
      <c r="G922" s="300" t="s">
        <v>3747</v>
      </c>
      <c r="H922" s="300" t="s">
        <v>1040</v>
      </c>
      <c r="I922" s="300" t="s">
        <v>446</v>
      </c>
    </row>
    <row r="923" spans="2:9" ht="14.5">
      <c r="B923" s="300" t="s">
        <v>926</v>
      </c>
      <c r="C923" s="300" t="s">
        <v>3785</v>
      </c>
      <c r="D923" s="300" t="s">
        <v>3786</v>
      </c>
      <c r="E923" s="300" t="s">
        <v>928</v>
      </c>
      <c r="F923" s="378" t="s">
        <v>5248</v>
      </c>
      <c r="G923" s="300" t="s">
        <v>3787</v>
      </c>
      <c r="H923" s="300" t="s">
        <v>1040</v>
      </c>
      <c r="I923" s="300" t="s">
        <v>446</v>
      </c>
    </row>
    <row r="924" spans="2:9" ht="14.5">
      <c r="B924" s="300" t="s">
        <v>926</v>
      </c>
      <c r="C924" s="300" t="s">
        <v>3788</v>
      </c>
      <c r="D924" s="300" t="s">
        <v>3789</v>
      </c>
      <c r="E924" s="300" t="s">
        <v>928</v>
      </c>
      <c r="F924" s="300" t="s">
        <v>3790</v>
      </c>
      <c r="G924" s="300" t="s">
        <v>3791</v>
      </c>
      <c r="H924" s="300" t="s">
        <v>1040</v>
      </c>
      <c r="I924" s="300" t="s">
        <v>446</v>
      </c>
    </row>
    <row r="925" spans="2:9" ht="14.5">
      <c r="B925" s="300" t="s">
        <v>926</v>
      </c>
      <c r="C925" s="300" t="s">
        <v>3792</v>
      </c>
      <c r="D925" s="300" t="s">
        <v>3793</v>
      </c>
      <c r="E925" s="300" t="s">
        <v>928</v>
      </c>
      <c r="F925" s="378" t="s">
        <v>3050</v>
      </c>
      <c r="G925" s="300" t="s">
        <v>3765</v>
      </c>
      <c r="H925" s="300" t="s">
        <v>1040</v>
      </c>
      <c r="I925" s="300" t="s">
        <v>446</v>
      </c>
    </row>
    <row r="926" spans="2:9" ht="14.5">
      <c r="B926" s="300" t="s">
        <v>926</v>
      </c>
      <c r="C926" s="300" t="s">
        <v>3794</v>
      </c>
      <c r="D926" s="300" t="s">
        <v>3795</v>
      </c>
      <c r="E926" s="300" t="s">
        <v>928</v>
      </c>
      <c r="F926" s="300" t="s">
        <v>3796</v>
      </c>
      <c r="G926" s="300" t="s">
        <v>3797</v>
      </c>
      <c r="H926" s="300" t="s">
        <v>1040</v>
      </c>
      <c r="I926" s="300" t="s">
        <v>446</v>
      </c>
    </row>
    <row r="927" spans="2:9" ht="14.5">
      <c r="B927" s="300" t="s">
        <v>926</v>
      </c>
      <c r="C927" s="300" t="s">
        <v>3798</v>
      </c>
      <c r="D927" s="300" t="s">
        <v>3799</v>
      </c>
      <c r="E927" s="300" t="s">
        <v>928</v>
      </c>
      <c r="F927" s="300" t="s">
        <v>3800</v>
      </c>
      <c r="G927" s="300" t="s">
        <v>3801</v>
      </c>
      <c r="H927" s="300" t="s">
        <v>1040</v>
      </c>
      <c r="I927" s="300" t="s">
        <v>446</v>
      </c>
    </row>
    <row r="928" spans="2:9" ht="14.5">
      <c r="B928" s="300" t="s">
        <v>926</v>
      </c>
      <c r="C928" s="300" t="s">
        <v>3802</v>
      </c>
      <c r="D928" s="300" t="s">
        <v>3803</v>
      </c>
      <c r="E928" s="300" t="s">
        <v>928</v>
      </c>
      <c r="F928" s="300" t="s">
        <v>3804</v>
      </c>
      <c r="G928" s="300" t="s">
        <v>3805</v>
      </c>
      <c r="H928" s="300" t="s">
        <v>1040</v>
      </c>
      <c r="I928" s="300" t="s">
        <v>446</v>
      </c>
    </row>
    <row r="929" spans="2:9" ht="14.5">
      <c r="B929" s="300" t="s">
        <v>926</v>
      </c>
      <c r="C929" s="300" t="s">
        <v>3806</v>
      </c>
      <c r="D929" s="300" t="s">
        <v>3807</v>
      </c>
      <c r="E929" s="300" t="s">
        <v>928</v>
      </c>
      <c r="F929" s="300" t="s">
        <v>3796</v>
      </c>
      <c r="G929" s="300" t="s">
        <v>3797</v>
      </c>
      <c r="H929" s="300" t="s">
        <v>1040</v>
      </c>
      <c r="I929" s="300" t="s">
        <v>446</v>
      </c>
    </row>
    <row r="930" spans="2:9" ht="14.5">
      <c r="B930" s="300" t="s">
        <v>926</v>
      </c>
      <c r="C930" s="300" t="s">
        <v>3808</v>
      </c>
      <c r="D930" s="300" t="s">
        <v>3809</v>
      </c>
      <c r="E930" s="300" t="s">
        <v>928</v>
      </c>
      <c r="F930" s="300" t="s">
        <v>3810</v>
      </c>
      <c r="G930" s="300" t="s">
        <v>3811</v>
      </c>
      <c r="H930" s="300" t="s">
        <v>1040</v>
      </c>
      <c r="I930" s="300" t="s">
        <v>446</v>
      </c>
    </row>
    <row r="931" spans="2:9" ht="14.5">
      <c r="B931" s="300" t="s">
        <v>926</v>
      </c>
      <c r="C931" s="300" t="s">
        <v>3812</v>
      </c>
      <c r="D931" s="300" t="s">
        <v>3813</v>
      </c>
      <c r="E931" s="300" t="s">
        <v>928</v>
      </c>
      <c r="F931" s="300" t="s">
        <v>3804</v>
      </c>
      <c r="G931" s="300" t="s">
        <v>3805</v>
      </c>
      <c r="H931" s="300" t="s">
        <v>1040</v>
      </c>
      <c r="I931" s="300" t="s">
        <v>446</v>
      </c>
    </row>
    <row r="932" spans="2:9" ht="14.5">
      <c r="B932" s="300" t="s">
        <v>926</v>
      </c>
      <c r="C932" s="300" t="s">
        <v>3814</v>
      </c>
      <c r="D932" s="300" t="s">
        <v>3815</v>
      </c>
      <c r="E932" s="300" t="s">
        <v>928</v>
      </c>
      <c r="F932" s="378" t="s">
        <v>5209</v>
      </c>
      <c r="G932" s="300" t="s">
        <v>3747</v>
      </c>
      <c r="H932" s="300" t="s">
        <v>1040</v>
      </c>
      <c r="I932" s="300" t="s">
        <v>446</v>
      </c>
    </row>
    <row r="933" spans="2:9" ht="14.5">
      <c r="B933" s="300" t="s">
        <v>926</v>
      </c>
      <c r="C933" s="300" t="s">
        <v>3816</v>
      </c>
      <c r="D933" s="300" t="s">
        <v>3817</v>
      </c>
      <c r="E933" s="300" t="s">
        <v>928</v>
      </c>
      <c r="F933" s="378" t="s">
        <v>5249</v>
      </c>
      <c r="G933" s="300" t="s">
        <v>3818</v>
      </c>
      <c r="H933" s="300" t="s">
        <v>1040</v>
      </c>
      <c r="I933" s="300" t="s">
        <v>446</v>
      </c>
    </row>
    <row r="934" spans="2:9" ht="14.5">
      <c r="B934" s="300" t="s">
        <v>926</v>
      </c>
      <c r="C934" s="300" t="s">
        <v>3819</v>
      </c>
      <c r="D934" s="300" t="s">
        <v>3820</v>
      </c>
      <c r="E934" s="300" t="s">
        <v>928</v>
      </c>
      <c r="F934" s="300" t="s">
        <v>3768</v>
      </c>
      <c r="G934" s="300" t="s">
        <v>3769</v>
      </c>
      <c r="H934" s="300" t="s">
        <v>1040</v>
      </c>
      <c r="I934" s="300" t="s">
        <v>446</v>
      </c>
    </row>
    <row r="935" spans="2:9" ht="14.5">
      <c r="B935" s="300" t="s">
        <v>926</v>
      </c>
      <c r="C935" s="300" t="s">
        <v>3821</v>
      </c>
      <c r="D935" s="300" t="s">
        <v>3822</v>
      </c>
      <c r="E935" s="300" t="s">
        <v>928</v>
      </c>
      <c r="F935" s="300" t="s">
        <v>3823</v>
      </c>
      <c r="G935" s="300" t="s">
        <v>3824</v>
      </c>
      <c r="H935" s="300" t="s">
        <v>1040</v>
      </c>
      <c r="I935" s="300" t="s">
        <v>446</v>
      </c>
    </row>
    <row r="936" spans="2:9" ht="14.5">
      <c r="B936" s="300" t="s">
        <v>926</v>
      </c>
      <c r="C936" s="300" t="s">
        <v>3825</v>
      </c>
      <c r="D936" s="300" t="s">
        <v>3826</v>
      </c>
      <c r="E936" s="300" t="s">
        <v>928</v>
      </c>
      <c r="F936" s="300" t="s">
        <v>3827</v>
      </c>
      <c r="G936" s="300" t="s">
        <v>3828</v>
      </c>
      <c r="H936" s="300" t="s">
        <v>1040</v>
      </c>
      <c r="I936" s="300" t="s">
        <v>446</v>
      </c>
    </row>
    <row r="937" spans="2:9" ht="14.5">
      <c r="B937" s="300" t="s">
        <v>926</v>
      </c>
      <c r="C937" s="300" t="s">
        <v>3829</v>
      </c>
      <c r="D937" s="300" t="s">
        <v>3815</v>
      </c>
      <c r="E937" s="300" t="s">
        <v>928</v>
      </c>
      <c r="F937" s="300" t="s">
        <v>3768</v>
      </c>
      <c r="G937" s="300" t="s">
        <v>3769</v>
      </c>
      <c r="H937" s="300" t="s">
        <v>1040</v>
      </c>
      <c r="I937" s="300" t="s">
        <v>446</v>
      </c>
    </row>
    <row r="938" spans="2:9" ht="14.5">
      <c r="B938" s="300" t="s">
        <v>926</v>
      </c>
      <c r="C938" s="300" t="s">
        <v>3830</v>
      </c>
      <c r="D938" s="300" t="s">
        <v>3831</v>
      </c>
      <c r="E938" s="300" t="s">
        <v>928</v>
      </c>
      <c r="F938" s="300" t="s">
        <v>3832</v>
      </c>
      <c r="G938" s="300" t="s">
        <v>3833</v>
      </c>
      <c r="H938" s="300" t="s">
        <v>1040</v>
      </c>
      <c r="I938" s="300" t="s">
        <v>446</v>
      </c>
    </row>
    <row r="939" spans="2:9" ht="14.5">
      <c r="B939" s="300" t="s">
        <v>926</v>
      </c>
      <c r="C939" s="300" t="s">
        <v>3834</v>
      </c>
      <c r="D939" s="300" t="s">
        <v>3835</v>
      </c>
      <c r="E939" s="300" t="s">
        <v>928</v>
      </c>
      <c r="F939" s="378" t="s">
        <v>3050</v>
      </c>
      <c r="G939" s="300" t="s">
        <v>3765</v>
      </c>
      <c r="H939" s="300" t="s">
        <v>1040</v>
      </c>
      <c r="I939" s="300" t="s">
        <v>446</v>
      </c>
    </row>
    <row r="940" spans="2:9" ht="14.5">
      <c r="B940" s="300" t="s">
        <v>926</v>
      </c>
      <c r="C940" s="300" t="s">
        <v>3836</v>
      </c>
      <c r="D940" s="300" t="s">
        <v>3837</v>
      </c>
      <c r="E940" s="300" t="s">
        <v>928</v>
      </c>
      <c r="F940" s="300" t="s">
        <v>3804</v>
      </c>
      <c r="G940" s="300" t="s">
        <v>3805</v>
      </c>
      <c r="H940" s="300" t="s">
        <v>1040</v>
      </c>
      <c r="I940" s="300" t="s">
        <v>446</v>
      </c>
    </row>
    <row r="941" spans="2:9" ht="14.5">
      <c r="B941" s="300" t="s">
        <v>926</v>
      </c>
      <c r="C941" s="300" t="s">
        <v>3838</v>
      </c>
      <c r="D941" s="300" t="s">
        <v>3839</v>
      </c>
      <c r="E941" s="300" t="s">
        <v>928</v>
      </c>
      <c r="F941" s="300" t="s">
        <v>3768</v>
      </c>
      <c r="G941" s="300" t="s">
        <v>3769</v>
      </c>
      <c r="H941" s="300" t="s">
        <v>1040</v>
      </c>
      <c r="I941" s="300" t="s">
        <v>446</v>
      </c>
    </row>
    <row r="942" spans="2:9" ht="14.5">
      <c r="B942" s="300" t="s">
        <v>926</v>
      </c>
      <c r="C942" s="300" t="s">
        <v>3840</v>
      </c>
      <c r="D942" s="300" t="s">
        <v>3841</v>
      </c>
      <c r="E942" s="300" t="s">
        <v>928</v>
      </c>
      <c r="F942" s="300" t="s">
        <v>3804</v>
      </c>
      <c r="G942" s="300" t="s">
        <v>3805</v>
      </c>
      <c r="H942" s="300" t="s">
        <v>1040</v>
      </c>
      <c r="I942" s="300" t="s">
        <v>446</v>
      </c>
    </row>
    <row r="943" spans="2:9" ht="14.5">
      <c r="B943" s="300" t="s">
        <v>926</v>
      </c>
      <c r="C943" s="300" t="s">
        <v>3842</v>
      </c>
      <c r="D943" s="300" t="s">
        <v>3843</v>
      </c>
      <c r="E943" s="300" t="s">
        <v>928</v>
      </c>
      <c r="F943" s="378" t="s">
        <v>3050</v>
      </c>
      <c r="G943" s="300" t="s">
        <v>3765</v>
      </c>
      <c r="H943" s="300" t="s">
        <v>1040</v>
      </c>
      <c r="I943" s="300" t="s">
        <v>446</v>
      </c>
    </row>
    <row r="944" spans="2:9" ht="14.5">
      <c r="B944" s="300" t="s">
        <v>926</v>
      </c>
      <c r="C944" s="300" t="s">
        <v>3844</v>
      </c>
      <c r="D944" s="300" t="s">
        <v>3845</v>
      </c>
      <c r="E944" s="300" t="s">
        <v>928</v>
      </c>
      <c r="F944" s="300" t="s">
        <v>3846</v>
      </c>
      <c r="G944" s="300" t="s">
        <v>3845</v>
      </c>
      <c r="H944" s="300" t="s">
        <v>1040</v>
      </c>
      <c r="I944" s="300" t="s">
        <v>446</v>
      </c>
    </row>
    <row r="945" spans="2:9" ht="14.5">
      <c r="B945" s="300" t="s">
        <v>926</v>
      </c>
      <c r="C945" s="300" t="s">
        <v>3847</v>
      </c>
      <c r="D945" s="300" t="s">
        <v>3848</v>
      </c>
      <c r="E945" s="300" t="s">
        <v>928</v>
      </c>
      <c r="F945" s="300" t="s">
        <v>3849</v>
      </c>
      <c r="G945" s="300" t="s">
        <v>3850</v>
      </c>
      <c r="H945" s="300" t="s">
        <v>1040</v>
      </c>
      <c r="I945" s="300" t="s">
        <v>446</v>
      </c>
    </row>
    <row r="946" spans="2:9" ht="14.5">
      <c r="B946" s="300" t="s">
        <v>926</v>
      </c>
      <c r="C946" s="300" t="s">
        <v>3851</v>
      </c>
      <c r="D946" s="300" t="s">
        <v>3852</v>
      </c>
      <c r="E946" s="300" t="s">
        <v>928</v>
      </c>
      <c r="F946" s="300" t="s">
        <v>3810</v>
      </c>
      <c r="G946" s="300" t="s">
        <v>3811</v>
      </c>
      <c r="H946" s="300" t="s">
        <v>1040</v>
      </c>
      <c r="I946" s="300" t="s">
        <v>446</v>
      </c>
    </row>
    <row r="947" spans="2:9" ht="14.5">
      <c r="B947" s="300" t="s">
        <v>926</v>
      </c>
      <c r="C947" s="300" t="s">
        <v>3853</v>
      </c>
      <c r="D947" s="300" t="s">
        <v>3854</v>
      </c>
      <c r="E947" s="300" t="s">
        <v>928</v>
      </c>
      <c r="F947" s="378" t="s">
        <v>5210</v>
      </c>
      <c r="G947" s="300" t="s">
        <v>3855</v>
      </c>
      <c r="H947" s="300" t="s">
        <v>1040</v>
      </c>
      <c r="I947" s="300" t="s">
        <v>446</v>
      </c>
    </row>
    <row r="948" spans="2:9" ht="14.5">
      <c r="B948" s="300" t="s">
        <v>926</v>
      </c>
      <c r="C948" s="300" t="s">
        <v>3856</v>
      </c>
      <c r="D948" s="300" t="s">
        <v>3857</v>
      </c>
      <c r="E948" s="300" t="s">
        <v>928</v>
      </c>
      <c r="F948" s="378" t="s">
        <v>3056</v>
      </c>
      <c r="G948" s="300" t="s">
        <v>3858</v>
      </c>
      <c r="H948" s="300" t="s">
        <v>1040</v>
      </c>
      <c r="I948" s="300" t="s">
        <v>446</v>
      </c>
    </row>
    <row r="949" spans="2:9" ht="14.5">
      <c r="B949" s="300" t="s">
        <v>926</v>
      </c>
      <c r="C949" s="300" t="s">
        <v>3859</v>
      </c>
      <c r="D949" s="300" t="s">
        <v>3860</v>
      </c>
      <c r="E949" s="300" t="s">
        <v>928</v>
      </c>
      <c r="F949" s="300" t="s">
        <v>3861</v>
      </c>
      <c r="G949" s="300" t="s">
        <v>3862</v>
      </c>
      <c r="H949" s="300" t="s">
        <v>1040</v>
      </c>
      <c r="I949" s="300" t="s">
        <v>446</v>
      </c>
    </row>
    <row r="950" spans="2:9" ht="14.5">
      <c r="B950" s="300" t="s">
        <v>926</v>
      </c>
      <c r="C950" s="300" t="s">
        <v>3863</v>
      </c>
      <c r="D950" s="300" t="s">
        <v>3864</v>
      </c>
      <c r="E950" s="300" t="s">
        <v>928</v>
      </c>
      <c r="F950" s="378" t="s">
        <v>3056</v>
      </c>
      <c r="G950" s="300" t="s">
        <v>3858</v>
      </c>
      <c r="H950" s="300" t="s">
        <v>1040</v>
      </c>
      <c r="I950" s="300" t="s">
        <v>446</v>
      </c>
    </row>
    <row r="951" spans="2:9" ht="14.5">
      <c r="B951" s="300" t="s">
        <v>926</v>
      </c>
      <c r="C951" s="300" t="s">
        <v>3865</v>
      </c>
      <c r="D951" s="300" t="s">
        <v>3866</v>
      </c>
      <c r="E951" s="300" t="s">
        <v>928</v>
      </c>
      <c r="F951" s="300" t="s">
        <v>3867</v>
      </c>
      <c r="G951" s="300" t="s">
        <v>3868</v>
      </c>
      <c r="H951" s="300" t="s">
        <v>1040</v>
      </c>
      <c r="I951" s="300" t="s">
        <v>446</v>
      </c>
    </row>
    <row r="952" spans="2:9" ht="14.5">
      <c r="B952" s="300" t="s">
        <v>926</v>
      </c>
      <c r="C952" s="300" t="s">
        <v>3869</v>
      </c>
      <c r="D952" s="300" t="s">
        <v>3870</v>
      </c>
      <c r="E952" s="300" t="s">
        <v>928</v>
      </c>
      <c r="F952" s="378" t="s">
        <v>3056</v>
      </c>
      <c r="G952" s="300" t="s">
        <v>3858</v>
      </c>
      <c r="H952" s="300" t="s">
        <v>1040</v>
      </c>
      <c r="I952" s="300" t="s">
        <v>446</v>
      </c>
    </row>
    <row r="953" spans="2:9" ht="14.5">
      <c r="B953" s="300" t="s">
        <v>926</v>
      </c>
      <c r="C953" s="300" t="s">
        <v>3871</v>
      </c>
      <c r="D953" s="300" t="s">
        <v>3872</v>
      </c>
      <c r="E953" s="300" t="s">
        <v>928</v>
      </c>
      <c r="F953" s="300" t="s">
        <v>3861</v>
      </c>
      <c r="G953" s="300" t="s">
        <v>3862</v>
      </c>
      <c r="H953" s="300" t="s">
        <v>1040</v>
      </c>
      <c r="I953" s="300" t="s">
        <v>446</v>
      </c>
    </row>
    <row r="954" spans="2:9" ht="14.5">
      <c r="B954" s="300" t="s">
        <v>926</v>
      </c>
      <c r="C954" s="300" t="s">
        <v>3873</v>
      </c>
      <c r="D954" s="300" t="s">
        <v>3874</v>
      </c>
      <c r="E954" s="300" t="s">
        <v>928</v>
      </c>
      <c r="F954" s="300" t="s">
        <v>3867</v>
      </c>
      <c r="G954" s="300" t="s">
        <v>3868</v>
      </c>
      <c r="H954" s="300" t="s">
        <v>1040</v>
      </c>
      <c r="I954" s="300" t="s">
        <v>446</v>
      </c>
    </row>
    <row r="955" spans="2:9" ht="14.5">
      <c r="B955" s="300" t="s">
        <v>926</v>
      </c>
      <c r="C955" s="300" t="s">
        <v>3875</v>
      </c>
      <c r="D955" s="300" t="s">
        <v>3876</v>
      </c>
      <c r="E955" s="300" t="s">
        <v>928</v>
      </c>
      <c r="F955" s="378" t="s">
        <v>5209</v>
      </c>
      <c r="G955" s="300" t="s">
        <v>3747</v>
      </c>
      <c r="H955" s="300" t="s">
        <v>1040</v>
      </c>
      <c r="I955" s="300" t="s">
        <v>446</v>
      </c>
    </row>
    <row r="956" spans="2:9" ht="14.5">
      <c r="B956" s="300" t="s">
        <v>926</v>
      </c>
      <c r="C956" s="300" t="s">
        <v>3877</v>
      </c>
      <c r="D956" s="300" t="s">
        <v>3878</v>
      </c>
      <c r="E956" s="300" t="s">
        <v>928</v>
      </c>
      <c r="F956" s="378" t="s">
        <v>3042</v>
      </c>
      <c r="G956" s="300" t="s">
        <v>3879</v>
      </c>
      <c r="H956" s="300" t="s">
        <v>1040</v>
      </c>
      <c r="I956" s="300" t="s">
        <v>446</v>
      </c>
    </row>
    <row r="957" spans="2:9" ht="14.5">
      <c r="B957" s="300" t="s">
        <v>926</v>
      </c>
      <c r="C957" s="300" t="s">
        <v>3880</v>
      </c>
      <c r="D957" s="300" t="s">
        <v>3881</v>
      </c>
      <c r="E957" s="300" t="s">
        <v>928</v>
      </c>
      <c r="F957" s="300" t="s">
        <v>3882</v>
      </c>
      <c r="G957" s="300" t="s">
        <v>3883</v>
      </c>
      <c r="H957" s="300" t="s">
        <v>1040</v>
      </c>
      <c r="I957" s="300" t="s">
        <v>446</v>
      </c>
    </row>
    <row r="958" spans="2:9" ht="14.5">
      <c r="B958" s="300" t="s">
        <v>926</v>
      </c>
      <c r="C958" s="300" t="s">
        <v>3884</v>
      </c>
      <c r="D958" s="300" t="s">
        <v>3885</v>
      </c>
      <c r="E958" s="300" t="s">
        <v>928</v>
      </c>
      <c r="F958" s="300" t="s">
        <v>3886</v>
      </c>
      <c r="G958" s="300" t="s">
        <v>3887</v>
      </c>
      <c r="H958" s="300" t="s">
        <v>1040</v>
      </c>
      <c r="I958" s="300" t="s">
        <v>446</v>
      </c>
    </row>
    <row r="959" spans="2:9" ht="14.5">
      <c r="B959" s="300" t="s">
        <v>926</v>
      </c>
      <c r="C959" s="300" t="s">
        <v>3888</v>
      </c>
      <c r="D959" s="300" t="s">
        <v>3889</v>
      </c>
      <c r="E959" s="300" t="s">
        <v>928</v>
      </c>
      <c r="F959" s="300" t="s">
        <v>3890</v>
      </c>
      <c r="G959" s="300" t="s">
        <v>3891</v>
      </c>
      <c r="H959" s="300" t="s">
        <v>1040</v>
      </c>
      <c r="I959" s="300" t="s">
        <v>446</v>
      </c>
    </row>
    <row r="960" spans="2:9" ht="14.5">
      <c r="B960" s="300" t="s">
        <v>926</v>
      </c>
      <c r="C960" s="300" t="s">
        <v>3892</v>
      </c>
      <c r="D960" s="300" t="s">
        <v>3893</v>
      </c>
      <c r="E960" s="300" t="s">
        <v>928</v>
      </c>
      <c r="F960" s="300" t="s">
        <v>3890</v>
      </c>
      <c r="G960" s="300" t="s">
        <v>3891</v>
      </c>
      <c r="H960" s="300" t="s">
        <v>1040</v>
      </c>
      <c r="I960" s="300" t="s">
        <v>446</v>
      </c>
    </row>
    <row r="961" spans="2:9" ht="14.5">
      <c r="B961" s="300" t="s">
        <v>926</v>
      </c>
      <c r="C961" s="300" t="s">
        <v>3894</v>
      </c>
      <c r="D961" s="300" t="s">
        <v>3895</v>
      </c>
      <c r="E961" s="300" t="s">
        <v>928</v>
      </c>
      <c r="F961" s="300" t="s">
        <v>3896</v>
      </c>
      <c r="G961" s="300" t="s">
        <v>3897</v>
      </c>
      <c r="H961" s="300" t="s">
        <v>1040</v>
      </c>
      <c r="I961" s="300" t="s">
        <v>446</v>
      </c>
    </row>
    <row r="962" spans="2:9" ht="14.5">
      <c r="B962" s="300" t="s">
        <v>926</v>
      </c>
      <c r="C962" s="300" t="s">
        <v>3898</v>
      </c>
      <c r="D962" s="300" t="s">
        <v>3899</v>
      </c>
      <c r="E962" s="300" t="s">
        <v>928</v>
      </c>
      <c r="F962" s="300" t="s">
        <v>3896</v>
      </c>
      <c r="G962" s="300" t="s">
        <v>3897</v>
      </c>
      <c r="H962" s="300" t="s">
        <v>1040</v>
      </c>
      <c r="I962" s="300" t="s">
        <v>446</v>
      </c>
    </row>
    <row r="963" spans="2:9" ht="14.5">
      <c r="B963" s="300" t="s">
        <v>926</v>
      </c>
      <c r="C963" s="300" t="s">
        <v>3900</v>
      </c>
      <c r="D963" s="300" t="s">
        <v>3901</v>
      </c>
      <c r="E963" s="300" t="s">
        <v>928</v>
      </c>
      <c r="F963" s="300" t="s">
        <v>3902</v>
      </c>
      <c r="G963" s="300" t="s">
        <v>3903</v>
      </c>
      <c r="H963" s="300" t="s">
        <v>1040</v>
      </c>
      <c r="I963" s="300" t="s">
        <v>446</v>
      </c>
    </row>
    <row r="964" spans="2:9" ht="14.5">
      <c r="B964" s="300" t="s">
        <v>926</v>
      </c>
      <c r="C964" s="300" t="s">
        <v>3904</v>
      </c>
      <c r="D964" s="300" t="s">
        <v>3905</v>
      </c>
      <c r="E964" s="300" t="s">
        <v>928</v>
      </c>
      <c r="F964" s="300" t="s">
        <v>3902</v>
      </c>
      <c r="G964" s="300" t="s">
        <v>3903</v>
      </c>
      <c r="H964" s="300" t="s">
        <v>1040</v>
      </c>
      <c r="I964" s="300" t="s">
        <v>446</v>
      </c>
    </row>
    <row r="965" spans="2:9" ht="14.5">
      <c r="B965" s="300" t="s">
        <v>926</v>
      </c>
      <c r="C965" s="300" t="s">
        <v>3906</v>
      </c>
      <c r="D965" s="300" t="s">
        <v>3907</v>
      </c>
      <c r="E965" s="300" t="s">
        <v>928</v>
      </c>
      <c r="F965" s="300" t="s">
        <v>3902</v>
      </c>
      <c r="G965" s="300" t="s">
        <v>3903</v>
      </c>
      <c r="H965" s="300" t="s">
        <v>1040</v>
      </c>
      <c r="I965" s="300" t="s">
        <v>446</v>
      </c>
    </row>
    <row r="966" spans="2:9" ht="14.5">
      <c r="B966" s="300" t="s">
        <v>926</v>
      </c>
      <c r="C966" s="300" t="s">
        <v>3908</v>
      </c>
      <c r="D966" s="300" t="s">
        <v>3909</v>
      </c>
      <c r="E966" s="300" t="s">
        <v>928</v>
      </c>
      <c r="F966" s="378" t="s">
        <v>3037</v>
      </c>
      <c r="G966" s="300" t="s">
        <v>3910</v>
      </c>
      <c r="H966" s="300" t="s">
        <v>1040</v>
      </c>
      <c r="I966" s="300" t="s">
        <v>446</v>
      </c>
    </row>
    <row r="967" spans="2:9" ht="14.5">
      <c r="B967" s="300" t="s">
        <v>926</v>
      </c>
      <c r="C967" s="300" t="s">
        <v>3911</v>
      </c>
      <c r="D967" s="300" t="s">
        <v>3876</v>
      </c>
      <c r="E967" s="300" t="s">
        <v>928</v>
      </c>
      <c r="F967" s="300" t="s">
        <v>3912</v>
      </c>
      <c r="G967" s="300" t="s">
        <v>3913</v>
      </c>
      <c r="H967" s="300" t="s">
        <v>1040</v>
      </c>
      <c r="I967" s="300" t="s">
        <v>446</v>
      </c>
    </row>
    <row r="968" spans="2:9" ht="14.5">
      <c r="B968" s="300" t="s">
        <v>926</v>
      </c>
      <c r="C968" s="300" t="s">
        <v>3914</v>
      </c>
      <c r="D968" s="300" t="s">
        <v>3915</v>
      </c>
      <c r="E968" s="300" t="s">
        <v>928</v>
      </c>
      <c r="F968" s="378" t="s">
        <v>5211</v>
      </c>
      <c r="G968" s="300" t="s">
        <v>3916</v>
      </c>
      <c r="H968" s="300" t="s">
        <v>3917</v>
      </c>
      <c r="I968" s="300" t="s">
        <v>446</v>
      </c>
    </row>
    <row r="969" spans="2:9" ht="14.5">
      <c r="B969" s="300" t="s">
        <v>926</v>
      </c>
      <c r="C969" s="300" t="s">
        <v>3918</v>
      </c>
      <c r="D969" s="300" t="s">
        <v>3919</v>
      </c>
      <c r="E969" s="300" t="s">
        <v>928</v>
      </c>
      <c r="F969" s="378" t="s">
        <v>3064</v>
      </c>
      <c r="G969" s="300" t="s">
        <v>3920</v>
      </c>
      <c r="H969" s="300" t="s">
        <v>3917</v>
      </c>
      <c r="I969" s="300" t="s">
        <v>446</v>
      </c>
    </row>
    <row r="970" spans="2:9" ht="14.5">
      <c r="B970" s="300" t="s">
        <v>926</v>
      </c>
      <c r="C970" s="300" t="s">
        <v>3921</v>
      </c>
      <c r="D970" s="300" t="s">
        <v>3922</v>
      </c>
      <c r="E970" s="300" t="s">
        <v>928</v>
      </c>
      <c r="F970" s="300" t="s">
        <v>3923</v>
      </c>
      <c r="G970" s="300" t="s">
        <v>3924</v>
      </c>
      <c r="H970" s="300" t="s">
        <v>3925</v>
      </c>
      <c r="I970" s="300" t="s">
        <v>445</v>
      </c>
    </row>
    <row r="971" spans="2:9" ht="14.5">
      <c r="B971" s="300" t="s">
        <v>926</v>
      </c>
      <c r="C971" s="300" t="s">
        <v>3926</v>
      </c>
      <c r="D971" s="300" t="s">
        <v>3927</v>
      </c>
      <c r="E971" s="300" t="s">
        <v>928</v>
      </c>
      <c r="F971" s="300" t="s">
        <v>3928</v>
      </c>
      <c r="G971" s="300" t="s">
        <v>3929</v>
      </c>
      <c r="H971" s="300" t="s">
        <v>3917</v>
      </c>
      <c r="I971" s="300" t="s">
        <v>446</v>
      </c>
    </row>
    <row r="972" spans="2:9" ht="14.5">
      <c r="B972" s="300" t="s">
        <v>926</v>
      </c>
      <c r="C972" s="300" t="s">
        <v>3930</v>
      </c>
      <c r="D972" s="300" t="s">
        <v>3931</v>
      </c>
      <c r="E972" s="300" t="s">
        <v>928</v>
      </c>
      <c r="F972" s="378" t="s">
        <v>3064</v>
      </c>
      <c r="G972" s="300" t="s">
        <v>3920</v>
      </c>
      <c r="H972" s="300" t="s">
        <v>3917</v>
      </c>
      <c r="I972" s="300" t="s">
        <v>446</v>
      </c>
    </row>
    <row r="973" spans="2:9" ht="14.5">
      <c r="B973" s="300" t="s">
        <v>926</v>
      </c>
      <c r="C973" s="300" t="s">
        <v>3932</v>
      </c>
      <c r="D973" s="300" t="s">
        <v>3933</v>
      </c>
      <c r="E973" s="300" t="s">
        <v>928</v>
      </c>
      <c r="F973" s="300" t="s">
        <v>3934</v>
      </c>
      <c r="G973" s="300" t="s">
        <v>3935</v>
      </c>
      <c r="H973" s="300" t="s">
        <v>3917</v>
      </c>
      <c r="I973" s="300" t="s">
        <v>446</v>
      </c>
    </row>
    <row r="974" spans="2:9" ht="14.5">
      <c r="B974" s="300" t="s">
        <v>926</v>
      </c>
      <c r="C974" s="300" t="s">
        <v>3936</v>
      </c>
      <c r="D974" s="300" t="s">
        <v>3937</v>
      </c>
      <c r="E974" s="300" t="s">
        <v>928</v>
      </c>
      <c r="F974" s="378" t="s">
        <v>5210</v>
      </c>
      <c r="G974" s="300" t="s">
        <v>3855</v>
      </c>
      <c r="H974" s="300" t="s">
        <v>1040</v>
      </c>
      <c r="I974" s="300" t="s">
        <v>446</v>
      </c>
    </row>
    <row r="975" spans="2:9" ht="14.5">
      <c r="B975" s="300" t="s">
        <v>926</v>
      </c>
      <c r="C975" s="300" t="s">
        <v>3938</v>
      </c>
      <c r="D975" s="300" t="s">
        <v>3939</v>
      </c>
      <c r="E975" s="300" t="s">
        <v>928</v>
      </c>
      <c r="F975" s="378" t="s">
        <v>5212</v>
      </c>
      <c r="G975" s="300" t="s">
        <v>3940</v>
      </c>
      <c r="H975" s="300" t="s">
        <v>1040</v>
      </c>
      <c r="I975" s="300" t="s">
        <v>446</v>
      </c>
    </row>
    <row r="976" spans="2:9" ht="14.5">
      <c r="B976" s="300" t="s">
        <v>926</v>
      </c>
      <c r="C976" s="300" t="s">
        <v>3941</v>
      </c>
      <c r="D976" s="300" t="s">
        <v>3942</v>
      </c>
      <c r="E976" s="300" t="s">
        <v>928</v>
      </c>
      <c r="F976" s="300" t="s">
        <v>3943</v>
      </c>
      <c r="G976" s="300" t="s">
        <v>3944</v>
      </c>
      <c r="H976" s="300" t="s">
        <v>1040</v>
      </c>
      <c r="I976" s="300" t="s">
        <v>446</v>
      </c>
    </row>
    <row r="977" spans="2:9" ht="14.5">
      <c r="B977" s="300" t="s">
        <v>926</v>
      </c>
      <c r="C977" s="300" t="s">
        <v>3945</v>
      </c>
      <c r="D977" s="300" t="s">
        <v>3946</v>
      </c>
      <c r="E977" s="300" t="s">
        <v>928</v>
      </c>
      <c r="F977" s="300" t="s">
        <v>3943</v>
      </c>
      <c r="G977" s="300" t="s">
        <v>3944</v>
      </c>
      <c r="H977" s="300" t="s">
        <v>1040</v>
      </c>
      <c r="I977" s="300" t="s">
        <v>446</v>
      </c>
    </row>
    <row r="978" spans="2:9" ht="14.5">
      <c r="B978" s="300" t="s">
        <v>926</v>
      </c>
      <c r="C978" s="300" t="s">
        <v>3947</v>
      </c>
      <c r="D978" s="300" t="s">
        <v>3948</v>
      </c>
      <c r="E978" s="300" t="s">
        <v>928</v>
      </c>
      <c r="F978" s="300" t="s">
        <v>3943</v>
      </c>
      <c r="G978" s="300" t="s">
        <v>3944</v>
      </c>
      <c r="H978" s="300" t="s">
        <v>1040</v>
      </c>
      <c r="I978" s="300" t="s">
        <v>446</v>
      </c>
    </row>
    <row r="979" spans="2:9" ht="14.5">
      <c r="B979" s="300" t="s">
        <v>926</v>
      </c>
      <c r="C979" s="300" t="s">
        <v>3949</v>
      </c>
      <c r="D979" s="300" t="s">
        <v>3950</v>
      </c>
      <c r="E979" s="300" t="s">
        <v>928</v>
      </c>
      <c r="F979" s="378" t="s">
        <v>5213</v>
      </c>
      <c r="G979" s="300" t="s">
        <v>3951</v>
      </c>
      <c r="H979" s="300" t="s">
        <v>1040</v>
      </c>
      <c r="I979" s="300" t="s">
        <v>446</v>
      </c>
    </row>
    <row r="980" spans="2:9" ht="14.5">
      <c r="B980" s="300" t="s">
        <v>926</v>
      </c>
      <c r="C980" s="300" t="s">
        <v>3952</v>
      </c>
      <c r="D980" s="300" t="s">
        <v>3953</v>
      </c>
      <c r="E980" s="300" t="s">
        <v>928</v>
      </c>
      <c r="F980" s="378" t="s">
        <v>3167</v>
      </c>
      <c r="G980" s="300" t="s">
        <v>3954</v>
      </c>
      <c r="H980" s="300" t="s">
        <v>1040</v>
      </c>
      <c r="I980" s="300" t="s">
        <v>446</v>
      </c>
    </row>
    <row r="981" spans="2:9" ht="14.5">
      <c r="B981" s="300" t="s">
        <v>926</v>
      </c>
      <c r="C981" s="300" t="s">
        <v>3955</v>
      </c>
      <c r="D981" s="300" t="s">
        <v>3956</v>
      </c>
      <c r="E981" s="300" t="s">
        <v>928</v>
      </c>
      <c r="F981" s="300" t="s">
        <v>3957</v>
      </c>
      <c r="G981" s="300" t="s">
        <v>3958</v>
      </c>
      <c r="H981" s="300" t="s">
        <v>1040</v>
      </c>
      <c r="I981" s="300" t="s">
        <v>446</v>
      </c>
    </row>
    <row r="982" spans="2:9" ht="14.5">
      <c r="B982" s="300" t="s">
        <v>926</v>
      </c>
      <c r="C982" s="300" t="s">
        <v>3959</v>
      </c>
      <c r="D982" s="300" t="s">
        <v>3960</v>
      </c>
      <c r="E982" s="300" t="s">
        <v>928</v>
      </c>
      <c r="F982" s="300" t="s">
        <v>3961</v>
      </c>
      <c r="G982" s="300" t="s">
        <v>3962</v>
      </c>
      <c r="H982" s="300" t="s">
        <v>1040</v>
      </c>
      <c r="I982" s="300" t="s">
        <v>446</v>
      </c>
    </row>
    <row r="983" spans="2:9" ht="14.5">
      <c r="B983" s="300" t="s">
        <v>926</v>
      </c>
      <c r="C983" s="300" t="s">
        <v>3963</v>
      </c>
      <c r="D983" s="300" t="s">
        <v>3964</v>
      </c>
      <c r="E983" s="300" t="s">
        <v>928</v>
      </c>
      <c r="F983" s="300" t="s">
        <v>3965</v>
      </c>
      <c r="G983" s="300" t="s">
        <v>3966</v>
      </c>
      <c r="H983" s="300" t="s">
        <v>1818</v>
      </c>
      <c r="I983" s="300" t="s">
        <v>446</v>
      </c>
    </row>
    <row r="984" spans="2:9" ht="14.5">
      <c r="B984" s="300" t="s">
        <v>926</v>
      </c>
      <c r="C984" s="300" t="s">
        <v>3967</v>
      </c>
      <c r="D984" s="300" t="s">
        <v>3968</v>
      </c>
      <c r="E984" s="300" t="s">
        <v>928</v>
      </c>
      <c r="F984" s="300" t="s">
        <v>1837</v>
      </c>
      <c r="G984" s="300" t="s">
        <v>1838</v>
      </c>
      <c r="H984" s="300" t="s">
        <v>1040</v>
      </c>
      <c r="I984" s="300" t="s">
        <v>446</v>
      </c>
    </row>
    <row r="985" spans="2:9" ht="14.5">
      <c r="B985" s="300" t="s">
        <v>926</v>
      </c>
      <c r="C985" s="300" t="s">
        <v>3969</v>
      </c>
      <c r="D985" s="300" t="s">
        <v>3970</v>
      </c>
      <c r="E985" s="300" t="s">
        <v>928</v>
      </c>
      <c r="F985" s="300" t="s">
        <v>3499</v>
      </c>
      <c r="G985" s="300" t="s">
        <v>3500</v>
      </c>
      <c r="H985" s="300" t="s">
        <v>3488</v>
      </c>
      <c r="I985" s="300" t="s">
        <v>446</v>
      </c>
    </row>
    <row r="986" spans="2:9" ht="14.5">
      <c r="B986" s="300" t="s">
        <v>926</v>
      </c>
      <c r="C986" s="300" t="s">
        <v>3971</v>
      </c>
      <c r="D986" s="300" t="s">
        <v>3972</v>
      </c>
      <c r="E986" s="300" t="s">
        <v>928</v>
      </c>
      <c r="F986" s="378" t="s">
        <v>5214</v>
      </c>
      <c r="G986" s="300" t="s">
        <v>3973</v>
      </c>
      <c r="H986" s="300" t="s">
        <v>1040</v>
      </c>
      <c r="I986" s="300" t="s">
        <v>446</v>
      </c>
    </row>
    <row r="987" spans="2:9" ht="14.5">
      <c r="B987" s="300" t="s">
        <v>926</v>
      </c>
      <c r="C987" s="300" t="s">
        <v>3974</v>
      </c>
      <c r="D987" s="300" t="s">
        <v>3975</v>
      </c>
      <c r="E987" s="300" t="s">
        <v>928</v>
      </c>
      <c r="F987" s="300" t="s">
        <v>3976</v>
      </c>
      <c r="G987" s="300" t="s">
        <v>3977</v>
      </c>
      <c r="H987" s="300" t="s">
        <v>1040</v>
      </c>
      <c r="I987" s="300" t="s">
        <v>446</v>
      </c>
    </row>
    <row r="988" spans="2:9" ht="14.5">
      <c r="B988" s="300" t="s">
        <v>926</v>
      </c>
      <c r="C988" s="300" t="s">
        <v>3978</v>
      </c>
      <c r="D988" s="300" t="s">
        <v>3979</v>
      </c>
      <c r="E988" s="300" t="s">
        <v>928</v>
      </c>
      <c r="F988" s="300" t="s">
        <v>3980</v>
      </c>
      <c r="G988" s="300" t="s">
        <v>3981</v>
      </c>
      <c r="H988" s="300" t="s">
        <v>1040</v>
      </c>
      <c r="I988" s="300" t="s">
        <v>446</v>
      </c>
    </row>
    <row r="989" spans="2:9" ht="14.5">
      <c r="B989" s="300" t="s">
        <v>926</v>
      </c>
      <c r="C989" s="300" t="s">
        <v>3982</v>
      </c>
      <c r="D989" s="300" t="s">
        <v>3983</v>
      </c>
      <c r="E989" s="300" t="s">
        <v>928</v>
      </c>
      <c r="F989" s="378" t="s">
        <v>5215</v>
      </c>
      <c r="G989" s="300" t="s">
        <v>3984</v>
      </c>
      <c r="H989" s="300" t="s">
        <v>1040</v>
      </c>
      <c r="I989" s="300" t="s">
        <v>446</v>
      </c>
    </row>
    <row r="990" spans="2:9" ht="14.5">
      <c r="B990" s="300" t="s">
        <v>926</v>
      </c>
      <c r="C990" s="300" t="s">
        <v>3985</v>
      </c>
      <c r="D990" s="300" t="s">
        <v>3986</v>
      </c>
      <c r="E990" s="300" t="s">
        <v>928</v>
      </c>
      <c r="F990" s="300" t="s">
        <v>3987</v>
      </c>
      <c r="G990" s="300" t="s">
        <v>3986</v>
      </c>
      <c r="H990" s="300" t="s">
        <v>1040</v>
      </c>
      <c r="I990" s="300" t="s">
        <v>446</v>
      </c>
    </row>
    <row r="991" spans="2:9" ht="14.5">
      <c r="B991" s="300" t="s">
        <v>926</v>
      </c>
      <c r="C991" s="300" t="s">
        <v>3988</v>
      </c>
      <c r="D991" s="300" t="s">
        <v>3989</v>
      </c>
      <c r="E991" s="300" t="s">
        <v>928</v>
      </c>
      <c r="F991" s="300" t="s">
        <v>3990</v>
      </c>
      <c r="G991" s="300" t="s">
        <v>3989</v>
      </c>
      <c r="H991" s="300" t="s">
        <v>1040</v>
      </c>
      <c r="I991" s="300" t="s">
        <v>446</v>
      </c>
    </row>
    <row r="992" spans="2:9" ht="14.5">
      <c r="B992" s="300" t="s">
        <v>926</v>
      </c>
      <c r="C992" s="300" t="s">
        <v>3991</v>
      </c>
      <c r="D992" s="300" t="s">
        <v>3992</v>
      </c>
      <c r="E992" s="300" t="s">
        <v>928</v>
      </c>
      <c r="F992" s="300" t="s">
        <v>3993</v>
      </c>
      <c r="G992" s="300" t="s">
        <v>3994</v>
      </c>
      <c r="H992" s="300" t="s">
        <v>1040</v>
      </c>
      <c r="I992" s="300" t="s">
        <v>446</v>
      </c>
    </row>
    <row r="993" spans="2:9" ht="14.5">
      <c r="B993" s="300" t="s">
        <v>926</v>
      </c>
      <c r="C993" s="300" t="s">
        <v>3995</v>
      </c>
      <c r="D993" s="300" t="s">
        <v>3996</v>
      </c>
      <c r="E993" s="300" t="s">
        <v>928</v>
      </c>
      <c r="F993" s="300" t="s">
        <v>3997</v>
      </c>
      <c r="G993" s="300" t="s">
        <v>3998</v>
      </c>
      <c r="H993" s="300" t="s">
        <v>1040</v>
      </c>
      <c r="I993" s="300" t="s">
        <v>446</v>
      </c>
    </row>
    <row r="994" spans="2:9" ht="14.5">
      <c r="B994" s="300" t="s">
        <v>926</v>
      </c>
      <c r="C994" s="300" t="s">
        <v>3999</v>
      </c>
      <c r="D994" s="300" t="s">
        <v>4000</v>
      </c>
      <c r="E994" s="300" t="s">
        <v>928</v>
      </c>
      <c r="F994" s="300" t="s">
        <v>4001</v>
      </c>
      <c r="G994" s="300" t="s">
        <v>4002</v>
      </c>
      <c r="H994" s="300" t="s">
        <v>1040</v>
      </c>
      <c r="I994" s="300" t="s">
        <v>446</v>
      </c>
    </row>
    <row r="995" spans="2:9" ht="14.5">
      <c r="B995" s="300" t="s">
        <v>926</v>
      </c>
      <c r="C995" s="300" t="s">
        <v>4003</v>
      </c>
      <c r="D995" s="300" t="s">
        <v>4004</v>
      </c>
      <c r="E995" s="300" t="s">
        <v>928</v>
      </c>
      <c r="F995" s="378" t="s">
        <v>5216</v>
      </c>
      <c r="G995" s="300" t="s">
        <v>4005</v>
      </c>
      <c r="H995" s="300" t="s">
        <v>1040</v>
      </c>
      <c r="I995" s="300" t="s">
        <v>446</v>
      </c>
    </row>
    <row r="996" spans="2:9" ht="14.5">
      <c r="B996" s="300" t="s">
        <v>926</v>
      </c>
      <c r="C996" s="300" t="s">
        <v>4006</v>
      </c>
      <c r="D996" s="300" t="s">
        <v>4007</v>
      </c>
      <c r="E996" s="300" t="s">
        <v>928</v>
      </c>
      <c r="F996" s="300" t="s">
        <v>4008</v>
      </c>
      <c r="G996" s="300" t="s">
        <v>4009</v>
      </c>
      <c r="H996" s="300" t="s">
        <v>1040</v>
      </c>
      <c r="I996" s="300" t="s">
        <v>446</v>
      </c>
    </row>
    <row r="997" spans="2:9" ht="14.5">
      <c r="B997" s="300" t="s">
        <v>926</v>
      </c>
      <c r="C997" s="300" t="s">
        <v>4010</v>
      </c>
      <c r="D997" s="300" t="s">
        <v>4011</v>
      </c>
      <c r="E997" s="300" t="s">
        <v>928</v>
      </c>
      <c r="F997" s="300" t="s">
        <v>4012</v>
      </c>
      <c r="G997" s="300" t="s">
        <v>4013</v>
      </c>
      <c r="H997" s="300" t="s">
        <v>1040</v>
      </c>
      <c r="I997" s="300" t="s">
        <v>446</v>
      </c>
    </row>
    <row r="998" spans="2:9" ht="14.5">
      <c r="B998" s="300" t="s">
        <v>926</v>
      </c>
      <c r="C998" s="300" t="s">
        <v>4014</v>
      </c>
      <c r="D998" s="300" t="s">
        <v>4015</v>
      </c>
      <c r="E998" s="300" t="s">
        <v>928</v>
      </c>
      <c r="F998" s="300" t="s">
        <v>3997</v>
      </c>
      <c r="G998" s="300" t="s">
        <v>3998</v>
      </c>
      <c r="H998" s="300" t="s">
        <v>1040</v>
      </c>
      <c r="I998" s="300" t="s">
        <v>446</v>
      </c>
    </row>
    <row r="999" spans="2:9" ht="14.5">
      <c r="B999" s="300" t="s">
        <v>926</v>
      </c>
      <c r="C999" s="300" t="s">
        <v>4016</v>
      </c>
      <c r="D999" s="300" t="s">
        <v>4017</v>
      </c>
      <c r="E999" s="300" t="s">
        <v>928</v>
      </c>
      <c r="F999" s="300" t="s">
        <v>3997</v>
      </c>
      <c r="G999" s="300" t="s">
        <v>3998</v>
      </c>
      <c r="H999" s="300" t="s">
        <v>1040</v>
      </c>
      <c r="I999" s="300" t="s">
        <v>446</v>
      </c>
    </row>
    <row r="1000" spans="2:9" ht="14.5">
      <c r="B1000" s="300" t="s">
        <v>926</v>
      </c>
      <c r="C1000" s="300" t="s">
        <v>4018</v>
      </c>
      <c r="D1000" s="300" t="s">
        <v>4019</v>
      </c>
      <c r="E1000" s="300" t="s">
        <v>928</v>
      </c>
      <c r="F1000" s="300" t="s">
        <v>3997</v>
      </c>
      <c r="G1000" s="300" t="s">
        <v>3998</v>
      </c>
      <c r="H1000" s="300" t="s">
        <v>1040</v>
      </c>
      <c r="I1000" s="300" t="s">
        <v>446</v>
      </c>
    </row>
    <row r="1001" spans="2:9" ht="14.5">
      <c r="B1001" s="300" t="s">
        <v>926</v>
      </c>
      <c r="C1001" s="300" t="s">
        <v>4020</v>
      </c>
      <c r="D1001" s="300" t="s">
        <v>4021</v>
      </c>
      <c r="E1001" s="300" t="s">
        <v>928</v>
      </c>
      <c r="F1001" s="300" t="s">
        <v>3997</v>
      </c>
      <c r="G1001" s="300" t="s">
        <v>3998</v>
      </c>
      <c r="H1001" s="300" t="s">
        <v>1040</v>
      </c>
      <c r="I1001" s="300" t="s">
        <v>446</v>
      </c>
    </row>
    <row r="1002" spans="2:9" ht="14.5">
      <c r="B1002" s="300" t="s">
        <v>926</v>
      </c>
      <c r="C1002" s="300" t="s">
        <v>4022</v>
      </c>
      <c r="D1002" s="300" t="s">
        <v>4023</v>
      </c>
      <c r="E1002" s="300" t="s">
        <v>928</v>
      </c>
      <c r="F1002" s="300" t="s">
        <v>3997</v>
      </c>
      <c r="G1002" s="300" t="s">
        <v>3998</v>
      </c>
      <c r="H1002" s="300" t="s">
        <v>1040</v>
      </c>
      <c r="I1002" s="300" t="s">
        <v>446</v>
      </c>
    </row>
    <row r="1003" spans="2:9" ht="14.5">
      <c r="B1003" s="300" t="s">
        <v>926</v>
      </c>
      <c r="C1003" s="300" t="s">
        <v>4024</v>
      </c>
      <c r="D1003" s="300" t="s">
        <v>4025</v>
      </c>
      <c r="E1003" s="300" t="s">
        <v>928</v>
      </c>
      <c r="F1003" s="300" t="s">
        <v>3997</v>
      </c>
      <c r="G1003" s="300" t="s">
        <v>3998</v>
      </c>
      <c r="H1003" s="300" t="s">
        <v>1040</v>
      </c>
      <c r="I1003" s="300" t="s">
        <v>446</v>
      </c>
    </row>
    <row r="1004" spans="2:9" ht="14.5">
      <c r="B1004" s="300" t="s">
        <v>926</v>
      </c>
      <c r="C1004" s="300" t="s">
        <v>4026</v>
      </c>
      <c r="D1004" s="300" t="s">
        <v>4027</v>
      </c>
      <c r="E1004" s="300" t="s">
        <v>928</v>
      </c>
      <c r="F1004" s="300" t="s">
        <v>3997</v>
      </c>
      <c r="G1004" s="300" t="s">
        <v>3998</v>
      </c>
      <c r="H1004" s="300" t="s">
        <v>1040</v>
      </c>
      <c r="I1004" s="300" t="s">
        <v>446</v>
      </c>
    </row>
    <row r="1005" spans="2:9" ht="14.5">
      <c r="B1005" s="300" t="s">
        <v>926</v>
      </c>
      <c r="C1005" s="300" t="s">
        <v>4028</v>
      </c>
      <c r="D1005" s="300" t="s">
        <v>4029</v>
      </c>
      <c r="E1005" s="300" t="s">
        <v>928</v>
      </c>
      <c r="F1005" s="378" t="s">
        <v>3095</v>
      </c>
      <c r="G1005" s="300" t="s">
        <v>4030</v>
      </c>
      <c r="H1005" s="300" t="s">
        <v>1040</v>
      </c>
      <c r="I1005" s="300" t="s">
        <v>446</v>
      </c>
    </row>
    <row r="1006" spans="2:9" ht="14.5">
      <c r="B1006" s="300" t="s">
        <v>926</v>
      </c>
      <c r="C1006" s="300" t="s">
        <v>4031</v>
      </c>
      <c r="D1006" s="300" t="s">
        <v>4032</v>
      </c>
      <c r="E1006" s="300" t="s">
        <v>928</v>
      </c>
      <c r="F1006" s="300" t="s">
        <v>4033</v>
      </c>
      <c r="G1006" s="300" t="s">
        <v>4034</v>
      </c>
      <c r="H1006" s="300" t="s">
        <v>1040</v>
      </c>
      <c r="I1006" s="300" t="s">
        <v>446</v>
      </c>
    </row>
    <row r="1007" spans="2:9" ht="14.5">
      <c r="B1007" s="300" t="s">
        <v>926</v>
      </c>
      <c r="C1007" s="300" t="s">
        <v>4035</v>
      </c>
      <c r="D1007" s="300" t="s">
        <v>4036</v>
      </c>
      <c r="E1007" s="300" t="s">
        <v>928</v>
      </c>
      <c r="F1007" s="300" t="s">
        <v>4033</v>
      </c>
      <c r="G1007" s="300" t="s">
        <v>4034</v>
      </c>
      <c r="H1007" s="300" t="s">
        <v>1040</v>
      </c>
      <c r="I1007" s="300" t="s">
        <v>446</v>
      </c>
    </row>
    <row r="1008" spans="2:9" ht="14.5">
      <c r="B1008" s="300" t="s">
        <v>926</v>
      </c>
      <c r="C1008" s="300" t="s">
        <v>4037</v>
      </c>
      <c r="D1008" s="300" t="s">
        <v>4038</v>
      </c>
      <c r="E1008" s="300" t="s">
        <v>928</v>
      </c>
      <c r="F1008" s="300" t="s">
        <v>4033</v>
      </c>
      <c r="G1008" s="300" t="s">
        <v>4034</v>
      </c>
      <c r="H1008" s="300" t="s">
        <v>1040</v>
      </c>
      <c r="I1008" s="300" t="s">
        <v>446</v>
      </c>
    </row>
    <row r="1009" spans="2:9" ht="14.5">
      <c r="B1009" s="300" t="s">
        <v>926</v>
      </c>
      <c r="C1009" s="300" t="s">
        <v>4039</v>
      </c>
      <c r="D1009" s="300" t="s">
        <v>4040</v>
      </c>
      <c r="E1009" s="300" t="s">
        <v>928</v>
      </c>
      <c r="F1009" s="378" t="s">
        <v>5216</v>
      </c>
      <c r="G1009" s="300" t="s">
        <v>4005</v>
      </c>
      <c r="H1009" s="300" t="s">
        <v>1040</v>
      </c>
      <c r="I1009" s="300" t="s">
        <v>446</v>
      </c>
    </row>
    <row r="1010" spans="2:9" ht="14.5">
      <c r="B1010" s="300" t="s">
        <v>926</v>
      </c>
      <c r="C1010" s="300" t="s">
        <v>4041</v>
      </c>
      <c r="D1010" s="300" t="s">
        <v>4042</v>
      </c>
      <c r="E1010" s="300" t="s">
        <v>928</v>
      </c>
      <c r="F1010" s="300" t="s">
        <v>4043</v>
      </c>
      <c r="G1010" s="300" t="s">
        <v>4044</v>
      </c>
      <c r="H1010" s="300" t="s">
        <v>1040</v>
      </c>
      <c r="I1010" s="300" t="s">
        <v>446</v>
      </c>
    </row>
    <row r="1011" spans="2:9" ht="14.5">
      <c r="B1011" s="300" t="s">
        <v>926</v>
      </c>
      <c r="C1011" s="300" t="s">
        <v>4045</v>
      </c>
      <c r="D1011" s="300" t="s">
        <v>4046</v>
      </c>
      <c r="E1011" s="300" t="s">
        <v>928</v>
      </c>
      <c r="F1011" s="378" t="s">
        <v>5217</v>
      </c>
      <c r="G1011" s="300" t="s">
        <v>4047</v>
      </c>
      <c r="H1011" s="300" t="s">
        <v>1040</v>
      </c>
      <c r="I1011" s="300" t="s">
        <v>446</v>
      </c>
    </row>
    <row r="1012" spans="2:9" ht="14.5">
      <c r="B1012" s="300" t="s">
        <v>926</v>
      </c>
      <c r="C1012" s="300" t="s">
        <v>4048</v>
      </c>
      <c r="D1012" s="300" t="s">
        <v>4049</v>
      </c>
      <c r="E1012" s="300" t="s">
        <v>928</v>
      </c>
      <c r="F1012" s="300" t="s">
        <v>4050</v>
      </c>
      <c r="G1012" s="300" t="s">
        <v>4051</v>
      </c>
      <c r="H1012" s="300" t="s">
        <v>1040</v>
      </c>
      <c r="I1012" s="300" t="s">
        <v>446</v>
      </c>
    </row>
    <row r="1013" spans="2:9" ht="14.5">
      <c r="B1013" s="300" t="s">
        <v>926</v>
      </c>
      <c r="C1013" s="300" t="s">
        <v>4052</v>
      </c>
      <c r="D1013" s="300" t="s">
        <v>4053</v>
      </c>
      <c r="E1013" s="300" t="s">
        <v>928</v>
      </c>
      <c r="F1013" s="300" t="s">
        <v>4054</v>
      </c>
      <c r="G1013" s="300" t="s">
        <v>4055</v>
      </c>
      <c r="H1013" s="300" t="s">
        <v>1040</v>
      </c>
      <c r="I1013" s="300" t="s">
        <v>446</v>
      </c>
    </row>
    <row r="1014" spans="2:9" ht="14.5">
      <c r="B1014" s="300" t="s">
        <v>926</v>
      </c>
      <c r="C1014" s="300" t="s">
        <v>4056</v>
      </c>
      <c r="D1014" s="300" t="s">
        <v>4057</v>
      </c>
      <c r="E1014" s="300" t="s">
        <v>928</v>
      </c>
      <c r="F1014" s="300" t="s">
        <v>4058</v>
      </c>
      <c r="G1014" s="300" t="s">
        <v>4057</v>
      </c>
      <c r="H1014" s="300" t="s">
        <v>1040</v>
      </c>
      <c r="I1014" s="300" t="s">
        <v>446</v>
      </c>
    </row>
    <row r="1015" spans="2:9" ht="14.5">
      <c r="B1015" s="300" t="s">
        <v>926</v>
      </c>
      <c r="C1015" s="300" t="s">
        <v>4059</v>
      </c>
      <c r="D1015" s="300" t="s">
        <v>4060</v>
      </c>
      <c r="E1015" s="300" t="s">
        <v>928</v>
      </c>
      <c r="F1015" s="300" t="s">
        <v>2846</v>
      </c>
      <c r="G1015" s="300" t="s">
        <v>2847</v>
      </c>
      <c r="H1015" s="300" t="s">
        <v>448</v>
      </c>
      <c r="I1015" s="300" t="s">
        <v>446</v>
      </c>
    </row>
    <row r="1016" spans="2:9" ht="14.5">
      <c r="B1016" s="300" t="s">
        <v>926</v>
      </c>
      <c r="C1016" s="300" t="s">
        <v>4061</v>
      </c>
      <c r="D1016" s="300" t="s">
        <v>4062</v>
      </c>
      <c r="E1016" s="300" t="s">
        <v>928</v>
      </c>
      <c r="F1016" s="300" t="s">
        <v>4063</v>
      </c>
      <c r="G1016" s="300" t="s">
        <v>4064</v>
      </c>
      <c r="H1016" s="300" t="s">
        <v>1040</v>
      </c>
      <c r="I1016" s="300" t="s">
        <v>446</v>
      </c>
    </row>
    <row r="1017" spans="2:9" ht="14.5">
      <c r="B1017" s="300" t="s">
        <v>926</v>
      </c>
      <c r="C1017" s="300" t="s">
        <v>4065</v>
      </c>
      <c r="D1017" s="300" t="s">
        <v>4066</v>
      </c>
      <c r="E1017" s="300" t="s">
        <v>928</v>
      </c>
      <c r="F1017" s="300" t="s">
        <v>4067</v>
      </c>
      <c r="G1017" s="300" t="s">
        <v>4068</v>
      </c>
      <c r="H1017" s="300" t="s">
        <v>1040</v>
      </c>
      <c r="I1017" s="300" t="s">
        <v>446</v>
      </c>
    </row>
    <row r="1018" spans="2:9" ht="14.5">
      <c r="B1018" s="300" t="s">
        <v>926</v>
      </c>
      <c r="C1018" s="300" t="s">
        <v>4069</v>
      </c>
      <c r="D1018" s="300" t="s">
        <v>4070</v>
      </c>
      <c r="E1018" s="300" t="s">
        <v>928</v>
      </c>
      <c r="F1018" s="300" t="s">
        <v>4071</v>
      </c>
      <c r="G1018" s="300" t="s">
        <v>4072</v>
      </c>
      <c r="H1018" s="300" t="s">
        <v>1040</v>
      </c>
      <c r="I1018" s="300" t="s">
        <v>446</v>
      </c>
    </row>
    <row r="1019" spans="2:9" ht="14.5">
      <c r="B1019" s="300" t="s">
        <v>926</v>
      </c>
      <c r="C1019" s="300" t="s">
        <v>4073</v>
      </c>
      <c r="D1019" s="300" t="s">
        <v>4074</v>
      </c>
      <c r="E1019" s="300" t="s">
        <v>928</v>
      </c>
      <c r="F1019" s="300" t="s">
        <v>4071</v>
      </c>
      <c r="G1019" s="300" t="s">
        <v>4072</v>
      </c>
      <c r="H1019" s="300" t="s">
        <v>1040</v>
      </c>
      <c r="I1019" s="300" t="s">
        <v>446</v>
      </c>
    </row>
    <row r="1020" spans="2:9" ht="14.5">
      <c r="B1020" s="300" t="s">
        <v>926</v>
      </c>
      <c r="C1020" s="300" t="s">
        <v>4075</v>
      </c>
      <c r="D1020" s="300" t="s">
        <v>4076</v>
      </c>
      <c r="E1020" s="300" t="s">
        <v>928</v>
      </c>
      <c r="F1020" s="378" t="s">
        <v>5218</v>
      </c>
      <c r="G1020" s="300" t="s">
        <v>4077</v>
      </c>
      <c r="H1020" s="300" t="s">
        <v>4078</v>
      </c>
      <c r="I1020" s="300" t="s">
        <v>447</v>
      </c>
    </row>
    <row r="1021" spans="2:9" ht="14.5">
      <c r="B1021" s="300" t="s">
        <v>926</v>
      </c>
      <c r="C1021" s="300" t="s">
        <v>4079</v>
      </c>
      <c r="D1021" s="300" t="s">
        <v>4080</v>
      </c>
      <c r="E1021" s="300" t="s">
        <v>928</v>
      </c>
      <c r="F1021" s="378" t="s">
        <v>4081</v>
      </c>
      <c r="G1021" s="300" t="s">
        <v>4082</v>
      </c>
      <c r="H1021" s="300" t="s">
        <v>4078</v>
      </c>
      <c r="I1021" s="300" t="s">
        <v>447</v>
      </c>
    </row>
    <row r="1022" spans="2:9" ht="14.5">
      <c r="B1022" s="300" t="s">
        <v>926</v>
      </c>
      <c r="C1022" s="300" t="s">
        <v>4083</v>
      </c>
      <c r="D1022" s="300" t="s">
        <v>4082</v>
      </c>
      <c r="E1022" s="300" t="s">
        <v>928</v>
      </c>
      <c r="F1022" s="300" t="s">
        <v>4081</v>
      </c>
      <c r="G1022" s="300" t="s">
        <v>4082</v>
      </c>
      <c r="H1022" s="300" t="s">
        <v>4078</v>
      </c>
      <c r="I1022" s="300" t="s">
        <v>447</v>
      </c>
    </row>
    <row r="1023" spans="2:9" ht="14.5">
      <c r="B1023" s="300" t="s">
        <v>926</v>
      </c>
      <c r="C1023" s="300" t="s">
        <v>4084</v>
      </c>
      <c r="D1023" s="300" t="s">
        <v>4085</v>
      </c>
      <c r="E1023" s="300" t="s">
        <v>928</v>
      </c>
      <c r="F1023" s="378" t="s">
        <v>4483</v>
      </c>
      <c r="G1023" s="300" t="s">
        <v>4086</v>
      </c>
      <c r="H1023" s="300" t="s">
        <v>4078</v>
      </c>
      <c r="I1023" s="300" t="s">
        <v>447</v>
      </c>
    </row>
    <row r="1024" spans="2:9" ht="14.5">
      <c r="B1024" s="300" t="s">
        <v>926</v>
      </c>
      <c r="C1024" s="300" t="s">
        <v>4087</v>
      </c>
      <c r="D1024" s="300" t="s">
        <v>4088</v>
      </c>
      <c r="E1024" s="300" t="s">
        <v>928</v>
      </c>
      <c r="F1024" s="300" t="s">
        <v>4089</v>
      </c>
      <c r="G1024" s="300" t="s">
        <v>4090</v>
      </c>
      <c r="H1024" s="300" t="s">
        <v>4078</v>
      </c>
      <c r="I1024" s="300" t="s">
        <v>447</v>
      </c>
    </row>
    <row r="1025" spans="2:9" ht="14.5">
      <c r="B1025" s="300" t="s">
        <v>926</v>
      </c>
      <c r="C1025" s="300" t="s">
        <v>4091</v>
      </c>
      <c r="D1025" s="300" t="s">
        <v>4092</v>
      </c>
      <c r="E1025" s="300" t="s">
        <v>928</v>
      </c>
      <c r="F1025" s="300" t="s">
        <v>4093</v>
      </c>
      <c r="G1025" s="300" t="s">
        <v>4094</v>
      </c>
      <c r="H1025" s="300" t="s">
        <v>4078</v>
      </c>
      <c r="I1025" s="300" t="s">
        <v>447</v>
      </c>
    </row>
    <row r="1026" spans="2:9" ht="14.5">
      <c r="B1026" s="300" t="s">
        <v>926</v>
      </c>
      <c r="C1026" s="300" t="s">
        <v>4095</v>
      </c>
      <c r="D1026" s="300" t="s">
        <v>4096</v>
      </c>
      <c r="E1026" s="300" t="s">
        <v>928</v>
      </c>
      <c r="F1026" s="300" t="s">
        <v>4097</v>
      </c>
      <c r="G1026" s="300" t="s">
        <v>4098</v>
      </c>
      <c r="H1026" s="300" t="s">
        <v>4078</v>
      </c>
      <c r="I1026" s="300" t="s">
        <v>447</v>
      </c>
    </row>
    <row r="1027" spans="2:9" ht="14.5">
      <c r="B1027" s="300" t="s">
        <v>926</v>
      </c>
      <c r="C1027" s="300" t="s">
        <v>4099</v>
      </c>
      <c r="D1027" s="300" t="s">
        <v>4100</v>
      </c>
      <c r="E1027" s="300" t="s">
        <v>928</v>
      </c>
      <c r="F1027" s="300" t="s">
        <v>4101</v>
      </c>
      <c r="G1027" s="300" t="s">
        <v>4102</v>
      </c>
      <c r="H1027" s="300" t="s">
        <v>4078</v>
      </c>
      <c r="I1027" s="300" t="s">
        <v>447</v>
      </c>
    </row>
    <row r="1028" spans="2:9" ht="14.5">
      <c r="B1028" s="300" t="s">
        <v>926</v>
      </c>
      <c r="C1028" s="300" t="s">
        <v>4103</v>
      </c>
      <c r="D1028" s="300" t="s">
        <v>4104</v>
      </c>
      <c r="E1028" s="300" t="s">
        <v>928</v>
      </c>
      <c r="F1028" s="300" t="s">
        <v>4105</v>
      </c>
      <c r="G1028" s="300" t="s">
        <v>4106</v>
      </c>
      <c r="H1028" s="300" t="s">
        <v>4078</v>
      </c>
      <c r="I1028" s="300" t="s">
        <v>447</v>
      </c>
    </row>
    <row r="1029" spans="2:9" ht="14.5">
      <c r="B1029" s="300" t="s">
        <v>926</v>
      </c>
      <c r="C1029" s="300" t="s">
        <v>4107</v>
      </c>
      <c r="D1029" s="300" t="s">
        <v>4108</v>
      </c>
      <c r="E1029" s="300" t="s">
        <v>928</v>
      </c>
      <c r="F1029" s="378" t="s">
        <v>4486</v>
      </c>
      <c r="G1029" s="300" t="s">
        <v>4109</v>
      </c>
      <c r="H1029" s="300" t="s">
        <v>4078</v>
      </c>
      <c r="I1029" s="300" t="s">
        <v>447</v>
      </c>
    </row>
    <row r="1030" spans="2:9" ht="14.5">
      <c r="B1030" s="300" t="s">
        <v>926</v>
      </c>
      <c r="C1030" s="300" t="s">
        <v>4110</v>
      </c>
      <c r="D1030" s="300" t="s">
        <v>4111</v>
      </c>
      <c r="E1030" s="300" t="s">
        <v>928</v>
      </c>
      <c r="F1030" s="300" t="s">
        <v>4112</v>
      </c>
      <c r="G1030" s="300" t="s">
        <v>4113</v>
      </c>
      <c r="H1030" s="300" t="s">
        <v>4078</v>
      </c>
      <c r="I1030" s="300" t="s">
        <v>447</v>
      </c>
    </row>
    <row r="1031" spans="2:9" ht="14.5">
      <c r="B1031" s="300" t="s">
        <v>926</v>
      </c>
      <c r="C1031" s="300" t="s">
        <v>4114</v>
      </c>
      <c r="D1031" s="300" t="s">
        <v>4115</v>
      </c>
      <c r="E1031" s="300" t="s">
        <v>928</v>
      </c>
      <c r="F1031" s="300" t="s">
        <v>4116</v>
      </c>
      <c r="G1031" s="300" t="s">
        <v>4115</v>
      </c>
      <c r="H1031" s="300" t="s">
        <v>4078</v>
      </c>
      <c r="I1031" s="300" t="s">
        <v>447</v>
      </c>
    </row>
    <row r="1032" spans="2:9" ht="14.5">
      <c r="B1032" s="300" t="s">
        <v>926</v>
      </c>
      <c r="C1032" s="300" t="s">
        <v>4117</v>
      </c>
      <c r="D1032" s="300" t="s">
        <v>4118</v>
      </c>
      <c r="E1032" s="300" t="s">
        <v>928</v>
      </c>
      <c r="F1032" s="300" t="s">
        <v>4119</v>
      </c>
      <c r="G1032" s="300" t="s">
        <v>4120</v>
      </c>
      <c r="H1032" s="300" t="s">
        <v>4078</v>
      </c>
      <c r="I1032" s="300" t="s">
        <v>447</v>
      </c>
    </row>
    <row r="1033" spans="2:9" ht="14.5">
      <c r="B1033" s="300" t="s">
        <v>926</v>
      </c>
      <c r="C1033" s="300" t="s">
        <v>4121</v>
      </c>
      <c r="D1033" s="300" t="s">
        <v>4122</v>
      </c>
      <c r="E1033" s="300" t="s">
        <v>928</v>
      </c>
      <c r="F1033" s="378" t="s">
        <v>5219</v>
      </c>
      <c r="G1033" s="300" t="s">
        <v>4123</v>
      </c>
      <c r="H1033" s="300" t="s">
        <v>4078</v>
      </c>
      <c r="I1033" s="300" t="s">
        <v>447</v>
      </c>
    </row>
    <row r="1034" spans="2:9" ht="14.5">
      <c r="B1034" s="300" t="s">
        <v>926</v>
      </c>
      <c r="C1034" s="300" t="s">
        <v>4124</v>
      </c>
      <c r="D1034" s="300" t="s">
        <v>4125</v>
      </c>
      <c r="E1034" s="300" t="s">
        <v>928</v>
      </c>
      <c r="F1034" s="300" t="s">
        <v>4126</v>
      </c>
      <c r="G1034" s="300" t="s">
        <v>4125</v>
      </c>
      <c r="H1034" s="300" t="s">
        <v>4078</v>
      </c>
      <c r="I1034" s="300" t="s">
        <v>447</v>
      </c>
    </row>
    <row r="1035" spans="2:9" ht="14.5">
      <c r="B1035" s="300" t="s">
        <v>926</v>
      </c>
      <c r="C1035" s="300" t="s">
        <v>4127</v>
      </c>
      <c r="D1035" s="300" t="s">
        <v>4128</v>
      </c>
      <c r="E1035" s="300" t="s">
        <v>928</v>
      </c>
      <c r="F1035" s="300" t="s">
        <v>4129</v>
      </c>
      <c r="G1035" s="300" t="s">
        <v>4128</v>
      </c>
      <c r="H1035" s="300" t="s">
        <v>4078</v>
      </c>
      <c r="I1035" s="300" t="s">
        <v>447</v>
      </c>
    </row>
    <row r="1036" spans="2:9" ht="14.5">
      <c r="B1036" s="300" t="s">
        <v>926</v>
      </c>
      <c r="C1036" s="300" t="s">
        <v>4130</v>
      </c>
      <c r="D1036" s="300" t="s">
        <v>4131</v>
      </c>
      <c r="E1036" s="300" t="s">
        <v>928</v>
      </c>
      <c r="F1036" s="300" t="s">
        <v>4132</v>
      </c>
      <c r="G1036" s="300" t="s">
        <v>4133</v>
      </c>
      <c r="H1036" s="300" t="s">
        <v>4078</v>
      </c>
      <c r="I1036" s="300" t="s">
        <v>447</v>
      </c>
    </row>
    <row r="1037" spans="2:9" ht="14.5">
      <c r="B1037" s="300" t="s">
        <v>926</v>
      </c>
      <c r="C1037" s="300" t="s">
        <v>4134</v>
      </c>
      <c r="D1037" s="300" t="s">
        <v>4135</v>
      </c>
      <c r="E1037" s="300" t="s">
        <v>928</v>
      </c>
      <c r="F1037" s="300" t="s">
        <v>4132</v>
      </c>
      <c r="G1037" s="300" t="s">
        <v>4133</v>
      </c>
      <c r="H1037" s="300" t="s">
        <v>4078</v>
      </c>
      <c r="I1037" s="300" t="s">
        <v>447</v>
      </c>
    </row>
    <row r="1038" spans="2:9" ht="14.5">
      <c r="B1038" s="300" t="s">
        <v>926</v>
      </c>
      <c r="C1038" s="300" t="s">
        <v>4136</v>
      </c>
      <c r="D1038" s="300" t="s">
        <v>4137</v>
      </c>
      <c r="E1038" s="300" t="s">
        <v>928</v>
      </c>
      <c r="F1038" s="300" t="s">
        <v>4132</v>
      </c>
      <c r="G1038" s="300" t="s">
        <v>4133</v>
      </c>
      <c r="H1038" s="300" t="s">
        <v>4078</v>
      </c>
      <c r="I1038" s="300" t="s">
        <v>447</v>
      </c>
    </row>
    <row r="1039" spans="2:9" ht="14.5">
      <c r="B1039" s="300" t="s">
        <v>926</v>
      </c>
      <c r="C1039" s="300" t="s">
        <v>4138</v>
      </c>
      <c r="D1039" s="300" t="s">
        <v>4139</v>
      </c>
      <c r="E1039" s="300" t="s">
        <v>928</v>
      </c>
      <c r="F1039" s="300" t="s">
        <v>4132</v>
      </c>
      <c r="G1039" s="300" t="s">
        <v>4133</v>
      </c>
      <c r="H1039" s="300" t="s">
        <v>4078</v>
      </c>
      <c r="I1039" s="300" t="s">
        <v>447</v>
      </c>
    </row>
    <row r="1040" spans="2:9" ht="14.5">
      <c r="B1040" s="300" t="s">
        <v>926</v>
      </c>
      <c r="C1040" s="300" t="s">
        <v>4140</v>
      </c>
      <c r="D1040" s="300" t="s">
        <v>4141</v>
      </c>
      <c r="E1040" s="300" t="s">
        <v>928</v>
      </c>
      <c r="F1040" s="300" t="s">
        <v>4132</v>
      </c>
      <c r="G1040" s="300" t="s">
        <v>4133</v>
      </c>
      <c r="H1040" s="300" t="s">
        <v>4078</v>
      </c>
      <c r="I1040" s="300" t="s">
        <v>447</v>
      </c>
    </row>
    <row r="1041" spans="2:9" ht="14.5">
      <c r="B1041" s="300" t="s">
        <v>926</v>
      </c>
      <c r="C1041" s="300" t="s">
        <v>4142</v>
      </c>
      <c r="D1041" s="300" t="s">
        <v>4143</v>
      </c>
      <c r="E1041" s="300" t="s">
        <v>928</v>
      </c>
      <c r="F1041" s="300" t="s">
        <v>4132</v>
      </c>
      <c r="G1041" s="300" t="s">
        <v>4133</v>
      </c>
      <c r="H1041" s="300" t="s">
        <v>4078</v>
      </c>
      <c r="I1041" s="300" t="s">
        <v>447</v>
      </c>
    </row>
    <row r="1042" spans="2:9" ht="14.5">
      <c r="B1042" s="300" t="s">
        <v>926</v>
      </c>
      <c r="C1042" s="300" t="s">
        <v>4144</v>
      </c>
      <c r="D1042" s="300" t="s">
        <v>4145</v>
      </c>
      <c r="E1042" s="300" t="s">
        <v>928</v>
      </c>
      <c r="F1042" s="300" t="s">
        <v>4132</v>
      </c>
      <c r="G1042" s="300" t="s">
        <v>4133</v>
      </c>
      <c r="H1042" s="300" t="s">
        <v>4078</v>
      </c>
      <c r="I1042" s="300" t="s">
        <v>447</v>
      </c>
    </row>
    <row r="1043" spans="2:9" ht="14.5">
      <c r="B1043" s="300" t="s">
        <v>926</v>
      </c>
      <c r="C1043" s="300" t="s">
        <v>4146</v>
      </c>
      <c r="D1043" s="300" t="s">
        <v>4147</v>
      </c>
      <c r="E1043" s="300" t="s">
        <v>928</v>
      </c>
      <c r="F1043" s="300" t="s">
        <v>4132</v>
      </c>
      <c r="G1043" s="300" t="s">
        <v>4133</v>
      </c>
      <c r="H1043" s="300" t="s">
        <v>4078</v>
      </c>
      <c r="I1043" s="300" t="s">
        <v>447</v>
      </c>
    </row>
    <row r="1044" spans="2:9" ht="14.5">
      <c r="B1044" s="300" t="s">
        <v>926</v>
      </c>
      <c r="C1044" s="300" t="s">
        <v>4148</v>
      </c>
      <c r="D1044" s="300" t="s">
        <v>4149</v>
      </c>
      <c r="E1044" s="300" t="s">
        <v>928</v>
      </c>
      <c r="F1044" s="300" t="s">
        <v>4132</v>
      </c>
      <c r="G1044" s="300" t="s">
        <v>4133</v>
      </c>
      <c r="H1044" s="300" t="s">
        <v>4078</v>
      </c>
      <c r="I1044" s="300" t="s">
        <v>447</v>
      </c>
    </row>
    <row r="1045" spans="2:9" ht="14.5">
      <c r="B1045" s="300" t="s">
        <v>926</v>
      </c>
      <c r="C1045" s="300" t="s">
        <v>4150</v>
      </c>
      <c r="D1045" s="300" t="s">
        <v>4151</v>
      </c>
      <c r="E1045" s="300" t="s">
        <v>928</v>
      </c>
      <c r="F1045" s="300" t="s">
        <v>4132</v>
      </c>
      <c r="G1045" s="300" t="s">
        <v>4133</v>
      </c>
      <c r="H1045" s="300" t="s">
        <v>4078</v>
      </c>
      <c r="I1045" s="300" t="s">
        <v>447</v>
      </c>
    </row>
    <row r="1046" spans="2:9" ht="14.5">
      <c r="B1046" s="300" t="s">
        <v>926</v>
      </c>
      <c r="C1046" s="300" t="s">
        <v>4152</v>
      </c>
      <c r="D1046" s="300" t="s">
        <v>4153</v>
      </c>
      <c r="E1046" s="300" t="s">
        <v>928</v>
      </c>
      <c r="F1046" s="300" t="s">
        <v>4132</v>
      </c>
      <c r="G1046" s="300" t="s">
        <v>4133</v>
      </c>
      <c r="H1046" s="300" t="s">
        <v>4078</v>
      </c>
      <c r="I1046" s="300" t="s">
        <v>447</v>
      </c>
    </row>
    <row r="1047" spans="2:9" ht="14.5">
      <c r="B1047" s="300" t="s">
        <v>926</v>
      </c>
      <c r="C1047" s="300" t="s">
        <v>4154</v>
      </c>
      <c r="D1047" s="300" t="s">
        <v>4155</v>
      </c>
      <c r="E1047" s="300" t="s">
        <v>928</v>
      </c>
      <c r="F1047" s="300" t="s">
        <v>4132</v>
      </c>
      <c r="G1047" s="300" t="s">
        <v>4133</v>
      </c>
      <c r="H1047" s="300" t="s">
        <v>4078</v>
      </c>
      <c r="I1047" s="300" t="s">
        <v>447</v>
      </c>
    </row>
    <row r="1048" spans="2:9" ht="14.5">
      <c r="B1048" s="300" t="s">
        <v>926</v>
      </c>
      <c r="C1048" s="300" t="s">
        <v>4156</v>
      </c>
      <c r="D1048" s="300" t="s">
        <v>4157</v>
      </c>
      <c r="E1048" s="300" t="s">
        <v>928</v>
      </c>
      <c r="F1048" s="300" t="s">
        <v>2713</v>
      </c>
      <c r="G1048" s="300" t="s">
        <v>2714</v>
      </c>
      <c r="H1048" s="300" t="s">
        <v>448</v>
      </c>
      <c r="I1048" s="300" t="s">
        <v>446</v>
      </c>
    </row>
    <row r="1049" spans="2:9" ht="14.5">
      <c r="B1049" s="300" t="s">
        <v>926</v>
      </c>
      <c r="C1049" s="300" t="s">
        <v>4158</v>
      </c>
      <c r="D1049" s="300" t="s">
        <v>4159</v>
      </c>
      <c r="E1049" s="300" t="s">
        <v>928</v>
      </c>
      <c r="F1049" s="300" t="s">
        <v>4132</v>
      </c>
      <c r="G1049" s="300" t="s">
        <v>4133</v>
      </c>
      <c r="H1049" s="300" t="s">
        <v>4078</v>
      </c>
      <c r="I1049" s="300" t="s">
        <v>447</v>
      </c>
    </row>
    <row r="1050" spans="2:9" ht="14.5">
      <c r="B1050" s="300" t="s">
        <v>926</v>
      </c>
      <c r="C1050" s="300" t="s">
        <v>4160</v>
      </c>
      <c r="D1050" s="300" t="s">
        <v>4161</v>
      </c>
      <c r="E1050" s="300" t="s">
        <v>928</v>
      </c>
      <c r="F1050" s="300" t="s">
        <v>4132</v>
      </c>
      <c r="G1050" s="300" t="s">
        <v>4133</v>
      </c>
      <c r="H1050" s="300" t="s">
        <v>4078</v>
      </c>
      <c r="I1050" s="300" t="s">
        <v>447</v>
      </c>
    </row>
    <row r="1051" spans="2:9" ht="14.5">
      <c r="B1051" s="300" t="s">
        <v>926</v>
      </c>
      <c r="C1051" s="300" t="s">
        <v>4162</v>
      </c>
      <c r="D1051" s="300" t="s">
        <v>4163</v>
      </c>
      <c r="E1051" s="300" t="s">
        <v>928</v>
      </c>
      <c r="F1051" s="300" t="s">
        <v>4132</v>
      </c>
      <c r="G1051" s="300" t="s">
        <v>4133</v>
      </c>
      <c r="H1051" s="300" t="s">
        <v>4078</v>
      </c>
      <c r="I1051" s="300" t="s">
        <v>447</v>
      </c>
    </row>
    <row r="1052" spans="2:9" ht="14.5">
      <c r="B1052" s="300" t="s">
        <v>926</v>
      </c>
      <c r="C1052" s="300" t="s">
        <v>4164</v>
      </c>
      <c r="D1052" s="300" t="s">
        <v>4165</v>
      </c>
      <c r="E1052" s="300" t="s">
        <v>928</v>
      </c>
      <c r="F1052" s="300" t="s">
        <v>4132</v>
      </c>
      <c r="G1052" s="300" t="s">
        <v>4133</v>
      </c>
      <c r="H1052" s="300" t="s">
        <v>4078</v>
      </c>
      <c r="I1052" s="300" t="s">
        <v>447</v>
      </c>
    </row>
    <row r="1053" spans="2:9" ht="14.5">
      <c r="B1053" s="300" t="s">
        <v>926</v>
      </c>
      <c r="C1053" s="300" t="s">
        <v>4166</v>
      </c>
      <c r="D1053" s="300" t="s">
        <v>4167</v>
      </c>
      <c r="E1053" s="300" t="s">
        <v>928</v>
      </c>
      <c r="F1053" s="300" t="s">
        <v>4132</v>
      </c>
      <c r="G1053" s="300" t="s">
        <v>4133</v>
      </c>
      <c r="H1053" s="300" t="s">
        <v>4078</v>
      </c>
      <c r="I1053" s="300" t="s">
        <v>447</v>
      </c>
    </row>
    <row r="1054" spans="2:9" ht="14.5">
      <c r="B1054" s="300" t="s">
        <v>926</v>
      </c>
      <c r="C1054" s="300" t="s">
        <v>4168</v>
      </c>
      <c r="D1054" s="300" t="s">
        <v>4169</v>
      </c>
      <c r="E1054" s="300" t="s">
        <v>928</v>
      </c>
      <c r="F1054" s="378" t="s">
        <v>5220</v>
      </c>
      <c r="G1054" s="300" t="s">
        <v>4170</v>
      </c>
      <c r="H1054" s="300" t="s">
        <v>4078</v>
      </c>
      <c r="I1054" s="300" t="s">
        <v>447</v>
      </c>
    </row>
    <row r="1055" spans="2:9" ht="14.5">
      <c r="B1055" s="300" t="s">
        <v>926</v>
      </c>
      <c r="C1055" s="300" t="s">
        <v>4171</v>
      </c>
      <c r="D1055" s="300" t="s">
        <v>4085</v>
      </c>
      <c r="E1055" s="300" t="s">
        <v>928</v>
      </c>
      <c r="F1055" s="378" t="s">
        <v>4494</v>
      </c>
      <c r="G1055" s="300" t="s">
        <v>4172</v>
      </c>
      <c r="H1055" s="300" t="s">
        <v>4078</v>
      </c>
      <c r="I1055" s="300" t="s">
        <v>447</v>
      </c>
    </row>
    <row r="1056" spans="2:9" ht="14.5">
      <c r="B1056" s="300" t="s">
        <v>926</v>
      </c>
      <c r="C1056" s="300" t="s">
        <v>4173</v>
      </c>
      <c r="D1056" s="300" t="s">
        <v>4088</v>
      </c>
      <c r="E1056" s="300" t="s">
        <v>928</v>
      </c>
      <c r="F1056" s="300" t="s">
        <v>4174</v>
      </c>
      <c r="G1056" s="300" t="s">
        <v>4175</v>
      </c>
      <c r="H1056" s="300" t="s">
        <v>4078</v>
      </c>
      <c r="I1056" s="300" t="s">
        <v>447</v>
      </c>
    </row>
    <row r="1057" spans="2:9" ht="14.5">
      <c r="B1057" s="300" t="s">
        <v>926</v>
      </c>
      <c r="C1057" s="300" t="s">
        <v>4176</v>
      </c>
      <c r="D1057" s="300" t="s">
        <v>4092</v>
      </c>
      <c r="E1057" s="300" t="s">
        <v>928</v>
      </c>
      <c r="F1057" s="300" t="s">
        <v>4177</v>
      </c>
      <c r="G1057" s="300" t="s">
        <v>4178</v>
      </c>
      <c r="H1057" s="300" t="s">
        <v>4078</v>
      </c>
      <c r="I1057" s="300" t="s">
        <v>447</v>
      </c>
    </row>
    <row r="1058" spans="2:9" ht="14.5">
      <c r="B1058" s="300" t="s">
        <v>926</v>
      </c>
      <c r="C1058" s="300" t="s">
        <v>4179</v>
      </c>
      <c r="D1058" s="300" t="s">
        <v>4096</v>
      </c>
      <c r="E1058" s="300" t="s">
        <v>928</v>
      </c>
      <c r="F1058" s="300" t="s">
        <v>4180</v>
      </c>
      <c r="G1058" s="300" t="s">
        <v>4181</v>
      </c>
      <c r="H1058" s="300" t="s">
        <v>4078</v>
      </c>
      <c r="I1058" s="300" t="s">
        <v>447</v>
      </c>
    </row>
    <row r="1059" spans="2:9" ht="14.5">
      <c r="B1059" s="300" t="s">
        <v>926</v>
      </c>
      <c r="C1059" s="300" t="s">
        <v>4182</v>
      </c>
      <c r="D1059" s="300" t="s">
        <v>4183</v>
      </c>
      <c r="E1059" s="300" t="s">
        <v>928</v>
      </c>
      <c r="F1059" s="300" t="s">
        <v>4184</v>
      </c>
      <c r="G1059" s="300" t="s">
        <v>4185</v>
      </c>
      <c r="H1059" s="300" t="s">
        <v>4078</v>
      </c>
      <c r="I1059" s="300" t="s">
        <v>447</v>
      </c>
    </row>
    <row r="1060" spans="2:9" ht="14.5">
      <c r="B1060" s="300" t="s">
        <v>926</v>
      </c>
      <c r="C1060" s="300" t="s">
        <v>4186</v>
      </c>
      <c r="D1060" s="300" t="s">
        <v>4100</v>
      </c>
      <c r="E1060" s="300" t="s">
        <v>928</v>
      </c>
      <c r="F1060" s="300" t="s">
        <v>4187</v>
      </c>
      <c r="G1060" s="300" t="s">
        <v>4188</v>
      </c>
      <c r="H1060" s="300" t="s">
        <v>4078</v>
      </c>
      <c r="I1060" s="300" t="s">
        <v>447</v>
      </c>
    </row>
    <row r="1061" spans="2:9" ht="14.5">
      <c r="B1061" s="300" t="s">
        <v>926</v>
      </c>
      <c r="C1061" s="300" t="s">
        <v>4189</v>
      </c>
      <c r="D1061" s="300" t="s">
        <v>4104</v>
      </c>
      <c r="E1061" s="300" t="s">
        <v>928</v>
      </c>
      <c r="F1061" s="300" t="s">
        <v>4190</v>
      </c>
      <c r="G1061" s="300" t="s">
        <v>4191</v>
      </c>
      <c r="H1061" s="300" t="s">
        <v>4078</v>
      </c>
      <c r="I1061" s="300" t="s">
        <v>447</v>
      </c>
    </row>
    <row r="1062" spans="2:9" ht="14.5">
      <c r="B1062" s="300" t="s">
        <v>926</v>
      </c>
      <c r="C1062" s="300" t="s">
        <v>4192</v>
      </c>
      <c r="D1062" s="300" t="s">
        <v>4193</v>
      </c>
      <c r="E1062" s="300" t="s">
        <v>928</v>
      </c>
      <c r="F1062" s="300" t="s">
        <v>4194</v>
      </c>
      <c r="G1062" s="300" t="s">
        <v>4195</v>
      </c>
      <c r="H1062" s="300" t="s">
        <v>4078</v>
      </c>
      <c r="I1062" s="300" t="s">
        <v>447</v>
      </c>
    </row>
    <row r="1063" spans="2:9" ht="14.5">
      <c r="B1063" s="300" t="s">
        <v>926</v>
      </c>
      <c r="C1063" s="300" t="s">
        <v>4196</v>
      </c>
      <c r="D1063" s="300" t="s">
        <v>4111</v>
      </c>
      <c r="E1063" s="300" t="s">
        <v>928</v>
      </c>
      <c r="F1063" s="300" t="s">
        <v>4194</v>
      </c>
      <c r="G1063" s="300" t="s">
        <v>4195</v>
      </c>
      <c r="H1063" s="300" t="s">
        <v>4078</v>
      </c>
      <c r="I1063" s="300" t="s">
        <v>447</v>
      </c>
    </row>
    <row r="1064" spans="2:9" ht="14.5">
      <c r="B1064" s="300" t="s">
        <v>926</v>
      </c>
      <c r="C1064" s="300" t="s">
        <v>4197</v>
      </c>
      <c r="D1064" s="300" t="s">
        <v>4131</v>
      </c>
      <c r="E1064" s="300" t="s">
        <v>928</v>
      </c>
      <c r="F1064" s="300" t="s">
        <v>4198</v>
      </c>
      <c r="G1064" s="300" t="s">
        <v>4199</v>
      </c>
      <c r="H1064" s="300" t="s">
        <v>4078</v>
      </c>
      <c r="I1064" s="300" t="s">
        <v>447</v>
      </c>
    </row>
    <row r="1065" spans="2:9" ht="14.5">
      <c r="B1065" s="300" t="s">
        <v>926</v>
      </c>
      <c r="C1065" s="300" t="s">
        <v>4200</v>
      </c>
      <c r="D1065" s="300" t="s">
        <v>4135</v>
      </c>
      <c r="E1065" s="300" t="s">
        <v>928</v>
      </c>
      <c r="F1065" s="300" t="s">
        <v>4198</v>
      </c>
      <c r="G1065" s="300" t="s">
        <v>4199</v>
      </c>
      <c r="H1065" s="300" t="s">
        <v>4078</v>
      </c>
      <c r="I1065" s="300" t="s">
        <v>447</v>
      </c>
    </row>
    <row r="1066" spans="2:9" ht="14.5">
      <c r="B1066" s="300" t="s">
        <v>926</v>
      </c>
      <c r="C1066" s="300" t="s">
        <v>4201</v>
      </c>
      <c r="D1066" s="300" t="s">
        <v>4137</v>
      </c>
      <c r="E1066" s="300" t="s">
        <v>928</v>
      </c>
      <c r="F1066" s="300" t="s">
        <v>4198</v>
      </c>
      <c r="G1066" s="300" t="s">
        <v>4199</v>
      </c>
      <c r="H1066" s="300" t="s">
        <v>4078</v>
      </c>
      <c r="I1066" s="300" t="s">
        <v>447</v>
      </c>
    </row>
    <row r="1067" spans="2:9" ht="14.5">
      <c r="B1067" s="300" t="s">
        <v>926</v>
      </c>
      <c r="C1067" s="300" t="s">
        <v>4202</v>
      </c>
      <c r="D1067" s="300" t="s">
        <v>4139</v>
      </c>
      <c r="E1067" s="300" t="s">
        <v>928</v>
      </c>
      <c r="F1067" s="300" t="s">
        <v>4198</v>
      </c>
      <c r="G1067" s="300" t="s">
        <v>4199</v>
      </c>
      <c r="H1067" s="300" t="s">
        <v>4078</v>
      </c>
      <c r="I1067" s="300" t="s">
        <v>447</v>
      </c>
    </row>
    <row r="1068" spans="2:9" ht="14.5">
      <c r="B1068" s="300" t="s">
        <v>926</v>
      </c>
      <c r="C1068" s="300" t="s">
        <v>4203</v>
      </c>
      <c r="D1068" s="300" t="s">
        <v>4141</v>
      </c>
      <c r="E1068" s="300" t="s">
        <v>928</v>
      </c>
      <c r="F1068" s="300" t="s">
        <v>4198</v>
      </c>
      <c r="G1068" s="300" t="s">
        <v>4199</v>
      </c>
      <c r="H1068" s="300" t="s">
        <v>4078</v>
      </c>
      <c r="I1068" s="300" t="s">
        <v>447</v>
      </c>
    </row>
    <row r="1069" spans="2:9" ht="14.5">
      <c r="B1069" s="300" t="s">
        <v>926</v>
      </c>
      <c r="C1069" s="300" t="s">
        <v>4204</v>
      </c>
      <c r="D1069" s="300" t="s">
        <v>4143</v>
      </c>
      <c r="E1069" s="300" t="s">
        <v>928</v>
      </c>
      <c r="F1069" s="300" t="s">
        <v>4198</v>
      </c>
      <c r="G1069" s="300" t="s">
        <v>4199</v>
      </c>
      <c r="H1069" s="300" t="s">
        <v>4078</v>
      </c>
      <c r="I1069" s="300" t="s">
        <v>447</v>
      </c>
    </row>
    <row r="1070" spans="2:9" ht="14.5">
      <c r="B1070" s="300" t="s">
        <v>926</v>
      </c>
      <c r="C1070" s="300" t="s">
        <v>4205</v>
      </c>
      <c r="D1070" s="300" t="s">
        <v>4145</v>
      </c>
      <c r="E1070" s="300" t="s">
        <v>928</v>
      </c>
      <c r="F1070" s="300" t="s">
        <v>4198</v>
      </c>
      <c r="G1070" s="300" t="s">
        <v>4199</v>
      </c>
      <c r="H1070" s="300" t="s">
        <v>4078</v>
      </c>
      <c r="I1070" s="300" t="s">
        <v>447</v>
      </c>
    </row>
    <row r="1071" spans="2:9" ht="14.5">
      <c r="B1071" s="300" t="s">
        <v>926</v>
      </c>
      <c r="C1071" s="300" t="s">
        <v>4206</v>
      </c>
      <c r="D1071" s="300" t="s">
        <v>4147</v>
      </c>
      <c r="E1071" s="300" t="s">
        <v>928</v>
      </c>
      <c r="F1071" s="300" t="s">
        <v>4198</v>
      </c>
      <c r="G1071" s="300" t="s">
        <v>4199</v>
      </c>
      <c r="H1071" s="300" t="s">
        <v>4078</v>
      </c>
      <c r="I1071" s="300" t="s">
        <v>447</v>
      </c>
    </row>
    <row r="1072" spans="2:9" ht="14.5">
      <c r="B1072" s="300" t="s">
        <v>926</v>
      </c>
      <c r="C1072" s="300" t="s">
        <v>4207</v>
      </c>
      <c r="D1072" s="300" t="s">
        <v>4149</v>
      </c>
      <c r="E1072" s="300" t="s">
        <v>928</v>
      </c>
      <c r="F1072" s="300" t="s">
        <v>4198</v>
      </c>
      <c r="G1072" s="300" t="s">
        <v>4199</v>
      </c>
      <c r="H1072" s="300" t="s">
        <v>4078</v>
      </c>
      <c r="I1072" s="300" t="s">
        <v>447</v>
      </c>
    </row>
    <row r="1073" spans="2:9" ht="14.5">
      <c r="B1073" s="300" t="s">
        <v>926</v>
      </c>
      <c r="C1073" s="300" t="s">
        <v>4208</v>
      </c>
      <c r="D1073" s="300" t="s">
        <v>4151</v>
      </c>
      <c r="E1073" s="300" t="s">
        <v>928</v>
      </c>
      <c r="F1073" s="300" t="s">
        <v>4198</v>
      </c>
      <c r="G1073" s="300" t="s">
        <v>4199</v>
      </c>
      <c r="H1073" s="300" t="s">
        <v>4078</v>
      </c>
      <c r="I1073" s="300" t="s">
        <v>447</v>
      </c>
    </row>
    <row r="1074" spans="2:9" ht="14.5">
      <c r="B1074" s="300" t="s">
        <v>926</v>
      </c>
      <c r="C1074" s="300" t="s">
        <v>4209</v>
      </c>
      <c r="D1074" s="300" t="s">
        <v>4153</v>
      </c>
      <c r="E1074" s="300" t="s">
        <v>928</v>
      </c>
      <c r="F1074" s="300" t="s">
        <v>4198</v>
      </c>
      <c r="G1074" s="300" t="s">
        <v>4199</v>
      </c>
      <c r="H1074" s="300" t="s">
        <v>4078</v>
      </c>
      <c r="I1074" s="300" t="s">
        <v>447</v>
      </c>
    </row>
    <row r="1075" spans="2:9" ht="14.5">
      <c r="B1075" s="300" t="s">
        <v>926</v>
      </c>
      <c r="C1075" s="300" t="s">
        <v>4210</v>
      </c>
      <c r="D1075" s="300" t="s">
        <v>4155</v>
      </c>
      <c r="E1075" s="300" t="s">
        <v>928</v>
      </c>
      <c r="F1075" s="300" t="s">
        <v>4198</v>
      </c>
      <c r="G1075" s="300" t="s">
        <v>4199</v>
      </c>
      <c r="H1075" s="300" t="s">
        <v>4078</v>
      </c>
      <c r="I1075" s="300" t="s">
        <v>447</v>
      </c>
    </row>
    <row r="1076" spans="2:9" ht="14.5">
      <c r="B1076" s="300" t="s">
        <v>926</v>
      </c>
      <c r="C1076" s="300" t="s">
        <v>4211</v>
      </c>
      <c r="D1076" s="300" t="s">
        <v>4157</v>
      </c>
      <c r="E1076" s="300" t="s">
        <v>928</v>
      </c>
      <c r="F1076" s="300" t="s">
        <v>4198</v>
      </c>
      <c r="G1076" s="300" t="s">
        <v>4199</v>
      </c>
      <c r="H1076" s="300" t="s">
        <v>4078</v>
      </c>
      <c r="I1076" s="300" t="s">
        <v>447</v>
      </c>
    </row>
    <row r="1077" spans="2:9" ht="14.5">
      <c r="B1077" s="300" t="s">
        <v>926</v>
      </c>
      <c r="C1077" s="300" t="s">
        <v>4212</v>
      </c>
      <c r="D1077" s="300" t="s">
        <v>4159</v>
      </c>
      <c r="E1077" s="300" t="s">
        <v>928</v>
      </c>
      <c r="F1077" s="300" t="s">
        <v>4198</v>
      </c>
      <c r="G1077" s="300" t="s">
        <v>4199</v>
      </c>
      <c r="H1077" s="300" t="s">
        <v>4078</v>
      </c>
      <c r="I1077" s="300" t="s">
        <v>447</v>
      </c>
    </row>
    <row r="1078" spans="2:9" ht="14.5">
      <c r="B1078" s="300" t="s">
        <v>926</v>
      </c>
      <c r="C1078" s="300" t="s">
        <v>4213</v>
      </c>
      <c r="D1078" s="300" t="s">
        <v>4161</v>
      </c>
      <c r="E1078" s="300" t="s">
        <v>928</v>
      </c>
      <c r="F1078" s="300" t="s">
        <v>4198</v>
      </c>
      <c r="G1078" s="300" t="s">
        <v>4199</v>
      </c>
      <c r="H1078" s="300" t="s">
        <v>4078</v>
      </c>
      <c r="I1078" s="300" t="s">
        <v>447</v>
      </c>
    </row>
    <row r="1079" spans="2:9" ht="14.5">
      <c r="B1079" s="300" t="s">
        <v>926</v>
      </c>
      <c r="C1079" s="300" t="s">
        <v>4214</v>
      </c>
      <c r="D1079" s="300" t="s">
        <v>4163</v>
      </c>
      <c r="E1079" s="300" t="s">
        <v>928</v>
      </c>
      <c r="F1079" s="300" t="s">
        <v>4198</v>
      </c>
      <c r="G1079" s="300" t="s">
        <v>4199</v>
      </c>
      <c r="H1079" s="300" t="s">
        <v>4078</v>
      </c>
      <c r="I1079" s="300" t="s">
        <v>447</v>
      </c>
    </row>
    <row r="1080" spans="2:9" ht="14.5">
      <c r="B1080" s="300" t="s">
        <v>926</v>
      </c>
      <c r="C1080" s="300" t="s">
        <v>4215</v>
      </c>
      <c r="D1080" s="300" t="s">
        <v>4216</v>
      </c>
      <c r="E1080" s="300" t="s">
        <v>928</v>
      </c>
      <c r="F1080" s="300" t="s">
        <v>4198</v>
      </c>
      <c r="G1080" s="300" t="s">
        <v>4199</v>
      </c>
      <c r="H1080" s="300" t="s">
        <v>4078</v>
      </c>
      <c r="I1080" s="300" t="s">
        <v>447</v>
      </c>
    </row>
    <row r="1081" spans="2:9" ht="14.5">
      <c r="B1081" s="300" t="s">
        <v>926</v>
      </c>
      <c r="C1081" s="300" t="s">
        <v>4217</v>
      </c>
      <c r="D1081" s="300" t="s">
        <v>4167</v>
      </c>
      <c r="E1081" s="300" t="s">
        <v>928</v>
      </c>
      <c r="F1081" s="300" t="s">
        <v>4198</v>
      </c>
      <c r="G1081" s="300" t="s">
        <v>4199</v>
      </c>
      <c r="H1081" s="300" t="s">
        <v>4078</v>
      </c>
      <c r="I1081" s="300" t="s">
        <v>447</v>
      </c>
    </row>
    <row r="1082" spans="2:9" ht="14.5">
      <c r="B1082" s="300" t="s">
        <v>926</v>
      </c>
      <c r="C1082" s="300" t="s">
        <v>4218</v>
      </c>
      <c r="D1082" s="300" t="s">
        <v>4219</v>
      </c>
      <c r="E1082" s="300" t="s">
        <v>928</v>
      </c>
      <c r="F1082" s="378" t="s">
        <v>5221</v>
      </c>
      <c r="G1082" s="300" t="s">
        <v>4220</v>
      </c>
      <c r="H1082" s="300" t="s">
        <v>4078</v>
      </c>
      <c r="I1082" s="300" t="s">
        <v>447</v>
      </c>
    </row>
    <row r="1083" spans="2:9" ht="14.5">
      <c r="B1083" s="300" t="s">
        <v>926</v>
      </c>
      <c r="C1083" s="300" t="s">
        <v>4221</v>
      </c>
      <c r="D1083" s="300" t="s">
        <v>4085</v>
      </c>
      <c r="E1083" s="300" t="s">
        <v>928</v>
      </c>
      <c r="F1083" s="378" t="s">
        <v>4499</v>
      </c>
      <c r="G1083" s="300" t="s">
        <v>4222</v>
      </c>
      <c r="H1083" s="300" t="s">
        <v>4078</v>
      </c>
      <c r="I1083" s="300" t="s">
        <v>447</v>
      </c>
    </row>
    <row r="1084" spans="2:9" ht="14.5">
      <c r="B1084" s="300" t="s">
        <v>926</v>
      </c>
      <c r="C1084" s="300" t="s">
        <v>4223</v>
      </c>
      <c r="D1084" s="300" t="s">
        <v>4224</v>
      </c>
      <c r="E1084" s="300" t="s">
        <v>928</v>
      </c>
      <c r="F1084" s="300" t="s">
        <v>4225</v>
      </c>
      <c r="G1084" s="300" t="s">
        <v>4226</v>
      </c>
      <c r="H1084" s="300" t="s">
        <v>4078</v>
      </c>
      <c r="I1084" s="300" t="s">
        <v>447</v>
      </c>
    </row>
    <row r="1085" spans="2:9" ht="14.5">
      <c r="B1085" s="300" t="s">
        <v>926</v>
      </c>
      <c r="C1085" s="300" t="s">
        <v>4227</v>
      </c>
      <c r="D1085" s="300" t="s">
        <v>4096</v>
      </c>
      <c r="E1085" s="300" t="s">
        <v>928</v>
      </c>
      <c r="F1085" s="300" t="s">
        <v>4228</v>
      </c>
      <c r="G1085" s="300" t="s">
        <v>4229</v>
      </c>
      <c r="H1085" s="300" t="s">
        <v>4078</v>
      </c>
      <c r="I1085" s="300" t="s">
        <v>447</v>
      </c>
    </row>
    <row r="1086" spans="2:9" ht="14.5">
      <c r="B1086" s="300" t="s">
        <v>926</v>
      </c>
      <c r="C1086" s="300" t="s">
        <v>4230</v>
      </c>
      <c r="D1086" s="300" t="s">
        <v>4183</v>
      </c>
      <c r="E1086" s="300" t="s">
        <v>928</v>
      </c>
      <c r="F1086" s="300" t="s">
        <v>4231</v>
      </c>
      <c r="G1086" s="300" t="s">
        <v>4232</v>
      </c>
      <c r="H1086" s="300" t="s">
        <v>4078</v>
      </c>
      <c r="I1086" s="300" t="s">
        <v>447</v>
      </c>
    </row>
    <row r="1087" spans="2:9" ht="14.5">
      <c r="B1087" s="300" t="s">
        <v>926</v>
      </c>
      <c r="C1087" s="300" t="s">
        <v>4233</v>
      </c>
      <c r="D1087" s="300" t="s">
        <v>4100</v>
      </c>
      <c r="E1087" s="300" t="s">
        <v>928</v>
      </c>
      <c r="F1087" s="300" t="s">
        <v>4234</v>
      </c>
      <c r="G1087" s="300" t="s">
        <v>4235</v>
      </c>
      <c r="H1087" s="300" t="s">
        <v>4078</v>
      </c>
      <c r="I1087" s="300" t="s">
        <v>447</v>
      </c>
    </row>
    <row r="1088" spans="2:9" ht="14.5">
      <c r="B1088" s="300" t="s">
        <v>926</v>
      </c>
      <c r="C1088" s="300" t="s">
        <v>4236</v>
      </c>
      <c r="D1088" s="300" t="s">
        <v>4104</v>
      </c>
      <c r="E1088" s="300" t="s">
        <v>928</v>
      </c>
      <c r="F1088" s="300" t="s">
        <v>4237</v>
      </c>
      <c r="G1088" s="300" t="s">
        <v>4238</v>
      </c>
      <c r="H1088" s="300" t="s">
        <v>4078</v>
      </c>
      <c r="I1088" s="300" t="s">
        <v>447</v>
      </c>
    </row>
    <row r="1089" spans="2:9" ht="14.5">
      <c r="B1089" s="300" t="s">
        <v>926</v>
      </c>
      <c r="C1089" s="300" t="s">
        <v>4239</v>
      </c>
      <c r="D1089" s="300" t="s">
        <v>4240</v>
      </c>
      <c r="E1089" s="300" t="s">
        <v>928</v>
      </c>
      <c r="F1089" s="378" t="s">
        <v>5221</v>
      </c>
      <c r="G1089" s="300" t="s">
        <v>4220</v>
      </c>
      <c r="H1089" s="300" t="s">
        <v>4078</v>
      </c>
      <c r="I1089" s="300" t="s">
        <v>447</v>
      </c>
    </row>
    <row r="1090" spans="2:9" ht="14.5">
      <c r="B1090" s="300" t="s">
        <v>926</v>
      </c>
      <c r="C1090" s="300" t="s">
        <v>4241</v>
      </c>
      <c r="D1090" s="300" t="s">
        <v>4135</v>
      </c>
      <c r="E1090" s="300" t="s">
        <v>928</v>
      </c>
      <c r="F1090" s="300" t="s">
        <v>4242</v>
      </c>
      <c r="G1090" s="300" t="s">
        <v>4243</v>
      </c>
      <c r="H1090" s="300" t="s">
        <v>4078</v>
      </c>
      <c r="I1090" s="300" t="s">
        <v>447</v>
      </c>
    </row>
    <row r="1091" spans="2:9" ht="14.5">
      <c r="B1091" s="300" t="s">
        <v>926</v>
      </c>
      <c r="C1091" s="300" t="s">
        <v>4244</v>
      </c>
      <c r="D1091" s="300" t="s">
        <v>4137</v>
      </c>
      <c r="E1091" s="300" t="s">
        <v>928</v>
      </c>
      <c r="F1091" s="300" t="s">
        <v>4242</v>
      </c>
      <c r="G1091" s="300" t="s">
        <v>4243</v>
      </c>
      <c r="H1091" s="300" t="s">
        <v>4078</v>
      </c>
      <c r="I1091" s="300" t="s">
        <v>447</v>
      </c>
    </row>
    <row r="1092" spans="2:9" ht="14.5">
      <c r="B1092" s="300" t="s">
        <v>926</v>
      </c>
      <c r="C1092" s="300" t="s">
        <v>4245</v>
      </c>
      <c r="D1092" s="300" t="s">
        <v>4139</v>
      </c>
      <c r="E1092" s="300" t="s">
        <v>928</v>
      </c>
      <c r="F1092" s="300" t="s">
        <v>4242</v>
      </c>
      <c r="G1092" s="300" t="s">
        <v>4243</v>
      </c>
      <c r="H1092" s="300" t="s">
        <v>4078</v>
      </c>
      <c r="I1092" s="300" t="s">
        <v>447</v>
      </c>
    </row>
    <row r="1093" spans="2:9" ht="14.5">
      <c r="B1093" s="300" t="s">
        <v>926</v>
      </c>
      <c r="C1093" s="300" t="s">
        <v>4246</v>
      </c>
      <c r="D1093" s="300" t="s">
        <v>4141</v>
      </c>
      <c r="E1093" s="300" t="s">
        <v>928</v>
      </c>
      <c r="F1093" s="300" t="s">
        <v>4242</v>
      </c>
      <c r="G1093" s="300" t="s">
        <v>4243</v>
      </c>
      <c r="H1093" s="300" t="s">
        <v>4078</v>
      </c>
      <c r="I1093" s="300" t="s">
        <v>447</v>
      </c>
    </row>
    <row r="1094" spans="2:9" ht="14.5">
      <c r="B1094" s="300" t="s">
        <v>926</v>
      </c>
      <c r="C1094" s="300" t="s">
        <v>4247</v>
      </c>
      <c r="D1094" s="300" t="s">
        <v>4143</v>
      </c>
      <c r="E1094" s="300" t="s">
        <v>928</v>
      </c>
      <c r="F1094" s="300" t="s">
        <v>4242</v>
      </c>
      <c r="G1094" s="300" t="s">
        <v>4243</v>
      </c>
      <c r="H1094" s="300" t="s">
        <v>4078</v>
      </c>
      <c r="I1094" s="300" t="s">
        <v>447</v>
      </c>
    </row>
    <row r="1095" spans="2:9" ht="14.5">
      <c r="B1095" s="300" t="s">
        <v>926</v>
      </c>
      <c r="C1095" s="300" t="s">
        <v>4248</v>
      </c>
      <c r="D1095" s="300" t="s">
        <v>4145</v>
      </c>
      <c r="E1095" s="300" t="s">
        <v>928</v>
      </c>
      <c r="F1095" s="300" t="s">
        <v>4242</v>
      </c>
      <c r="G1095" s="300" t="s">
        <v>4243</v>
      </c>
      <c r="H1095" s="300" t="s">
        <v>4078</v>
      </c>
      <c r="I1095" s="300" t="s">
        <v>447</v>
      </c>
    </row>
    <row r="1096" spans="2:9" ht="14.5">
      <c r="B1096" s="300" t="s">
        <v>926</v>
      </c>
      <c r="C1096" s="300" t="s">
        <v>4249</v>
      </c>
      <c r="D1096" s="300" t="s">
        <v>4147</v>
      </c>
      <c r="E1096" s="300" t="s">
        <v>928</v>
      </c>
      <c r="F1096" s="300" t="s">
        <v>4242</v>
      </c>
      <c r="G1096" s="300" t="s">
        <v>4243</v>
      </c>
      <c r="H1096" s="300" t="s">
        <v>4078</v>
      </c>
      <c r="I1096" s="300" t="s">
        <v>447</v>
      </c>
    </row>
    <row r="1097" spans="2:9" ht="14.5">
      <c r="B1097" s="300" t="s">
        <v>926</v>
      </c>
      <c r="C1097" s="300" t="s">
        <v>4250</v>
      </c>
      <c r="D1097" s="300" t="s">
        <v>4149</v>
      </c>
      <c r="E1097" s="300" t="s">
        <v>928</v>
      </c>
      <c r="F1097" s="300" t="s">
        <v>4242</v>
      </c>
      <c r="G1097" s="300" t="s">
        <v>4243</v>
      </c>
      <c r="H1097" s="300" t="s">
        <v>4078</v>
      </c>
      <c r="I1097" s="300" t="s">
        <v>447</v>
      </c>
    </row>
    <row r="1098" spans="2:9" ht="14.5">
      <c r="B1098" s="300" t="s">
        <v>926</v>
      </c>
      <c r="C1098" s="300" t="s">
        <v>4251</v>
      </c>
      <c r="D1098" s="300" t="s">
        <v>4151</v>
      </c>
      <c r="E1098" s="300" t="s">
        <v>928</v>
      </c>
      <c r="F1098" s="300" t="s">
        <v>4242</v>
      </c>
      <c r="G1098" s="300" t="s">
        <v>4243</v>
      </c>
      <c r="H1098" s="300" t="s">
        <v>4078</v>
      </c>
      <c r="I1098" s="300" t="s">
        <v>447</v>
      </c>
    </row>
    <row r="1099" spans="2:9" ht="14.5">
      <c r="B1099" s="300" t="s">
        <v>926</v>
      </c>
      <c r="C1099" s="300" t="s">
        <v>4252</v>
      </c>
      <c r="D1099" s="300" t="s">
        <v>4153</v>
      </c>
      <c r="E1099" s="300" t="s">
        <v>928</v>
      </c>
      <c r="F1099" s="300" t="s">
        <v>4242</v>
      </c>
      <c r="G1099" s="300" t="s">
        <v>4243</v>
      </c>
      <c r="H1099" s="300" t="s">
        <v>4078</v>
      </c>
      <c r="I1099" s="300" t="s">
        <v>447</v>
      </c>
    </row>
    <row r="1100" spans="2:9" ht="14.5">
      <c r="B1100" s="300" t="s">
        <v>926</v>
      </c>
      <c r="C1100" s="300" t="s">
        <v>4253</v>
      </c>
      <c r="D1100" s="300" t="s">
        <v>4155</v>
      </c>
      <c r="E1100" s="300" t="s">
        <v>928</v>
      </c>
      <c r="F1100" s="300" t="s">
        <v>4242</v>
      </c>
      <c r="G1100" s="300" t="s">
        <v>4243</v>
      </c>
      <c r="H1100" s="300" t="s">
        <v>4078</v>
      </c>
      <c r="I1100" s="300" t="s">
        <v>447</v>
      </c>
    </row>
    <row r="1101" spans="2:9" ht="14.5">
      <c r="B1101" s="300" t="s">
        <v>926</v>
      </c>
      <c r="C1101" s="300" t="s">
        <v>4254</v>
      </c>
      <c r="D1101" s="300" t="s">
        <v>4255</v>
      </c>
      <c r="E1101" s="300" t="s">
        <v>928</v>
      </c>
      <c r="F1101" s="300" t="s">
        <v>4242</v>
      </c>
      <c r="G1101" s="300" t="s">
        <v>4243</v>
      </c>
      <c r="H1101" s="300" t="s">
        <v>4078</v>
      </c>
      <c r="I1101" s="300" t="s">
        <v>447</v>
      </c>
    </row>
    <row r="1102" spans="2:9" ht="14.5">
      <c r="B1102" s="300" t="s">
        <v>926</v>
      </c>
      <c r="C1102" s="300" t="s">
        <v>4256</v>
      </c>
      <c r="D1102" s="300" t="s">
        <v>4159</v>
      </c>
      <c r="E1102" s="300" t="s">
        <v>928</v>
      </c>
      <c r="F1102" s="300" t="s">
        <v>4242</v>
      </c>
      <c r="G1102" s="300" t="s">
        <v>4243</v>
      </c>
      <c r="H1102" s="300" t="s">
        <v>4078</v>
      </c>
      <c r="I1102" s="300" t="s">
        <v>447</v>
      </c>
    </row>
    <row r="1103" spans="2:9" ht="14.5">
      <c r="B1103" s="300" t="s">
        <v>926</v>
      </c>
      <c r="C1103" s="300" t="s">
        <v>4257</v>
      </c>
      <c r="D1103" s="300" t="s">
        <v>4161</v>
      </c>
      <c r="E1103" s="300" t="s">
        <v>928</v>
      </c>
      <c r="F1103" s="300" t="s">
        <v>4242</v>
      </c>
      <c r="G1103" s="300" t="s">
        <v>4243</v>
      </c>
      <c r="H1103" s="300" t="s">
        <v>4078</v>
      </c>
      <c r="I1103" s="300" t="s">
        <v>447</v>
      </c>
    </row>
    <row r="1104" spans="2:9" ht="14.5">
      <c r="B1104" s="300" t="s">
        <v>926</v>
      </c>
      <c r="C1104" s="300" t="s">
        <v>4258</v>
      </c>
      <c r="D1104" s="300" t="s">
        <v>4163</v>
      </c>
      <c r="E1104" s="300" t="s">
        <v>928</v>
      </c>
      <c r="F1104" s="300" t="s">
        <v>4242</v>
      </c>
      <c r="G1104" s="300" t="s">
        <v>4243</v>
      </c>
      <c r="H1104" s="300" t="s">
        <v>4078</v>
      </c>
      <c r="I1104" s="300" t="s">
        <v>447</v>
      </c>
    </row>
    <row r="1105" spans="2:9" ht="14.5">
      <c r="B1105" s="300" t="s">
        <v>926</v>
      </c>
      <c r="C1105" s="300" t="s">
        <v>4259</v>
      </c>
      <c r="D1105" s="300" t="s">
        <v>4216</v>
      </c>
      <c r="E1105" s="300" t="s">
        <v>928</v>
      </c>
      <c r="F1105" s="300" t="s">
        <v>4242</v>
      </c>
      <c r="G1105" s="300" t="s">
        <v>4243</v>
      </c>
      <c r="H1105" s="300" t="s">
        <v>4078</v>
      </c>
      <c r="I1105" s="300" t="s">
        <v>447</v>
      </c>
    </row>
    <row r="1106" spans="2:9" ht="14.5">
      <c r="B1106" s="300" t="s">
        <v>926</v>
      </c>
      <c r="C1106" s="300" t="s">
        <v>4260</v>
      </c>
      <c r="D1106" s="300" t="s">
        <v>4261</v>
      </c>
      <c r="E1106" s="300" t="s">
        <v>928</v>
      </c>
      <c r="F1106" s="300" t="s">
        <v>4262</v>
      </c>
      <c r="G1106" s="300" t="s">
        <v>4263</v>
      </c>
      <c r="H1106" s="300" t="s">
        <v>4078</v>
      </c>
      <c r="I1106" s="300" t="s">
        <v>447</v>
      </c>
    </row>
    <row r="1107" spans="2:9" ht="14.5">
      <c r="B1107" s="300" t="s">
        <v>926</v>
      </c>
      <c r="C1107" s="300" t="s">
        <v>4264</v>
      </c>
      <c r="D1107" s="300" t="s">
        <v>4265</v>
      </c>
      <c r="E1107" s="300" t="s">
        <v>928</v>
      </c>
      <c r="F1107" s="300" t="s">
        <v>4262</v>
      </c>
      <c r="G1107" s="300" t="s">
        <v>4263</v>
      </c>
      <c r="H1107" s="300" t="s">
        <v>4078</v>
      </c>
      <c r="I1107" s="300" t="s">
        <v>447</v>
      </c>
    </row>
    <row r="1108" spans="2:9" ht="14.5">
      <c r="B1108" s="300" t="s">
        <v>926</v>
      </c>
      <c r="C1108" s="300" t="s">
        <v>4266</v>
      </c>
      <c r="D1108" s="300" t="s">
        <v>4261</v>
      </c>
      <c r="E1108" s="300" t="s">
        <v>928</v>
      </c>
      <c r="F1108" s="300" t="s">
        <v>4262</v>
      </c>
      <c r="G1108" s="300" t="s">
        <v>4263</v>
      </c>
      <c r="H1108" s="300" t="s">
        <v>4078</v>
      </c>
      <c r="I1108" s="300" t="s">
        <v>447</v>
      </c>
    </row>
    <row r="1109" spans="2:9" ht="14.5">
      <c r="B1109" s="300" t="s">
        <v>926</v>
      </c>
      <c r="C1109" s="300" t="s">
        <v>4267</v>
      </c>
      <c r="D1109" s="300" t="s">
        <v>4268</v>
      </c>
      <c r="E1109" s="300" t="s">
        <v>928</v>
      </c>
      <c r="F1109" s="378" t="s">
        <v>5222</v>
      </c>
      <c r="G1109" s="300" t="s">
        <v>4268</v>
      </c>
      <c r="H1109" s="300" t="s">
        <v>4269</v>
      </c>
      <c r="I1109" s="300" t="s">
        <v>447</v>
      </c>
    </row>
    <row r="1110" spans="2:9" ht="14.5">
      <c r="B1110" s="300" t="s">
        <v>926</v>
      </c>
      <c r="C1110" s="300" t="s">
        <v>4270</v>
      </c>
      <c r="D1110" s="300" t="s">
        <v>4271</v>
      </c>
      <c r="E1110" s="300" t="s">
        <v>928</v>
      </c>
      <c r="F1110" s="300" t="s">
        <v>4272</v>
      </c>
      <c r="G1110" s="300" t="s">
        <v>4273</v>
      </c>
      <c r="H1110" s="300" t="s">
        <v>4269</v>
      </c>
      <c r="I1110" s="300" t="s">
        <v>447</v>
      </c>
    </row>
    <row r="1111" spans="2:9" ht="14.5">
      <c r="B1111" s="300" t="s">
        <v>926</v>
      </c>
      <c r="C1111" s="300" t="s">
        <v>4274</v>
      </c>
      <c r="D1111" s="300" t="s">
        <v>4271</v>
      </c>
      <c r="E1111" s="300" t="s">
        <v>928</v>
      </c>
      <c r="F1111" s="300" t="s">
        <v>4272</v>
      </c>
      <c r="G1111" s="300" t="s">
        <v>4273</v>
      </c>
      <c r="H1111" s="300" t="s">
        <v>4269</v>
      </c>
      <c r="I1111" s="300" t="s">
        <v>447</v>
      </c>
    </row>
    <row r="1112" spans="2:9" ht="14.5">
      <c r="B1112" s="300" t="s">
        <v>926</v>
      </c>
      <c r="C1112" s="300" t="s">
        <v>4275</v>
      </c>
      <c r="D1112" s="300" t="s">
        <v>4276</v>
      </c>
      <c r="E1112" s="300" t="s">
        <v>928</v>
      </c>
      <c r="F1112" s="300" t="s">
        <v>4277</v>
      </c>
      <c r="G1112" s="300" t="s">
        <v>4278</v>
      </c>
      <c r="H1112" s="300" t="s">
        <v>4269</v>
      </c>
      <c r="I1112" s="300" t="s">
        <v>447</v>
      </c>
    </row>
    <row r="1113" spans="2:9" ht="14.5">
      <c r="B1113" s="300" t="s">
        <v>926</v>
      </c>
      <c r="C1113" s="300" t="s">
        <v>4279</v>
      </c>
      <c r="D1113" s="300" t="s">
        <v>4280</v>
      </c>
      <c r="E1113" s="300" t="s">
        <v>928</v>
      </c>
      <c r="F1113" s="300" t="s">
        <v>4277</v>
      </c>
      <c r="G1113" s="300" t="s">
        <v>4278</v>
      </c>
      <c r="H1113" s="300" t="s">
        <v>4269</v>
      </c>
      <c r="I1113" s="300" t="s">
        <v>447</v>
      </c>
    </row>
    <row r="1114" spans="2:9" ht="14.5">
      <c r="B1114" s="300" t="s">
        <v>926</v>
      </c>
      <c r="C1114" s="300" t="s">
        <v>4281</v>
      </c>
      <c r="D1114" s="300" t="s">
        <v>4282</v>
      </c>
      <c r="E1114" s="300" t="s">
        <v>928</v>
      </c>
      <c r="F1114" s="300" t="s">
        <v>4283</v>
      </c>
      <c r="G1114" s="300" t="s">
        <v>4284</v>
      </c>
      <c r="H1114" s="300" t="s">
        <v>4269</v>
      </c>
      <c r="I1114" s="300" t="s">
        <v>447</v>
      </c>
    </row>
    <row r="1115" spans="2:9" ht="14.5">
      <c r="B1115" s="300" t="s">
        <v>926</v>
      </c>
      <c r="C1115" s="300" t="s">
        <v>4285</v>
      </c>
      <c r="D1115" s="300" t="s">
        <v>4286</v>
      </c>
      <c r="E1115" s="300" t="s">
        <v>928</v>
      </c>
      <c r="F1115" s="300" t="s">
        <v>4283</v>
      </c>
      <c r="G1115" s="300" t="s">
        <v>4284</v>
      </c>
      <c r="H1115" s="300" t="s">
        <v>4269</v>
      </c>
      <c r="I1115" s="300" t="s">
        <v>447</v>
      </c>
    </row>
    <row r="1116" spans="2:9" ht="14.5">
      <c r="B1116" s="300" t="s">
        <v>926</v>
      </c>
      <c r="C1116" s="300" t="s">
        <v>4287</v>
      </c>
      <c r="D1116" s="300" t="s">
        <v>4288</v>
      </c>
      <c r="E1116" s="300" t="s">
        <v>928</v>
      </c>
      <c r="F1116" s="300" t="s">
        <v>4289</v>
      </c>
      <c r="G1116" s="300" t="s">
        <v>4290</v>
      </c>
      <c r="H1116" s="300" t="s">
        <v>4269</v>
      </c>
      <c r="I1116" s="300" t="s">
        <v>447</v>
      </c>
    </row>
    <row r="1117" spans="2:9" ht="14.5">
      <c r="B1117" s="300" t="s">
        <v>926</v>
      </c>
      <c r="C1117" s="300" t="s">
        <v>4291</v>
      </c>
      <c r="D1117" s="300" t="s">
        <v>4292</v>
      </c>
      <c r="E1117" s="300" t="s">
        <v>928</v>
      </c>
      <c r="F1117" s="300" t="s">
        <v>4289</v>
      </c>
      <c r="G1117" s="300" t="s">
        <v>4290</v>
      </c>
      <c r="H1117" s="300" t="s">
        <v>4269</v>
      </c>
      <c r="I1117" s="300" t="s">
        <v>447</v>
      </c>
    </row>
    <row r="1118" spans="2:9" ht="14.5">
      <c r="B1118" s="300" t="s">
        <v>926</v>
      </c>
      <c r="C1118" s="300" t="s">
        <v>4293</v>
      </c>
      <c r="D1118" s="300" t="s">
        <v>4294</v>
      </c>
      <c r="E1118" s="300" t="s">
        <v>928</v>
      </c>
      <c r="F1118" s="378" t="s">
        <v>3794</v>
      </c>
      <c r="G1118" s="300" t="s">
        <v>4295</v>
      </c>
      <c r="H1118" s="300" t="s">
        <v>4296</v>
      </c>
      <c r="I1118" s="300" t="s">
        <v>446</v>
      </c>
    </row>
    <row r="1119" spans="2:9" ht="14.5">
      <c r="B1119" s="300" t="s">
        <v>926</v>
      </c>
      <c r="C1119" s="300" t="s">
        <v>4297</v>
      </c>
      <c r="D1119" s="300" t="s">
        <v>4298</v>
      </c>
      <c r="E1119" s="300" t="s">
        <v>928</v>
      </c>
      <c r="F1119" s="300" t="s">
        <v>4299</v>
      </c>
      <c r="G1119" s="300" t="s">
        <v>4300</v>
      </c>
      <c r="H1119" s="300" t="s">
        <v>4296</v>
      </c>
      <c r="I1119" s="300" t="s">
        <v>446</v>
      </c>
    </row>
    <row r="1120" spans="2:9" ht="14.5">
      <c r="B1120" s="300" t="s">
        <v>926</v>
      </c>
      <c r="C1120" s="300" t="s">
        <v>4301</v>
      </c>
      <c r="D1120" s="300" t="s">
        <v>4302</v>
      </c>
      <c r="E1120" s="300" t="s">
        <v>928</v>
      </c>
      <c r="F1120" s="378" t="s">
        <v>5223</v>
      </c>
      <c r="G1120" s="300" t="s">
        <v>4303</v>
      </c>
      <c r="H1120" s="300" t="s">
        <v>1818</v>
      </c>
      <c r="I1120" s="300" t="s">
        <v>446</v>
      </c>
    </row>
    <row r="1121" spans="2:9" ht="14.5">
      <c r="B1121" s="300" t="s">
        <v>926</v>
      </c>
      <c r="C1121" s="300" t="s">
        <v>4304</v>
      </c>
      <c r="D1121" s="300" t="s">
        <v>4305</v>
      </c>
      <c r="E1121" s="300" t="s">
        <v>928</v>
      </c>
      <c r="F1121" s="300" t="s">
        <v>4306</v>
      </c>
      <c r="G1121" s="300" t="s">
        <v>4305</v>
      </c>
      <c r="H1121" s="300" t="s">
        <v>1818</v>
      </c>
      <c r="I1121" s="300" t="s">
        <v>446</v>
      </c>
    </row>
    <row r="1122" spans="2:9" ht="14.5">
      <c r="B1122" s="300" t="s">
        <v>926</v>
      </c>
      <c r="C1122" s="300" t="s">
        <v>4307</v>
      </c>
      <c r="D1122" s="300" t="s">
        <v>4308</v>
      </c>
      <c r="E1122" s="300" t="s">
        <v>928</v>
      </c>
      <c r="F1122" s="378" t="s">
        <v>5224</v>
      </c>
      <c r="G1122" s="300" t="s">
        <v>4309</v>
      </c>
      <c r="H1122" s="300" t="s">
        <v>4269</v>
      </c>
      <c r="I1122" s="300" t="s">
        <v>447</v>
      </c>
    </row>
    <row r="1123" spans="2:9" ht="14.5">
      <c r="B1123" s="300" t="s">
        <v>926</v>
      </c>
      <c r="C1123" s="300" t="s">
        <v>4310</v>
      </c>
      <c r="D1123" s="300" t="s">
        <v>4311</v>
      </c>
      <c r="E1123" s="300" t="s">
        <v>928</v>
      </c>
      <c r="F1123" s="300" t="s">
        <v>4289</v>
      </c>
      <c r="G1123" s="300" t="s">
        <v>4290</v>
      </c>
      <c r="H1123" s="300" t="s">
        <v>4269</v>
      </c>
      <c r="I1123" s="300" t="s">
        <v>447</v>
      </c>
    </row>
    <row r="1124" spans="2:9" ht="14.5">
      <c r="B1124" s="300" t="s">
        <v>926</v>
      </c>
      <c r="C1124" s="300" t="s">
        <v>4312</v>
      </c>
      <c r="D1124" s="300" t="s">
        <v>4313</v>
      </c>
      <c r="E1124" s="300" t="s">
        <v>928</v>
      </c>
      <c r="F1124" s="378" t="s">
        <v>5225</v>
      </c>
      <c r="G1124" s="300" t="s">
        <v>4314</v>
      </c>
      <c r="H1124" s="300" t="s">
        <v>4314</v>
      </c>
      <c r="I1124" s="300" t="s">
        <v>447</v>
      </c>
    </row>
    <row r="1125" spans="2:9" ht="14.5">
      <c r="B1125" s="300" t="s">
        <v>926</v>
      </c>
      <c r="C1125" s="300" t="s">
        <v>4315</v>
      </c>
      <c r="D1125" s="300" t="s">
        <v>4316</v>
      </c>
      <c r="E1125" s="300" t="s">
        <v>928</v>
      </c>
      <c r="F1125" s="378" t="s">
        <v>5226</v>
      </c>
      <c r="G1125" s="300" t="s">
        <v>4317</v>
      </c>
      <c r="H1125" s="300" t="s">
        <v>4314</v>
      </c>
      <c r="I1125" s="300" t="s">
        <v>447</v>
      </c>
    </row>
    <row r="1126" spans="2:9" ht="14.5">
      <c r="B1126" s="300" t="s">
        <v>926</v>
      </c>
      <c r="C1126" s="300" t="s">
        <v>4318</v>
      </c>
      <c r="D1126" s="300" t="s">
        <v>4319</v>
      </c>
      <c r="E1126" s="300" t="s">
        <v>928</v>
      </c>
      <c r="F1126" s="300" t="s">
        <v>4320</v>
      </c>
      <c r="G1126" s="300" t="s">
        <v>4321</v>
      </c>
      <c r="H1126" s="300" t="s">
        <v>4314</v>
      </c>
      <c r="I1126" s="300" t="s">
        <v>447</v>
      </c>
    </row>
    <row r="1127" spans="2:9" ht="14.5">
      <c r="B1127" s="300" t="s">
        <v>926</v>
      </c>
      <c r="C1127" s="300" t="s">
        <v>4322</v>
      </c>
      <c r="D1127" s="300" t="s">
        <v>4323</v>
      </c>
      <c r="E1127" s="300" t="s">
        <v>928</v>
      </c>
      <c r="F1127" s="300" t="s">
        <v>4324</v>
      </c>
      <c r="G1127" s="300" t="s">
        <v>4325</v>
      </c>
      <c r="H1127" s="300" t="s">
        <v>4314</v>
      </c>
      <c r="I1127" s="300" t="s">
        <v>447</v>
      </c>
    </row>
    <row r="1128" spans="2:9" ht="14.5">
      <c r="B1128" s="300" t="s">
        <v>926</v>
      </c>
      <c r="C1128" s="300" t="s">
        <v>4326</v>
      </c>
      <c r="D1128" s="300" t="s">
        <v>4327</v>
      </c>
      <c r="E1128" s="300" t="s">
        <v>928</v>
      </c>
      <c r="F1128" s="300" t="s">
        <v>4324</v>
      </c>
      <c r="G1128" s="300" t="s">
        <v>4325</v>
      </c>
      <c r="H1128" s="300" t="s">
        <v>4314</v>
      </c>
      <c r="I1128" s="300" t="s">
        <v>447</v>
      </c>
    </row>
    <row r="1129" spans="2:9" ht="14.5">
      <c r="B1129" s="300" t="s">
        <v>926</v>
      </c>
      <c r="C1129" s="300" t="s">
        <v>4328</v>
      </c>
      <c r="D1129" s="300" t="s">
        <v>4329</v>
      </c>
      <c r="E1129" s="300" t="s">
        <v>928</v>
      </c>
      <c r="F1129" s="378" t="s">
        <v>5227</v>
      </c>
      <c r="G1129" s="300" t="s">
        <v>4330</v>
      </c>
      <c r="H1129" s="300" t="s">
        <v>4331</v>
      </c>
      <c r="I1129" s="300" t="s">
        <v>447</v>
      </c>
    </row>
    <row r="1130" spans="2:9" ht="14.5">
      <c r="B1130" s="300" t="s">
        <v>926</v>
      </c>
      <c r="C1130" s="300" t="s">
        <v>4332</v>
      </c>
      <c r="D1130" s="300" t="s">
        <v>4333</v>
      </c>
      <c r="E1130" s="300" t="s">
        <v>928</v>
      </c>
      <c r="F1130" s="300" t="s">
        <v>4334</v>
      </c>
      <c r="G1130" s="300" t="s">
        <v>4335</v>
      </c>
      <c r="H1130" s="300" t="s">
        <v>4331</v>
      </c>
      <c r="I1130" s="300" t="s">
        <v>447</v>
      </c>
    </row>
    <row r="1131" spans="2:9" ht="14.5">
      <c r="B1131" s="300" t="s">
        <v>926</v>
      </c>
      <c r="C1131" s="300" t="s">
        <v>4336</v>
      </c>
      <c r="D1131" s="300" t="s">
        <v>4337</v>
      </c>
      <c r="E1131" s="300" t="s">
        <v>928</v>
      </c>
      <c r="F1131" s="300" t="s">
        <v>4338</v>
      </c>
      <c r="G1131" s="300" t="s">
        <v>4339</v>
      </c>
      <c r="H1131" s="300" t="s">
        <v>4331</v>
      </c>
      <c r="I1131" s="300" t="s">
        <v>447</v>
      </c>
    </row>
    <row r="1132" spans="2:9" ht="14.5">
      <c r="B1132" s="300" t="s">
        <v>926</v>
      </c>
      <c r="C1132" s="300" t="s">
        <v>4340</v>
      </c>
      <c r="D1132" s="300" t="s">
        <v>4341</v>
      </c>
      <c r="E1132" s="300" t="s">
        <v>928</v>
      </c>
      <c r="F1132" s="300" t="s">
        <v>4342</v>
      </c>
      <c r="G1132" s="300" t="s">
        <v>4343</v>
      </c>
      <c r="H1132" s="300" t="s">
        <v>4331</v>
      </c>
      <c r="I1132" s="300" t="s">
        <v>447</v>
      </c>
    </row>
    <row r="1133" spans="2:9" ht="14.5">
      <c r="B1133" s="300" t="s">
        <v>926</v>
      </c>
      <c r="C1133" s="300" t="s">
        <v>4344</v>
      </c>
      <c r="D1133" s="300" t="s">
        <v>4345</v>
      </c>
      <c r="E1133" s="300" t="s">
        <v>928</v>
      </c>
      <c r="F1133" s="300" t="s">
        <v>4346</v>
      </c>
      <c r="G1133" s="300" t="s">
        <v>4347</v>
      </c>
      <c r="H1133" s="300" t="s">
        <v>4331</v>
      </c>
      <c r="I1133" s="300" t="s">
        <v>447</v>
      </c>
    </row>
    <row r="1134" spans="2:9" ht="14.5">
      <c r="B1134" s="300" t="s">
        <v>926</v>
      </c>
      <c r="C1134" s="300" t="s">
        <v>4348</v>
      </c>
      <c r="D1134" s="300" t="s">
        <v>4349</v>
      </c>
      <c r="E1134" s="300" t="s">
        <v>928</v>
      </c>
      <c r="F1134" s="300" t="s">
        <v>4350</v>
      </c>
      <c r="G1134" s="300" t="s">
        <v>4351</v>
      </c>
      <c r="H1134" s="300" t="s">
        <v>4331</v>
      </c>
      <c r="I1134" s="300" t="s">
        <v>447</v>
      </c>
    </row>
    <row r="1135" spans="2:9" ht="14.5">
      <c r="B1135" s="300" t="s">
        <v>926</v>
      </c>
      <c r="C1135" s="300" t="s">
        <v>4352</v>
      </c>
      <c r="D1135" s="300" t="s">
        <v>4353</v>
      </c>
      <c r="E1135" s="300" t="s">
        <v>928</v>
      </c>
      <c r="F1135" s="300" t="s">
        <v>4334</v>
      </c>
      <c r="G1135" s="300" t="s">
        <v>4335</v>
      </c>
      <c r="H1135" s="300" t="s">
        <v>4331</v>
      </c>
      <c r="I1135" s="300" t="s">
        <v>447</v>
      </c>
    </row>
    <row r="1136" spans="2:9" ht="14.5">
      <c r="B1136" s="300" t="s">
        <v>926</v>
      </c>
      <c r="C1136" s="300" t="s">
        <v>4354</v>
      </c>
      <c r="D1136" s="300" t="s">
        <v>4355</v>
      </c>
      <c r="E1136" s="300" t="s">
        <v>928</v>
      </c>
      <c r="F1136" s="300" t="s">
        <v>4334</v>
      </c>
      <c r="G1136" s="300" t="s">
        <v>4335</v>
      </c>
      <c r="H1136" s="300" t="s">
        <v>4331</v>
      </c>
      <c r="I1136" s="300" t="s">
        <v>447</v>
      </c>
    </row>
    <row r="1137" spans="2:9" ht="14.5">
      <c r="B1137" s="300" t="s">
        <v>926</v>
      </c>
      <c r="C1137" s="300" t="s">
        <v>4356</v>
      </c>
      <c r="D1137" s="300" t="s">
        <v>4357</v>
      </c>
      <c r="E1137" s="300" t="s">
        <v>928</v>
      </c>
      <c r="F1137" s="300" t="s">
        <v>4334</v>
      </c>
      <c r="G1137" s="300" t="s">
        <v>4335</v>
      </c>
      <c r="H1137" s="300" t="s">
        <v>4331</v>
      </c>
      <c r="I1137" s="300" t="s">
        <v>447</v>
      </c>
    </row>
    <row r="1138" spans="2:9" ht="14.5">
      <c r="B1138" s="300" t="s">
        <v>926</v>
      </c>
      <c r="C1138" s="300" t="s">
        <v>4358</v>
      </c>
      <c r="D1138" s="300" t="s">
        <v>4359</v>
      </c>
      <c r="E1138" s="300" t="s">
        <v>928</v>
      </c>
      <c r="F1138" s="378" t="s">
        <v>5228</v>
      </c>
      <c r="G1138" s="300" t="s">
        <v>4360</v>
      </c>
      <c r="H1138" s="300" t="s">
        <v>4361</v>
      </c>
      <c r="I1138" s="300" t="s">
        <v>447</v>
      </c>
    </row>
    <row r="1139" spans="2:9" ht="14.5">
      <c r="B1139" s="300" t="s">
        <v>926</v>
      </c>
      <c r="C1139" s="300" t="s">
        <v>4362</v>
      </c>
      <c r="D1139" s="300" t="s">
        <v>4363</v>
      </c>
      <c r="E1139" s="300" t="s">
        <v>928</v>
      </c>
      <c r="F1139" s="300" t="s">
        <v>4364</v>
      </c>
      <c r="G1139" s="300" t="s">
        <v>4365</v>
      </c>
      <c r="H1139" s="300" t="s">
        <v>4361</v>
      </c>
      <c r="I1139" s="300" t="s">
        <v>447</v>
      </c>
    </row>
    <row r="1140" spans="2:9" ht="14.5">
      <c r="B1140" s="300" t="s">
        <v>926</v>
      </c>
      <c r="C1140" s="300" t="s">
        <v>4366</v>
      </c>
      <c r="D1140" s="300" t="s">
        <v>4367</v>
      </c>
      <c r="E1140" s="300" t="s">
        <v>928</v>
      </c>
      <c r="F1140" s="378" t="s">
        <v>5229</v>
      </c>
      <c r="G1140" s="300" t="s">
        <v>4368</v>
      </c>
      <c r="H1140" s="300" t="s">
        <v>4369</v>
      </c>
      <c r="I1140" s="300" t="s">
        <v>447</v>
      </c>
    </row>
    <row r="1141" spans="2:9" ht="14.5">
      <c r="B1141" s="300" t="s">
        <v>926</v>
      </c>
      <c r="C1141" s="300" t="s">
        <v>4370</v>
      </c>
      <c r="D1141" s="300" t="s">
        <v>4371</v>
      </c>
      <c r="E1141" s="300" t="s">
        <v>928</v>
      </c>
      <c r="F1141" s="300" t="s">
        <v>4372</v>
      </c>
      <c r="G1141" s="300" t="s">
        <v>4373</v>
      </c>
      <c r="H1141" s="300" t="s">
        <v>4369</v>
      </c>
      <c r="I1141" s="300" t="s">
        <v>447</v>
      </c>
    </row>
    <row r="1142" spans="2:9" ht="14.5">
      <c r="B1142" s="300" t="s">
        <v>926</v>
      </c>
      <c r="C1142" s="300" t="s">
        <v>4374</v>
      </c>
      <c r="D1142" s="300" t="s">
        <v>4375</v>
      </c>
      <c r="E1142" s="300" t="s">
        <v>928</v>
      </c>
      <c r="F1142" s="300" t="s">
        <v>4376</v>
      </c>
      <c r="G1142" s="300" t="s">
        <v>4377</v>
      </c>
      <c r="H1142" s="300" t="s">
        <v>4369</v>
      </c>
      <c r="I1142" s="300" t="s">
        <v>447</v>
      </c>
    </row>
    <row r="1143" spans="2:9" ht="14.5">
      <c r="B1143" s="300" t="s">
        <v>926</v>
      </c>
      <c r="C1143" s="300" t="s">
        <v>4378</v>
      </c>
      <c r="D1143" s="300" t="s">
        <v>4379</v>
      </c>
      <c r="E1143" s="300" t="s">
        <v>928</v>
      </c>
      <c r="F1143" s="300" t="s">
        <v>4380</v>
      </c>
      <c r="G1143" s="300" t="s">
        <v>4381</v>
      </c>
      <c r="H1143" s="300" t="s">
        <v>4369</v>
      </c>
      <c r="I1143" s="300" t="s">
        <v>447</v>
      </c>
    </row>
    <row r="1144" spans="2:9" ht="14.5">
      <c r="B1144" s="300" t="s">
        <v>926</v>
      </c>
      <c r="C1144" s="300" t="s">
        <v>4382</v>
      </c>
      <c r="D1144" s="300" t="s">
        <v>4383</v>
      </c>
      <c r="E1144" s="300" t="s">
        <v>928</v>
      </c>
      <c r="F1144" s="300" t="s">
        <v>4384</v>
      </c>
      <c r="G1144" s="300" t="s">
        <v>4385</v>
      </c>
      <c r="H1144" s="300" t="s">
        <v>4369</v>
      </c>
      <c r="I1144" s="300" t="s">
        <v>447</v>
      </c>
    </row>
    <row r="1145" spans="2:9" ht="14.5">
      <c r="B1145" s="300" t="s">
        <v>926</v>
      </c>
      <c r="C1145" s="300" t="s">
        <v>4386</v>
      </c>
      <c r="D1145" s="300" t="s">
        <v>4387</v>
      </c>
      <c r="E1145" s="300" t="s">
        <v>928</v>
      </c>
      <c r="F1145" s="300" t="s">
        <v>4384</v>
      </c>
      <c r="G1145" s="300" t="s">
        <v>4385</v>
      </c>
      <c r="H1145" s="300" t="s">
        <v>4369</v>
      </c>
      <c r="I1145" s="300" t="s">
        <v>447</v>
      </c>
    </row>
    <row r="1146" spans="2:9" ht="14.5">
      <c r="B1146" s="300" t="s">
        <v>926</v>
      </c>
      <c r="C1146" s="300" t="s">
        <v>4388</v>
      </c>
      <c r="D1146" s="300" t="s">
        <v>4389</v>
      </c>
      <c r="E1146" s="300" t="s">
        <v>928</v>
      </c>
      <c r="F1146" s="300" t="s">
        <v>4390</v>
      </c>
      <c r="G1146" s="300" t="s">
        <v>4391</v>
      </c>
      <c r="H1146" s="300" t="s">
        <v>4361</v>
      </c>
      <c r="I1146" s="300" t="s">
        <v>447</v>
      </c>
    </row>
    <row r="1147" spans="2:9" ht="14.5">
      <c r="B1147" s="300" t="s">
        <v>926</v>
      </c>
      <c r="C1147" s="300" t="s">
        <v>4392</v>
      </c>
      <c r="D1147" s="300" t="s">
        <v>4393</v>
      </c>
      <c r="E1147" s="300" t="s">
        <v>928</v>
      </c>
      <c r="F1147" s="300" t="s">
        <v>4390</v>
      </c>
      <c r="G1147" s="300" t="s">
        <v>4391</v>
      </c>
      <c r="H1147" s="300" t="s">
        <v>4361</v>
      </c>
      <c r="I1147" s="300" t="s">
        <v>447</v>
      </c>
    </row>
    <row r="1148" spans="2:9" ht="14.5">
      <c r="B1148" s="300" t="s">
        <v>926</v>
      </c>
      <c r="C1148" s="300" t="s">
        <v>4394</v>
      </c>
      <c r="D1148" s="300" t="s">
        <v>4395</v>
      </c>
      <c r="E1148" s="300" t="s">
        <v>928</v>
      </c>
      <c r="F1148" s="300" t="s">
        <v>4390</v>
      </c>
      <c r="G1148" s="300" t="s">
        <v>4391</v>
      </c>
      <c r="H1148" s="300" t="s">
        <v>4361</v>
      </c>
      <c r="I1148" s="300" t="s">
        <v>447</v>
      </c>
    </row>
    <row r="1149" spans="2:9" ht="14.5">
      <c r="B1149" s="300" t="s">
        <v>926</v>
      </c>
      <c r="C1149" s="300" t="s">
        <v>4396</v>
      </c>
      <c r="D1149" s="300" t="s">
        <v>4397</v>
      </c>
      <c r="E1149" s="300" t="s">
        <v>928</v>
      </c>
      <c r="F1149" s="300" t="s">
        <v>4398</v>
      </c>
      <c r="G1149" s="300" t="s">
        <v>4397</v>
      </c>
      <c r="H1149" s="300" t="s">
        <v>4361</v>
      </c>
      <c r="I1149" s="300" t="s">
        <v>447</v>
      </c>
    </row>
    <row r="1150" spans="2:9" ht="14.5">
      <c r="B1150" s="300" t="s">
        <v>926</v>
      </c>
      <c r="C1150" s="300" t="s">
        <v>4399</v>
      </c>
      <c r="D1150" s="300" t="s">
        <v>4400</v>
      </c>
      <c r="E1150" s="300" t="s">
        <v>928</v>
      </c>
      <c r="F1150" s="378" t="s">
        <v>3484</v>
      </c>
      <c r="G1150" s="300" t="s">
        <v>4401</v>
      </c>
      <c r="H1150" s="300" t="s">
        <v>4361</v>
      </c>
      <c r="I1150" s="300" t="s">
        <v>447</v>
      </c>
    </row>
    <row r="1151" spans="2:9" ht="14.5">
      <c r="B1151" s="300" t="s">
        <v>926</v>
      </c>
      <c r="C1151" s="300" t="s">
        <v>4402</v>
      </c>
      <c r="D1151" s="300" t="s">
        <v>4403</v>
      </c>
      <c r="E1151" s="300" t="s">
        <v>928</v>
      </c>
      <c r="F1151" s="300" t="s">
        <v>4404</v>
      </c>
      <c r="G1151" s="300" t="s">
        <v>4405</v>
      </c>
      <c r="H1151" s="300" t="s">
        <v>4361</v>
      </c>
      <c r="I1151" s="300" t="s">
        <v>447</v>
      </c>
    </row>
    <row r="1152" spans="2:9" ht="14.5">
      <c r="B1152" s="300" t="s">
        <v>926</v>
      </c>
      <c r="C1152" s="300" t="s">
        <v>4406</v>
      </c>
      <c r="D1152" s="300" t="s">
        <v>4407</v>
      </c>
      <c r="E1152" s="300" t="s">
        <v>928</v>
      </c>
      <c r="F1152" s="300" t="s">
        <v>4408</v>
      </c>
      <c r="G1152" s="300" t="s">
        <v>4409</v>
      </c>
      <c r="H1152" s="300" t="s">
        <v>4361</v>
      </c>
      <c r="I1152" s="300" t="s">
        <v>447</v>
      </c>
    </row>
    <row r="1153" spans="2:9" ht="14.5">
      <c r="B1153" s="300" t="s">
        <v>926</v>
      </c>
      <c r="C1153" s="300" t="s">
        <v>4410</v>
      </c>
      <c r="D1153" s="300" t="s">
        <v>4411</v>
      </c>
      <c r="E1153" s="300" t="s">
        <v>928</v>
      </c>
      <c r="F1153" s="300" t="s">
        <v>4408</v>
      </c>
      <c r="G1153" s="300" t="s">
        <v>4409</v>
      </c>
      <c r="H1153" s="300" t="s">
        <v>4361</v>
      </c>
      <c r="I1153" s="300" t="s">
        <v>447</v>
      </c>
    </row>
    <row r="1154" spans="2:9" ht="14.5">
      <c r="B1154" s="300" t="s">
        <v>926</v>
      </c>
      <c r="C1154" s="300" t="s">
        <v>4412</v>
      </c>
      <c r="D1154" s="300" t="s">
        <v>4413</v>
      </c>
      <c r="E1154" s="300" t="s">
        <v>928</v>
      </c>
      <c r="F1154" s="300" t="s">
        <v>4414</v>
      </c>
      <c r="G1154" s="300" t="s">
        <v>4415</v>
      </c>
      <c r="H1154" s="300" t="s">
        <v>4361</v>
      </c>
      <c r="I1154" s="300" t="s">
        <v>447</v>
      </c>
    </row>
    <row r="1155" spans="2:9" ht="14.5">
      <c r="B1155" s="300" t="s">
        <v>926</v>
      </c>
      <c r="C1155" s="300" t="s">
        <v>4416</v>
      </c>
      <c r="D1155" s="300" t="s">
        <v>4417</v>
      </c>
      <c r="E1155" s="300" t="s">
        <v>928</v>
      </c>
      <c r="F1155" s="300" t="s">
        <v>4418</v>
      </c>
      <c r="G1155" s="300" t="s">
        <v>4417</v>
      </c>
      <c r="H1155" s="300" t="s">
        <v>4361</v>
      </c>
      <c r="I1155" s="300" t="s">
        <v>447</v>
      </c>
    </row>
    <row r="1156" spans="2:9" ht="14.5">
      <c r="B1156" s="300" t="s">
        <v>926</v>
      </c>
      <c r="C1156" s="300" t="s">
        <v>4419</v>
      </c>
      <c r="D1156" s="300" t="s">
        <v>4420</v>
      </c>
      <c r="E1156" s="300" t="s">
        <v>928</v>
      </c>
      <c r="F1156" s="300" t="s">
        <v>4408</v>
      </c>
      <c r="G1156" s="300" t="s">
        <v>4409</v>
      </c>
      <c r="H1156" s="300" t="s">
        <v>4361</v>
      </c>
      <c r="I1156" s="300" t="s">
        <v>447</v>
      </c>
    </row>
    <row r="1157" spans="2:9" ht="14.5">
      <c r="B1157" s="300" t="s">
        <v>926</v>
      </c>
      <c r="C1157" s="300" t="s">
        <v>4421</v>
      </c>
      <c r="D1157" s="300" t="s">
        <v>4422</v>
      </c>
      <c r="E1157" s="300" t="s">
        <v>928</v>
      </c>
      <c r="F1157" s="300" t="s">
        <v>4408</v>
      </c>
      <c r="G1157" s="300" t="s">
        <v>4409</v>
      </c>
      <c r="H1157" s="300" t="s">
        <v>4361</v>
      </c>
      <c r="I1157" s="300" t="s">
        <v>447</v>
      </c>
    </row>
    <row r="1158" spans="2:9" ht="14.5">
      <c r="B1158" s="300" t="s">
        <v>926</v>
      </c>
      <c r="C1158" s="300" t="s">
        <v>4423</v>
      </c>
      <c r="D1158" s="300" t="s">
        <v>4424</v>
      </c>
      <c r="E1158" s="300" t="s">
        <v>928</v>
      </c>
      <c r="F1158" s="300" t="s">
        <v>4408</v>
      </c>
      <c r="G1158" s="300" t="s">
        <v>4409</v>
      </c>
      <c r="H1158" s="300" t="s">
        <v>4361</v>
      </c>
      <c r="I1158" s="300" t="s">
        <v>447</v>
      </c>
    </row>
    <row r="1159" spans="2:9" ht="14.5">
      <c r="B1159" s="300" t="s">
        <v>926</v>
      </c>
      <c r="C1159" s="300" t="s">
        <v>4425</v>
      </c>
      <c r="D1159" s="300" t="s">
        <v>4426</v>
      </c>
      <c r="E1159" s="300" t="s">
        <v>928</v>
      </c>
      <c r="F1159" s="378" t="s">
        <v>3484</v>
      </c>
      <c r="G1159" s="300" t="s">
        <v>4401</v>
      </c>
      <c r="H1159" s="300" t="s">
        <v>4361</v>
      </c>
      <c r="I1159" s="300" t="s">
        <v>447</v>
      </c>
    </row>
    <row r="1160" spans="2:9" ht="14.5">
      <c r="B1160" s="300" t="s">
        <v>926</v>
      </c>
      <c r="C1160" s="300" t="s">
        <v>4427</v>
      </c>
      <c r="D1160" s="300" t="s">
        <v>4428</v>
      </c>
      <c r="E1160" s="300" t="s">
        <v>928</v>
      </c>
      <c r="F1160" s="300" t="s">
        <v>4429</v>
      </c>
      <c r="G1160" s="300" t="s">
        <v>4430</v>
      </c>
      <c r="H1160" s="300" t="s">
        <v>4361</v>
      </c>
      <c r="I1160" s="300" t="s">
        <v>447</v>
      </c>
    </row>
    <row r="1161" spans="2:9" ht="14.5">
      <c r="B1161" s="300" t="s">
        <v>926</v>
      </c>
      <c r="C1161" s="300" t="s">
        <v>4431</v>
      </c>
      <c r="D1161" s="300" t="s">
        <v>4432</v>
      </c>
      <c r="E1161" s="300" t="s">
        <v>928</v>
      </c>
      <c r="F1161" s="300" t="s">
        <v>4384</v>
      </c>
      <c r="G1161" s="300" t="s">
        <v>4385</v>
      </c>
      <c r="H1161" s="300" t="s">
        <v>4369</v>
      </c>
      <c r="I1161" s="300" t="s">
        <v>447</v>
      </c>
    </row>
    <row r="1162" spans="2:9" ht="14.5">
      <c r="B1162" s="300" t="s">
        <v>926</v>
      </c>
      <c r="C1162" s="300" t="s">
        <v>4433</v>
      </c>
      <c r="D1162" s="300" t="s">
        <v>4434</v>
      </c>
      <c r="E1162" s="300" t="s">
        <v>928</v>
      </c>
      <c r="F1162" s="300" t="s">
        <v>4384</v>
      </c>
      <c r="G1162" s="300" t="s">
        <v>4385</v>
      </c>
      <c r="H1162" s="300" t="s">
        <v>4369</v>
      </c>
      <c r="I1162" s="300" t="s">
        <v>447</v>
      </c>
    </row>
    <row r="1163" spans="2:9" ht="14.5">
      <c r="B1163" s="300" t="s">
        <v>926</v>
      </c>
      <c r="C1163" s="300" t="s">
        <v>4435</v>
      </c>
      <c r="D1163" s="300" t="s">
        <v>4436</v>
      </c>
      <c r="E1163" s="300" t="s">
        <v>928</v>
      </c>
      <c r="F1163" s="300" t="s">
        <v>4437</v>
      </c>
      <c r="G1163" s="300" t="s">
        <v>4438</v>
      </c>
      <c r="H1163" s="300" t="s">
        <v>4361</v>
      </c>
      <c r="I1163" s="300" t="s">
        <v>447</v>
      </c>
    </row>
    <row r="1164" spans="2:9" ht="14.5">
      <c r="B1164" s="300" t="s">
        <v>926</v>
      </c>
      <c r="C1164" s="300" t="s">
        <v>4439</v>
      </c>
      <c r="D1164" s="300" t="s">
        <v>4440</v>
      </c>
      <c r="E1164" s="300" t="s">
        <v>928</v>
      </c>
      <c r="F1164" s="300" t="s">
        <v>4437</v>
      </c>
      <c r="G1164" s="300" t="s">
        <v>4438</v>
      </c>
      <c r="H1164" s="300" t="s">
        <v>4361</v>
      </c>
      <c r="I1164" s="300" t="s">
        <v>447</v>
      </c>
    </row>
    <row r="1165" spans="2:9" ht="14.5">
      <c r="B1165" s="300" t="s">
        <v>926</v>
      </c>
      <c r="C1165" s="300" t="s">
        <v>4441</v>
      </c>
      <c r="D1165" s="300" t="s">
        <v>4442</v>
      </c>
      <c r="E1165" s="300" t="s">
        <v>928</v>
      </c>
      <c r="F1165" s="300" t="s">
        <v>4437</v>
      </c>
      <c r="G1165" s="300" t="s">
        <v>4438</v>
      </c>
      <c r="H1165" s="300" t="s">
        <v>4361</v>
      </c>
      <c r="I1165" s="300" t="s">
        <v>447</v>
      </c>
    </row>
    <row r="1166" spans="2:9" ht="14.5">
      <c r="B1166" s="300" t="s">
        <v>926</v>
      </c>
      <c r="C1166" s="300" t="s">
        <v>4443</v>
      </c>
      <c r="D1166" s="300" t="s">
        <v>4444</v>
      </c>
      <c r="E1166" s="300" t="s">
        <v>928</v>
      </c>
      <c r="F1166" s="300" t="s">
        <v>4437</v>
      </c>
      <c r="G1166" s="300" t="s">
        <v>4438</v>
      </c>
      <c r="H1166" s="300" t="s">
        <v>4361</v>
      </c>
      <c r="I1166" s="300" t="s">
        <v>447</v>
      </c>
    </row>
    <row r="1167" spans="2:9" ht="14.5">
      <c r="B1167" s="300" t="s">
        <v>926</v>
      </c>
      <c r="C1167" s="300" t="s">
        <v>4445</v>
      </c>
      <c r="D1167" s="300" t="s">
        <v>4446</v>
      </c>
      <c r="E1167" s="300" t="s">
        <v>928</v>
      </c>
      <c r="F1167" s="300" t="s">
        <v>4437</v>
      </c>
      <c r="G1167" s="300" t="s">
        <v>4438</v>
      </c>
      <c r="H1167" s="300" t="s">
        <v>4361</v>
      </c>
      <c r="I1167" s="300" t="s">
        <v>447</v>
      </c>
    </row>
    <row r="1168" spans="2:9" ht="14.5">
      <c r="B1168" s="300" t="s">
        <v>926</v>
      </c>
      <c r="C1168" s="300" t="s">
        <v>4447</v>
      </c>
      <c r="D1168" s="300" t="s">
        <v>4448</v>
      </c>
      <c r="E1168" s="300" t="s">
        <v>928</v>
      </c>
      <c r="F1168" s="300" t="s">
        <v>4449</v>
      </c>
      <c r="G1168" s="300" t="s">
        <v>4450</v>
      </c>
      <c r="H1168" s="300" t="s">
        <v>4361</v>
      </c>
      <c r="I1168" s="300" t="s">
        <v>447</v>
      </c>
    </row>
    <row r="1169" spans="2:9" ht="14.5">
      <c r="B1169" s="300" t="s">
        <v>926</v>
      </c>
      <c r="C1169" s="300" t="s">
        <v>4451</v>
      </c>
      <c r="D1169" s="300" t="s">
        <v>4452</v>
      </c>
      <c r="E1169" s="300" t="s">
        <v>928</v>
      </c>
      <c r="F1169" s="300" t="s">
        <v>4437</v>
      </c>
      <c r="G1169" s="300" t="s">
        <v>4438</v>
      </c>
      <c r="H1169" s="300" t="s">
        <v>4361</v>
      </c>
      <c r="I1169" s="300" t="s">
        <v>447</v>
      </c>
    </row>
    <row r="1170" spans="2:9" ht="14.5">
      <c r="B1170" s="300" t="s">
        <v>926</v>
      </c>
      <c r="C1170" s="300" t="s">
        <v>4453</v>
      </c>
      <c r="D1170" s="300" t="s">
        <v>4454</v>
      </c>
      <c r="E1170" s="300" t="s">
        <v>928</v>
      </c>
      <c r="F1170" s="300" t="s">
        <v>4455</v>
      </c>
      <c r="G1170" s="300" t="s">
        <v>4456</v>
      </c>
      <c r="H1170" s="300" t="s">
        <v>4361</v>
      </c>
      <c r="I1170" s="300" t="s">
        <v>447</v>
      </c>
    </row>
    <row r="1171" spans="2:9" ht="14.5">
      <c r="B1171" s="300" t="s">
        <v>926</v>
      </c>
      <c r="C1171" s="300" t="s">
        <v>4457</v>
      </c>
      <c r="D1171" s="300" t="s">
        <v>4458</v>
      </c>
      <c r="E1171" s="300" t="s">
        <v>928</v>
      </c>
      <c r="F1171" s="300" t="s">
        <v>4459</v>
      </c>
      <c r="G1171" s="300" t="s">
        <v>4460</v>
      </c>
      <c r="H1171" s="300" t="s">
        <v>1040</v>
      </c>
      <c r="I1171" s="300" t="s">
        <v>446</v>
      </c>
    </row>
    <row r="1172" spans="2:9" ht="14.5">
      <c r="B1172" s="300" t="s">
        <v>926</v>
      </c>
      <c r="C1172" s="300" t="s">
        <v>4461</v>
      </c>
      <c r="D1172" s="300" t="s">
        <v>4462</v>
      </c>
      <c r="E1172" s="300" t="s">
        <v>928</v>
      </c>
      <c r="F1172" s="300" t="s">
        <v>4459</v>
      </c>
      <c r="G1172" s="300" t="s">
        <v>4460</v>
      </c>
      <c r="H1172" s="300" t="s">
        <v>1040</v>
      </c>
      <c r="I1172" s="300" t="s">
        <v>446</v>
      </c>
    </row>
    <row r="1173" spans="2:9" ht="14.5">
      <c r="B1173" s="300" t="s">
        <v>926</v>
      </c>
      <c r="C1173" s="300" t="s">
        <v>4463</v>
      </c>
      <c r="D1173" s="300" t="s">
        <v>4464</v>
      </c>
      <c r="E1173" s="300" t="s">
        <v>928</v>
      </c>
      <c r="F1173" s="300" t="s">
        <v>4465</v>
      </c>
      <c r="G1173" s="300" t="s">
        <v>4466</v>
      </c>
      <c r="H1173" s="300" t="s">
        <v>1040</v>
      </c>
      <c r="I1173" s="300" t="s">
        <v>446</v>
      </c>
    </row>
    <row r="1174" spans="2:9" ht="14.5">
      <c r="B1174" s="300" t="s">
        <v>926</v>
      </c>
      <c r="C1174" s="300" t="s">
        <v>4467</v>
      </c>
      <c r="D1174" s="300" t="s">
        <v>4468</v>
      </c>
      <c r="E1174" s="300" t="s">
        <v>928</v>
      </c>
      <c r="F1174" s="300" t="s">
        <v>1063</v>
      </c>
      <c r="G1174" s="300" t="s">
        <v>1064</v>
      </c>
      <c r="H1174" s="300" t="s">
        <v>1040</v>
      </c>
      <c r="I1174" s="300" t="s">
        <v>446</v>
      </c>
    </row>
    <row r="1175" spans="2:9" ht="14.5">
      <c r="B1175" s="300" t="s">
        <v>926</v>
      </c>
      <c r="C1175" s="300" t="s">
        <v>4469</v>
      </c>
      <c r="D1175" s="300" t="s">
        <v>4470</v>
      </c>
      <c r="E1175" s="300" t="s">
        <v>928</v>
      </c>
      <c r="F1175" s="300" t="s">
        <v>4459</v>
      </c>
      <c r="G1175" s="300" t="s">
        <v>4460</v>
      </c>
      <c r="H1175" s="300" t="s">
        <v>1040</v>
      </c>
      <c r="I1175" s="300" t="s">
        <v>446</v>
      </c>
    </row>
    <row r="1176" spans="2:9" ht="14.5">
      <c r="B1176" s="300" t="s">
        <v>926</v>
      </c>
      <c r="C1176" s="300" t="s">
        <v>4471</v>
      </c>
      <c r="D1176" s="300" t="s">
        <v>4472</v>
      </c>
      <c r="E1176" s="300" t="s">
        <v>928</v>
      </c>
      <c r="F1176" s="300" t="s">
        <v>4459</v>
      </c>
      <c r="G1176" s="300" t="s">
        <v>4460</v>
      </c>
      <c r="H1176" s="300" t="s">
        <v>1040</v>
      </c>
      <c r="I1176" s="300" t="s">
        <v>446</v>
      </c>
    </row>
    <row r="1177" spans="2:9" ht="14.5">
      <c r="B1177" s="300" t="s">
        <v>926</v>
      </c>
      <c r="C1177" s="300" t="s">
        <v>4473</v>
      </c>
      <c r="D1177" s="300" t="s">
        <v>4331</v>
      </c>
      <c r="E1177" s="300" t="s">
        <v>928</v>
      </c>
      <c r="F1177" s="378" t="s">
        <v>5230</v>
      </c>
      <c r="G1177" s="300" t="s">
        <v>4474</v>
      </c>
      <c r="H1177" s="300" t="s">
        <v>4475</v>
      </c>
      <c r="I1177" s="300" t="s">
        <v>446</v>
      </c>
    </row>
    <row r="1178" spans="2:9" ht="14.5">
      <c r="B1178" s="300" t="s">
        <v>926</v>
      </c>
      <c r="C1178" s="300" t="s">
        <v>4476</v>
      </c>
      <c r="D1178" s="300" t="s">
        <v>4477</v>
      </c>
      <c r="E1178" s="300" t="s">
        <v>928</v>
      </c>
      <c r="F1178" s="378" t="s">
        <v>3819</v>
      </c>
      <c r="G1178" s="300" t="s">
        <v>4478</v>
      </c>
      <c r="H1178" s="300" t="s">
        <v>4475</v>
      </c>
      <c r="I1178" s="300" t="s">
        <v>446</v>
      </c>
    </row>
    <row r="1179" spans="2:9" ht="14.5">
      <c r="B1179" s="300" t="s">
        <v>926</v>
      </c>
      <c r="C1179" s="300" t="s">
        <v>4479</v>
      </c>
      <c r="D1179" s="300" t="s">
        <v>4480</v>
      </c>
      <c r="E1179" s="300" t="s">
        <v>928</v>
      </c>
      <c r="F1179" s="300" t="s">
        <v>4481</v>
      </c>
      <c r="G1179" s="300" t="s">
        <v>4482</v>
      </c>
      <c r="H1179" s="300" t="s">
        <v>4475</v>
      </c>
      <c r="I1179" s="300" t="s">
        <v>446</v>
      </c>
    </row>
    <row r="1180" spans="2:9" ht="14.5">
      <c r="B1180" s="300" t="s">
        <v>926</v>
      </c>
      <c r="C1180" s="300" t="s">
        <v>4483</v>
      </c>
      <c r="D1180" s="300" t="s">
        <v>4484</v>
      </c>
      <c r="E1180" s="300" t="s">
        <v>928</v>
      </c>
      <c r="F1180" s="300" t="s">
        <v>4485</v>
      </c>
      <c r="G1180" s="300" t="s">
        <v>4484</v>
      </c>
      <c r="H1180" s="300" t="s">
        <v>4475</v>
      </c>
      <c r="I1180" s="300" t="s">
        <v>446</v>
      </c>
    </row>
    <row r="1181" spans="2:9" ht="14.5">
      <c r="B1181" s="300" t="s">
        <v>926</v>
      </c>
      <c r="C1181" s="300" t="s">
        <v>4486</v>
      </c>
      <c r="D1181" s="300" t="s">
        <v>4487</v>
      </c>
      <c r="E1181" s="300" t="s">
        <v>928</v>
      </c>
      <c r="F1181" s="300" t="s">
        <v>4488</v>
      </c>
      <c r="G1181" s="300" t="s">
        <v>4489</v>
      </c>
      <c r="H1181" s="300" t="s">
        <v>4296</v>
      </c>
      <c r="I1181" s="300" t="s">
        <v>446</v>
      </c>
    </row>
    <row r="1182" spans="2:9" ht="14.5">
      <c r="B1182" s="300" t="s">
        <v>926</v>
      </c>
      <c r="C1182" s="300" t="s">
        <v>4490</v>
      </c>
      <c r="D1182" s="300" t="s">
        <v>4491</v>
      </c>
      <c r="E1182" s="300" t="s">
        <v>928</v>
      </c>
      <c r="F1182" s="300" t="s">
        <v>4492</v>
      </c>
      <c r="G1182" s="300" t="s">
        <v>4493</v>
      </c>
      <c r="H1182" s="300" t="s">
        <v>4475</v>
      </c>
      <c r="I1182" s="300" t="s">
        <v>446</v>
      </c>
    </row>
    <row r="1183" spans="2:9" ht="14.5">
      <c r="B1183" s="300" t="s">
        <v>926</v>
      </c>
      <c r="C1183" s="300" t="s">
        <v>4494</v>
      </c>
      <c r="D1183" s="300" t="s">
        <v>4495</v>
      </c>
      <c r="E1183" s="300" t="s">
        <v>928</v>
      </c>
      <c r="F1183" s="300" t="s">
        <v>4492</v>
      </c>
      <c r="G1183" s="300" t="s">
        <v>4493</v>
      </c>
      <c r="H1183" s="300" t="s">
        <v>4475</v>
      </c>
      <c r="I1183" s="300" t="s">
        <v>446</v>
      </c>
    </row>
    <row r="1184" spans="2:9" ht="14.5">
      <c r="B1184" s="300" t="s">
        <v>926</v>
      </c>
      <c r="C1184" s="300" t="s">
        <v>4496</v>
      </c>
      <c r="D1184" s="300" t="s">
        <v>4497</v>
      </c>
      <c r="E1184" s="300" t="s">
        <v>928</v>
      </c>
      <c r="F1184" s="378" t="s">
        <v>5231</v>
      </c>
      <c r="G1184" s="300" t="s">
        <v>4498</v>
      </c>
      <c r="H1184" s="300" t="s">
        <v>4296</v>
      </c>
      <c r="I1184" s="300" t="s">
        <v>446</v>
      </c>
    </row>
    <row r="1185" spans="2:9" ht="14.5">
      <c r="B1185" s="300" t="s">
        <v>926</v>
      </c>
      <c r="C1185" s="300" t="s">
        <v>4499</v>
      </c>
      <c r="D1185" s="300" t="s">
        <v>4500</v>
      </c>
      <c r="E1185" s="300" t="s">
        <v>928</v>
      </c>
      <c r="F1185" s="300" t="s">
        <v>4501</v>
      </c>
      <c r="G1185" s="300" t="s">
        <v>4502</v>
      </c>
      <c r="H1185" s="300" t="s">
        <v>4296</v>
      </c>
      <c r="I1185" s="300" t="s">
        <v>446</v>
      </c>
    </row>
    <row r="1186" spans="2:9" ht="14.5">
      <c r="B1186" s="300" t="s">
        <v>926</v>
      </c>
      <c r="C1186" s="300" t="s">
        <v>4503</v>
      </c>
      <c r="D1186" s="300" t="s">
        <v>4504</v>
      </c>
      <c r="E1186" s="300" t="s">
        <v>928</v>
      </c>
      <c r="F1186" s="378" t="s">
        <v>5231</v>
      </c>
      <c r="G1186" s="300" t="s">
        <v>4498</v>
      </c>
      <c r="H1186" s="300" t="s">
        <v>4296</v>
      </c>
      <c r="I1186" s="300" t="s">
        <v>446</v>
      </c>
    </row>
    <row r="1187" spans="2:9" ht="14.5">
      <c r="B1187" s="300" t="s">
        <v>926</v>
      </c>
      <c r="C1187" s="300" t="s">
        <v>4505</v>
      </c>
      <c r="D1187" s="300" t="s">
        <v>4506</v>
      </c>
      <c r="E1187" s="300" t="s">
        <v>928</v>
      </c>
      <c r="F1187" s="300" t="s">
        <v>4507</v>
      </c>
      <c r="G1187" s="300" t="s">
        <v>4508</v>
      </c>
      <c r="H1187" s="300" t="s">
        <v>4296</v>
      </c>
      <c r="I1187" s="300" t="s">
        <v>446</v>
      </c>
    </row>
    <row r="1188" spans="2:9" ht="14.5">
      <c r="B1188" s="300" t="s">
        <v>926</v>
      </c>
      <c r="C1188" s="300" t="s">
        <v>4509</v>
      </c>
      <c r="D1188" s="300" t="s">
        <v>4510</v>
      </c>
      <c r="E1188" s="300" t="s">
        <v>928</v>
      </c>
      <c r="F1188" s="300" t="s">
        <v>4511</v>
      </c>
      <c r="G1188" s="300" t="s">
        <v>4512</v>
      </c>
      <c r="H1188" s="300" t="s">
        <v>4296</v>
      </c>
      <c r="I1188" s="300" t="s">
        <v>446</v>
      </c>
    </row>
    <row r="1189" spans="2:9" ht="14.5">
      <c r="B1189" s="300" t="s">
        <v>926</v>
      </c>
      <c r="C1189" s="300" t="s">
        <v>4513</v>
      </c>
      <c r="D1189" s="300" t="s">
        <v>4514</v>
      </c>
      <c r="E1189" s="300" t="s">
        <v>928</v>
      </c>
      <c r="F1189" s="378" t="s">
        <v>5232</v>
      </c>
      <c r="G1189" s="300" t="s">
        <v>4515</v>
      </c>
      <c r="H1189" s="300" t="s">
        <v>4516</v>
      </c>
      <c r="I1189" s="300" t="s">
        <v>446</v>
      </c>
    </row>
    <row r="1190" spans="2:9" ht="14.5">
      <c r="B1190" s="300" t="s">
        <v>926</v>
      </c>
      <c r="C1190" s="300" t="s">
        <v>4517</v>
      </c>
      <c r="D1190" s="300" t="s">
        <v>4518</v>
      </c>
      <c r="E1190" s="300" t="s">
        <v>928</v>
      </c>
      <c r="F1190" s="300" t="s">
        <v>4519</v>
      </c>
      <c r="G1190" s="300" t="s">
        <v>4520</v>
      </c>
      <c r="H1190" s="300" t="s">
        <v>4516</v>
      </c>
      <c r="I1190" s="300" t="s">
        <v>446</v>
      </c>
    </row>
    <row r="1191" spans="2:9" ht="14.5">
      <c r="B1191" s="300" t="s">
        <v>926</v>
      </c>
      <c r="C1191" s="300" t="s">
        <v>4521</v>
      </c>
      <c r="D1191" s="300" t="s">
        <v>4522</v>
      </c>
      <c r="E1191" s="300" t="s">
        <v>928</v>
      </c>
      <c r="F1191" s="300" t="s">
        <v>4519</v>
      </c>
      <c r="G1191" s="300" t="s">
        <v>4520</v>
      </c>
      <c r="H1191" s="300" t="s">
        <v>4516</v>
      </c>
      <c r="I1191" s="300" t="s">
        <v>446</v>
      </c>
    </row>
    <row r="1192" spans="2:9" ht="14.5">
      <c r="B1192" s="300" t="s">
        <v>926</v>
      </c>
      <c r="C1192" s="300" t="s">
        <v>4523</v>
      </c>
      <c r="D1192" s="300" t="s">
        <v>4524</v>
      </c>
      <c r="E1192" s="300" t="s">
        <v>928</v>
      </c>
      <c r="F1192" s="300" t="s">
        <v>4525</v>
      </c>
      <c r="G1192" s="300" t="s">
        <v>4526</v>
      </c>
      <c r="H1192" s="300" t="s">
        <v>4516</v>
      </c>
      <c r="I1192" s="300" t="s">
        <v>446</v>
      </c>
    </row>
    <row r="1193" spans="2:9" ht="14.5">
      <c r="B1193" s="300" t="s">
        <v>926</v>
      </c>
      <c r="C1193" s="300" t="s">
        <v>4527</v>
      </c>
      <c r="D1193" s="300" t="s">
        <v>4528</v>
      </c>
      <c r="E1193" s="300" t="s">
        <v>928</v>
      </c>
      <c r="F1193" s="300" t="s">
        <v>4529</v>
      </c>
      <c r="G1193" s="300" t="s">
        <v>4528</v>
      </c>
      <c r="H1193" s="300" t="s">
        <v>4516</v>
      </c>
      <c r="I1193" s="300" t="s">
        <v>446</v>
      </c>
    </row>
    <row r="1194" spans="2:9" ht="14.5">
      <c r="B1194" s="300" t="s">
        <v>926</v>
      </c>
      <c r="C1194" s="300" t="s">
        <v>4530</v>
      </c>
      <c r="D1194" s="300" t="s">
        <v>4531</v>
      </c>
      <c r="E1194" s="300" t="s">
        <v>928</v>
      </c>
      <c r="F1194" s="300" t="s">
        <v>992</v>
      </c>
      <c r="G1194" s="300" t="s">
        <v>993</v>
      </c>
      <c r="H1194" s="300" t="s">
        <v>930</v>
      </c>
      <c r="I1194" s="300" t="s">
        <v>449</v>
      </c>
    </row>
    <row r="1195" spans="2:9" ht="14.5">
      <c r="B1195" s="300" t="s">
        <v>926</v>
      </c>
      <c r="C1195" s="300" t="s">
        <v>4532</v>
      </c>
      <c r="D1195" s="300" t="s">
        <v>4533</v>
      </c>
      <c r="E1195" s="300" t="s">
        <v>928</v>
      </c>
      <c r="F1195" s="300" t="s">
        <v>4534</v>
      </c>
      <c r="G1195" s="300" t="s">
        <v>4535</v>
      </c>
      <c r="H1195" s="300" t="s">
        <v>4516</v>
      </c>
      <c r="I1195" s="300" t="s">
        <v>446</v>
      </c>
    </row>
    <row r="1196" spans="2:9" ht="14.5">
      <c r="B1196" s="300" t="s">
        <v>926</v>
      </c>
      <c r="C1196" s="300" t="s">
        <v>4536</v>
      </c>
      <c r="D1196" s="300" t="s">
        <v>4537</v>
      </c>
      <c r="E1196" s="300" t="s">
        <v>928</v>
      </c>
      <c r="F1196" s="300" t="s">
        <v>4534</v>
      </c>
      <c r="G1196" s="300" t="s">
        <v>4535</v>
      </c>
      <c r="H1196" s="300" t="s">
        <v>4516</v>
      </c>
      <c r="I1196" s="300" t="s">
        <v>446</v>
      </c>
    </row>
    <row r="1197" spans="2:9" ht="14.5">
      <c r="B1197" s="300" t="s">
        <v>926</v>
      </c>
      <c r="C1197" s="300" t="s">
        <v>4538</v>
      </c>
      <c r="D1197" s="300" t="s">
        <v>4539</v>
      </c>
      <c r="E1197" s="300" t="s">
        <v>928</v>
      </c>
      <c r="F1197" s="378" t="s">
        <v>5233</v>
      </c>
      <c r="G1197" s="300" t="s">
        <v>4540</v>
      </c>
      <c r="H1197" s="300" t="s">
        <v>4296</v>
      </c>
      <c r="I1197" s="300" t="s">
        <v>446</v>
      </c>
    </row>
    <row r="1198" spans="2:9" ht="14.5">
      <c r="B1198" s="300" t="s">
        <v>926</v>
      </c>
      <c r="C1198" s="300" t="s">
        <v>4541</v>
      </c>
      <c r="D1198" s="300" t="s">
        <v>4542</v>
      </c>
      <c r="E1198" s="300" t="s">
        <v>928</v>
      </c>
      <c r="F1198" s="378" t="s">
        <v>5234</v>
      </c>
      <c r="G1198" s="300" t="s">
        <v>4543</v>
      </c>
      <c r="H1198" s="300" t="s">
        <v>1818</v>
      </c>
      <c r="I1198" s="300" t="s">
        <v>446</v>
      </c>
    </row>
    <row r="1199" spans="2:9" ht="14.5">
      <c r="B1199" s="300" t="s">
        <v>926</v>
      </c>
      <c r="C1199" s="300" t="s">
        <v>4544</v>
      </c>
      <c r="D1199" s="300" t="s">
        <v>4545</v>
      </c>
      <c r="E1199" s="300" t="s">
        <v>928</v>
      </c>
      <c r="F1199" s="300" t="s">
        <v>4546</v>
      </c>
      <c r="G1199" s="300" t="s">
        <v>4547</v>
      </c>
      <c r="H1199" s="300" t="s">
        <v>1818</v>
      </c>
      <c r="I1199" s="300" t="s">
        <v>446</v>
      </c>
    </row>
    <row r="1200" spans="2:9" ht="14.5">
      <c r="B1200" s="300" t="s">
        <v>926</v>
      </c>
      <c r="C1200" s="300" t="s">
        <v>4548</v>
      </c>
      <c r="D1200" s="300" t="s">
        <v>4549</v>
      </c>
      <c r="E1200" s="300" t="s">
        <v>928</v>
      </c>
      <c r="F1200" s="300" t="s">
        <v>4550</v>
      </c>
      <c r="G1200" s="300" t="s">
        <v>4551</v>
      </c>
      <c r="H1200" s="300" t="s">
        <v>1818</v>
      </c>
      <c r="I1200" s="300" t="s">
        <v>446</v>
      </c>
    </row>
    <row r="1201" spans="2:9" ht="14.5">
      <c r="B1201" s="300" t="s">
        <v>926</v>
      </c>
      <c r="C1201" s="300" t="s">
        <v>4552</v>
      </c>
      <c r="D1201" s="300" t="s">
        <v>4553</v>
      </c>
      <c r="E1201" s="300" t="s">
        <v>928</v>
      </c>
      <c r="F1201" s="300" t="s">
        <v>4554</v>
      </c>
      <c r="G1201" s="300" t="s">
        <v>4555</v>
      </c>
      <c r="H1201" s="300" t="s">
        <v>1818</v>
      </c>
      <c r="I1201" s="300" t="s">
        <v>446</v>
      </c>
    </row>
    <row r="1202" spans="2:9" ht="14.5">
      <c r="B1202" s="300" t="s">
        <v>926</v>
      </c>
      <c r="C1202" s="300" t="s">
        <v>4556</v>
      </c>
      <c r="D1202" s="300" t="s">
        <v>4557</v>
      </c>
      <c r="E1202" s="300" t="s">
        <v>928</v>
      </c>
      <c r="F1202" s="300" t="s">
        <v>4558</v>
      </c>
      <c r="G1202" s="300" t="s">
        <v>4559</v>
      </c>
      <c r="H1202" s="300" t="s">
        <v>1818</v>
      </c>
      <c r="I1202" s="300" t="s">
        <v>446</v>
      </c>
    </row>
    <row r="1203" spans="2:9" ht="14.5">
      <c r="B1203" s="300" t="s">
        <v>926</v>
      </c>
      <c r="C1203" s="300" t="s">
        <v>4560</v>
      </c>
      <c r="D1203" s="300" t="s">
        <v>4547</v>
      </c>
      <c r="E1203" s="300" t="s">
        <v>928</v>
      </c>
      <c r="F1203" s="300" t="s">
        <v>4546</v>
      </c>
      <c r="G1203" s="300" t="s">
        <v>4547</v>
      </c>
      <c r="H1203" s="300" t="s">
        <v>1818</v>
      </c>
      <c r="I1203" s="300" t="s">
        <v>446</v>
      </c>
    </row>
    <row r="1204" spans="2:9" ht="14.5">
      <c r="B1204" s="300" t="s">
        <v>926</v>
      </c>
      <c r="C1204" s="300" t="s">
        <v>4561</v>
      </c>
      <c r="D1204" s="300" t="s">
        <v>4562</v>
      </c>
      <c r="E1204" s="300" t="s">
        <v>928</v>
      </c>
      <c r="F1204" s="300" t="s">
        <v>4554</v>
      </c>
      <c r="G1204" s="300" t="s">
        <v>4555</v>
      </c>
      <c r="H1204" s="300" t="s">
        <v>1818</v>
      </c>
      <c r="I1204" s="300" t="s">
        <v>446</v>
      </c>
    </row>
    <row r="1205" spans="2:9" ht="14.5">
      <c r="B1205" s="300" t="s">
        <v>926</v>
      </c>
      <c r="C1205" s="300" t="s">
        <v>4563</v>
      </c>
      <c r="D1205" s="300" t="s">
        <v>4564</v>
      </c>
      <c r="E1205" s="300" t="s">
        <v>928</v>
      </c>
      <c r="F1205" s="378" t="s">
        <v>5234</v>
      </c>
      <c r="G1205" s="300" t="s">
        <v>4543</v>
      </c>
      <c r="H1205" s="300" t="s">
        <v>1818</v>
      </c>
      <c r="I1205" s="300" t="s">
        <v>446</v>
      </c>
    </row>
    <row r="1206" spans="2:9" ht="14.5">
      <c r="B1206" s="300" t="s">
        <v>926</v>
      </c>
      <c r="C1206" s="300" t="s">
        <v>4565</v>
      </c>
      <c r="D1206" s="300" t="s">
        <v>4566</v>
      </c>
      <c r="E1206" s="300" t="s">
        <v>928</v>
      </c>
      <c r="F1206" s="300" t="s">
        <v>4567</v>
      </c>
      <c r="G1206" s="300" t="s">
        <v>4568</v>
      </c>
      <c r="H1206" s="300" t="s">
        <v>1818</v>
      </c>
      <c r="I1206" s="300" t="s">
        <v>446</v>
      </c>
    </row>
    <row r="1207" spans="2:9" ht="14.5">
      <c r="B1207" s="300" t="s">
        <v>926</v>
      </c>
      <c r="C1207" s="300" t="s">
        <v>4569</v>
      </c>
      <c r="D1207" s="300" t="s">
        <v>4570</v>
      </c>
      <c r="E1207" s="300" t="s">
        <v>928</v>
      </c>
      <c r="F1207" s="300" t="s">
        <v>4567</v>
      </c>
      <c r="G1207" s="300" t="s">
        <v>4568</v>
      </c>
      <c r="H1207" s="300" t="s">
        <v>1818</v>
      </c>
      <c r="I1207" s="300" t="s">
        <v>446</v>
      </c>
    </row>
    <row r="1208" spans="2:9" ht="14.5">
      <c r="B1208" s="300" t="s">
        <v>926</v>
      </c>
      <c r="C1208" s="300" t="s">
        <v>4571</v>
      </c>
      <c r="D1208" s="300" t="s">
        <v>4572</v>
      </c>
      <c r="E1208" s="300" t="s">
        <v>928</v>
      </c>
      <c r="F1208" s="300" t="s">
        <v>4567</v>
      </c>
      <c r="G1208" s="300" t="s">
        <v>4568</v>
      </c>
      <c r="H1208" s="300" t="s">
        <v>1818</v>
      </c>
      <c r="I1208" s="300" t="s">
        <v>446</v>
      </c>
    </row>
    <row r="1209" spans="2:9" ht="14.5">
      <c r="B1209" s="300" t="s">
        <v>926</v>
      </c>
      <c r="C1209" s="300" t="s">
        <v>4573</v>
      </c>
      <c r="D1209" s="300" t="s">
        <v>4574</v>
      </c>
      <c r="E1209" s="300" t="s">
        <v>928</v>
      </c>
      <c r="F1209" s="378" t="s">
        <v>3788</v>
      </c>
      <c r="G1209" s="300" t="s">
        <v>4575</v>
      </c>
      <c r="H1209" s="300" t="s">
        <v>4296</v>
      </c>
      <c r="I1209" s="300" t="s">
        <v>446</v>
      </c>
    </row>
    <row r="1210" spans="2:9" ht="14.5">
      <c r="B1210" s="300" t="s">
        <v>926</v>
      </c>
      <c r="C1210" s="300" t="s">
        <v>4576</v>
      </c>
      <c r="D1210" s="300" t="s">
        <v>4577</v>
      </c>
      <c r="E1210" s="300" t="s">
        <v>928</v>
      </c>
      <c r="F1210" s="300" t="s">
        <v>4578</v>
      </c>
      <c r="G1210" s="300" t="s">
        <v>4579</v>
      </c>
      <c r="H1210" s="300" t="s">
        <v>4296</v>
      </c>
      <c r="I1210" s="300" t="s">
        <v>446</v>
      </c>
    </row>
    <row r="1211" spans="2:9" ht="14.5">
      <c r="B1211" s="300" t="s">
        <v>926</v>
      </c>
      <c r="C1211" s="300" t="s">
        <v>4580</v>
      </c>
      <c r="D1211" s="300" t="s">
        <v>4581</v>
      </c>
      <c r="E1211" s="300" t="s">
        <v>928</v>
      </c>
      <c r="F1211" s="300" t="s">
        <v>4578</v>
      </c>
      <c r="G1211" s="300" t="s">
        <v>4579</v>
      </c>
      <c r="H1211" s="300" t="s">
        <v>4296</v>
      </c>
      <c r="I1211" s="300" t="s">
        <v>446</v>
      </c>
    </row>
    <row r="1212" spans="2:9" ht="14.5">
      <c r="B1212" s="300" t="s">
        <v>926</v>
      </c>
      <c r="C1212" s="300" t="s">
        <v>4582</v>
      </c>
      <c r="D1212" s="300" t="s">
        <v>4583</v>
      </c>
      <c r="E1212" s="300" t="s">
        <v>928</v>
      </c>
      <c r="F1212" s="300" t="s">
        <v>4584</v>
      </c>
      <c r="G1212" s="300" t="s">
        <v>4585</v>
      </c>
      <c r="H1212" s="300" t="s">
        <v>4296</v>
      </c>
      <c r="I1212" s="300" t="s">
        <v>446</v>
      </c>
    </row>
    <row r="1213" spans="2:9" ht="14.5">
      <c r="B1213" s="300" t="s">
        <v>926</v>
      </c>
      <c r="C1213" s="300" t="s">
        <v>4586</v>
      </c>
      <c r="D1213" s="300" t="s">
        <v>4587</v>
      </c>
      <c r="E1213" s="300" t="s">
        <v>928</v>
      </c>
      <c r="F1213" s="378" t="s">
        <v>5235</v>
      </c>
      <c r="G1213" s="300" t="s">
        <v>4588</v>
      </c>
      <c r="H1213" s="300" t="s">
        <v>4296</v>
      </c>
      <c r="I1213" s="300" t="s">
        <v>446</v>
      </c>
    </row>
    <row r="1214" spans="2:9" ht="14.5">
      <c r="B1214" s="300" t="s">
        <v>926</v>
      </c>
      <c r="C1214" s="300" t="s">
        <v>4589</v>
      </c>
      <c r="D1214" s="300" t="s">
        <v>4590</v>
      </c>
      <c r="E1214" s="300" t="s">
        <v>928</v>
      </c>
      <c r="F1214" s="378" t="s">
        <v>5235</v>
      </c>
      <c r="G1214" s="300" t="s">
        <v>4591</v>
      </c>
      <c r="H1214" s="300" t="s">
        <v>4296</v>
      </c>
      <c r="I1214" s="300" t="s">
        <v>446</v>
      </c>
    </row>
    <row r="1215" spans="2:9" ht="14.5">
      <c r="B1215" s="300" t="s">
        <v>926</v>
      </c>
      <c r="C1215" s="300" t="s">
        <v>4592</v>
      </c>
      <c r="D1215" s="300" t="s">
        <v>4593</v>
      </c>
      <c r="E1215" s="300" t="s">
        <v>928</v>
      </c>
      <c r="F1215" s="378" t="s">
        <v>5250</v>
      </c>
      <c r="G1215" s="300" t="s">
        <v>4594</v>
      </c>
      <c r="H1215" s="300" t="s">
        <v>4296</v>
      </c>
      <c r="I1215" s="300" t="s">
        <v>446</v>
      </c>
    </row>
    <row r="1216" spans="2:9" ht="14.5">
      <c r="B1216" s="300" t="s">
        <v>926</v>
      </c>
      <c r="C1216" s="300" t="s">
        <v>4595</v>
      </c>
      <c r="D1216" s="300" t="s">
        <v>4596</v>
      </c>
      <c r="E1216" s="300" t="s">
        <v>928</v>
      </c>
      <c r="F1216" s="300" t="s">
        <v>4597</v>
      </c>
      <c r="G1216" s="300" t="s">
        <v>4596</v>
      </c>
      <c r="H1216" s="300" t="s">
        <v>4296</v>
      </c>
      <c r="I1216" s="300" t="s">
        <v>446</v>
      </c>
    </row>
    <row r="1217" spans="2:9" ht="14.5">
      <c r="B1217" s="300" t="s">
        <v>926</v>
      </c>
      <c r="C1217" s="300" t="s">
        <v>4598</v>
      </c>
      <c r="D1217" s="300" t="s">
        <v>4599</v>
      </c>
      <c r="E1217" s="300" t="s">
        <v>928</v>
      </c>
      <c r="F1217" s="378" t="s">
        <v>5251</v>
      </c>
      <c r="G1217" s="300" t="s">
        <v>4600</v>
      </c>
      <c r="H1217" s="300" t="s">
        <v>4296</v>
      </c>
      <c r="I1217" s="300" t="s">
        <v>446</v>
      </c>
    </row>
    <row r="1218" spans="2:9" ht="14.5">
      <c r="B1218" s="300" t="s">
        <v>926</v>
      </c>
      <c r="C1218" s="300" t="s">
        <v>4601</v>
      </c>
      <c r="D1218" s="300" t="s">
        <v>4602</v>
      </c>
      <c r="E1218" s="300" t="s">
        <v>928</v>
      </c>
      <c r="F1218" s="378" t="s">
        <v>5236</v>
      </c>
      <c r="G1218" s="300" t="s">
        <v>4603</v>
      </c>
      <c r="H1218" s="300" t="s">
        <v>4296</v>
      </c>
      <c r="I1218" s="300" t="s">
        <v>446</v>
      </c>
    </row>
    <row r="1219" spans="2:9" ht="14.5">
      <c r="B1219" s="300" t="s">
        <v>926</v>
      </c>
      <c r="C1219" s="300" t="s">
        <v>4604</v>
      </c>
      <c r="D1219" s="300" t="s">
        <v>4605</v>
      </c>
      <c r="E1219" s="300" t="s">
        <v>928</v>
      </c>
      <c r="F1219" s="300" t="s">
        <v>4606</v>
      </c>
      <c r="G1219" s="300" t="s">
        <v>4607</v>
      </c>
      <c r="H1219" s="300" t="s">
        <v>4296</v>
      </c>
      <c r="I1219" s="300" t="s">
        <v>446</v>
      </c>
    </row>
    <row r="1220" spans="2:9" ht="14.5">
      <c r="B1220" s="300" t="s">
        <v>926</v>
      </c>
      <c r="C1220" s="300" t="s">
        <v>4608</v>
      </c>
      <c r="D1220" s="300" t="s">
        <v>4609</v>
      </c>
      <c r="E1220" s="300" t="s">
        <v>928</v>
      </c>
      <c r="F1220" s="300" t="s">
        <v>4610</v>
      </c>
      <c r="G1220" s="300" t="s">
        <v>4611</v>
      </c>
      <c r="H1220" s="300" t="s">
        <v>4296</v>
      </c>
      <c r="I1220" s="300" t="s">
        <v>446</v>
      </c>
    </row>
    <row r="1221" spans="2:9" ht="14.5">
      <c r="B1221" s="300" t="s">
        <v>926</v>
      </c>
      <c r="C1221" s="300" t="s">
        <v>4612</v>
      </c>
      <c r="D1221" s="300" t="s">
        <v>4613</v>
      </c>
      <c r="E1221" s="300" t="s">
        <v>928</v>
      </c>
      <c r="F1221" s="300" t="s">
        <v>4614</v>
      </c>
      <c r="G1221" s="300" t="s">
        <v>4615</v>
      </c>
      <c r="H1221" s="300" t="s">
        <v>4296</v>
      </c>
      <c r="I1221" s="300" t="s">
        <v>446</v>
      </c>
    </row>
    <row r="1222" spans="2:9" ht="14.5">
      <c r="B1222" s="300" t="s">
        <v>926</v>
      </c>
      <c r="C1222" s="300" t="s">
        <v>4616</v>
      </c>
      <c r="D1222" s="300" t="s">
        <v>4617</v>
      </c>
      <c r="E1222" s="300" t="s">
        <v>928</v>
      </c>
      <c r="F1222" s="300" t="s">
        <v>4618</v>
      </c>
      <c r="G1222" s="300" t="s">
        <v>4619</v>
      </c>
      <c r="H1222" s="300" t="s">
        <v>4296</v>
      </c>
      <c r="I1222" s="300" t="s">
        <v>446</v>
      </c>
    </row>
    <row r="1223" spans="2:9" ht="14.5">
      <c r="B1223" s="300" t="s">
        <v>926</v>
      </c>
      <c r="C1223" s="300" t="s">
        <v>4620</v>
      </c>
      <c r="D1223" s="300" t="s">
        <v>4603</v>
      </c>
      <c r="E1223" s="300" t="s">
        <v>928</v>
      </c>
      <c r="F1223" s="378" t="s">
        <v>5252</v>
      </c>
      <c r="G1223" s="300" t="s">
        <v>4621</v>
      </c>
      <c r="H1223" s="300" t="s">
        <v>4296</v>
      </c>
      <c r="I1223" s="300" t="s">
        <v>446</v>
      </c>
    </row>
    <row r="1224" spans="2:9" ht="14.5">
      <c r="B1224" s="300" t="s">
        <v>926</v>
      </c>
      <c r="C1224" s="300" t="s">
        <v>4622</v>
      </c>
      <c r="D1224" s="300" t="s">
        <v>4623</v>
      </c>
      <c r="E1224" s="300" t="s">
        <v>928</v>
      </c>
      <c r="F1224" s="300" t="s">
        <v>4610</v>
      </c>
      <c r="G1224" s="300" t="s">
        <v>4611</v>
      </c>
      <c r="H1224" s="300" t="s">
        <v>4296</v>
      </c>
      <c r="I1224" s="300" t="s">
        <v>446</v>
      </c>
    </row>
    <row r="1225" spans="2:9" ht="14.5">
      <c r="B1225" s="300" t="s">
        <v>926</v>
      </c>
      <c r="C1225" s="300" t="s">
        <v>4624</v>
      </c>
      <c r="D1225" s="300" t="s">
        <v>4625</v>
      </c>
      <c r="E1225" s="300" t="s">
        <v>928</v>
      </c>
      <c r="F1225" s="378" t="s">
        <v>5253</v>
      </c>
      <c r="G1225" s="300" t="s">
        <v>4626</v>
      </c>
      <c r="H1225" s="300" t="s">
        <v>4296</v>
      </c>
      <c r="I1225" s="300" t="s">
        <v>446</v>
      </c>
    </row>
    <row r="1226" spans="2:9" ht="14.5">
      <c r="B1226" s="300" t="s">
        <v>926</v>
      </c>
      <c r="C1226" s="300" t="s">
        <v>4627</v>
      </c>
      <c r="D1226" s="300" t="s">
        <v>4628</v>
      </c>
      <c r="E1226" s="300" t="s">
        <v>928</v>
      </c>
      <c r="F1226" s="300" t="s">
        <v>4629</v>
      </c>
      <c r="G1226" s="300" t="s">
        <v>4630</v>
      </c>
      <c r="H1226" s="300" t="s">
        <v>4296</v>
      </c>
      <c r="I1226" s="300" t="s">
        <v>446</v>
      </c>
    </row>
    <row r="1227" spans="2:9" ht="14.5">
      <c r="B1227" s="300" t="s">
        <v>926</v>
      </c>
      <c r="C1227" s="300" t="s">
        <v>4631</v>
      </c>
      <c r="D1227" s="300" t="s">
        <v>4632</v>
      </c>
      <c r="E1227" s="300" t="s">
        <v>928</v>
      </c>
      <c r="F1227" s="378" t="s">
        <v>5236</v>
      </c>
      <c r="G1227" s="300" t="s">
        <v>4603</v>
      </c>
      <c r="H1227" s="300" t="s">
        <v>4296</v>
      </c>
      <c r="I1227" s="300" t="s">
        <v>446</v>
      </c>
    </row>
    <row r="1228" spans="2:9" ht="14.5">
      <c r="B1228" s="300" t="s">
        <v>926</v>
      </c>
      <c r="C1228" s="300" t="s">
        <v>4633</v>
      </c>
      <c r="D1228" s="300" t="s">
        <v>4634</v>
      </c>
      <c r="E1228" s="300" t="s">
        <v>928</v>
      </c>
      <c r="F1228" s="300" t="s">
        <v>4635</v>
      </c>
      <c r="G1228" s="300" t="s">
        <v>4636</v>
      </c>
      <c r="H1228" s="300" t="s">
        <v>4296</v>
      </c>
      <c r="I1228" s="300" t="s">
        <v>446</v>
      </c>
    </row>
    <row r="1229" spans="2:9" ht="14.5">
      <c r="B1229" s="300" t="s">
        <v>926</v>
      </c>
      <c r="C1229" s="300" t="s">
        <v>4637</v>
      </c>
      <c r="D1229" s="300" t="s">
        <v>4638</v>
      </c>
      <c r="E1229" s="300" t="s">
        <v>928</v>
      </c>
      <c r="F1229" s="300" t="s">
        <v>4639</v>
      </c>
      <c r="G1229" s="300" t="s">
        <v>4640</v>
      </c>
      <c r="H1229" s="300" t="s">
        <v>4296</v>
      </c>
      <c r="I1229" s="300" t="s">
        <v>446</v>
      </c>
    </row>
    <row r="1230" spans="2:9" ht="14.5">
      <c r="B1230" s="300" t="s">
        <v>926</v>
      </c>
      <c r="C1230" s="300" t="s">
        <v>4641</v>
      </c>
      <c r="D1230" s="300" t="s">
        <v>4642</v>
      </c>
      <c r="E1230" s="300" t="s">
        <v>928</v>
      </c>
      <c r="F1230" s="378" t="s">
        <v>5252</v>
      </c>
      <c r="G1230" s="300" t="s">
        <v>4621</v>
      </c>
      <c r="H1230" s="300" t="s">
        <v>4296</v>
      </c>
      <c r="I1230" s="300" t="s">
        <v>446</v>
      </c>
    </row>
    <row r="1231" spans="2:9" ht="14.5">
      <c r="B1231" s="300" t="s">
        <v>926</v>
      </c>
      <c r="C1231" s="300" t="s">
        <v>4643</v>
      </c>
      <c r="D1231" s="300" t="s">
        <v>4644</v>
      </c>
      <c r="E1231" s="300" t="s">
        <v>928</v>
      </c>
      <c r="F1231" s="300" t="s">
        <v>4645</v>
      </c>
      <c r="G1231" s="300" t="s">
        <v>4646</v>
      </c>
      <c r="H1231" s="300" t="s">
        <v>4296</v>
      </c>
      <c r="I1231" s="300" t="s">
        <v>446</v>
      </c>
    </row>
    <row r="1232" spans="2:9" ht="14.5">
      <c r="B1232" s="300" t="s">
        <v>926</v>
      </c>
      <c r="C1232" s="300" t="s">
        <v>4647</v>
      </c>
      <c r="D1232" s="300" t="s">
        <v>4648</v>
      </c>
      <c r="E1232" s="300" t="s">
        <v>928</v>
      </c>
      <c r="F1232" s="300" t="s">
        <v>4610</v>
      </c>
      <c r="G1232" s="300" t="s">
        <v>4611</v>
      </c>
      <c r="H1232" s="300" t="s">
        <v>4296</v>
      </c>
      <c r="I1232" s="300" t="s">
        <v>446</v>
      </c>
    </row>
    <row r="1233" spans="2:9" ht="14.5">
      <c r="B1233" s="300" t="s">
        <v>926</v>
      </c>
      <c r="C1233" s="300" t="s">
        <v>4649</v>
      </c>
      <c r="D1233" s="300" t="s">
        <v>4650</v>
      </c>
      <c r="E1233" s="300" t="s">
        <v>928</v>
      </c>
      <c r="F1233" s="300" t="s">
        <v>4651</v>
      </c>
      <c r="G1233" s="300" t="s">
        <v>4652</v>
      </c>
      <c r="H1233" s="300" t="s">
        <v>4296</v>
      </c>
      <c r="I1233" s="300" t="s">
        <v>446</v>
      </c>
    </row>
    <row r="1234" spans="2:9" ht="14.5">
      <c r="B1234" s="300" t="s">
        <v>926</v>
      </c>
      <c r="C1234" s="300" t="s">
        <v>4653</v>
      </c>
      <c r="D1234" s="300" t="s">
        <v>4654</v>
      </c>
      <c r="E1234" s="300" t="s">
        <v>928</v>
      </c>
      <c r="F1234" s="300" t="s">
        <v>4610</v>
      </c>
      <c r="G1234" s="300" t="s">
        <v>4611</v>
      </c>
      <c r="H1234" s="300" t="s">
        <v>4296</v>
      </c>
      <c r="I1234" s="300" t="s">
        <v>446</v>
      </c>
    </row>
    <row r="1235" spans="2:9" ht="14.5">
      <c r="B1235" s="300" t="s">
        <v>926</v>
      </c>
      <c r="C1235" s="300" t="s">
        <v>4655</v>
      </c>
      <c r="D1235" s="300" t="s">
        <v>4603</v>
      </c>
      <c r="E1235" s="300" t="s">
        <v>928</v>
      </c>
      <c r="F1235" s="378" t="s">
        <v>5252</v>
      </c>
      <c r="G1235" s="300" t="s">
        <v>4621</v>
      </c>
      <c r="H1235" s="300" t="s">
        <v>4296</v>
      </c>
      <c r="I1235" s="300" t="s">
        <v>446</v>
      </c>
    </row>
    <row r="1236" spans="2:9" ht="14.5">
      <c r="B1236" s="300" t="s">
        <v>926</v>
      </c>
      <c r="C1236" s="300" t="s">
        <v>4656</v>
      </c>
      <c r="D1236" s="300" t="s">
        <v>4657</v>
      </c>
      <c r="E1236" s="300" t="s">
        <v>928</v>
      </c>
      <c r="F1236" s="378" t="s">
        <v>5237</v>
      </c>
      <c r="G1236" s="300" t="s">
        <v>4658</v>
      </c>
      <c r="H1236" s="300" t="s">
        <v>1040</v>
      </c>
      <c r="I1236" s="300" t="s">
        <v>446</v>
      </c>
    </row>
    <row r="1237" spans="2:9" ht="14.5">
      <c r="B1237" s="300" t="s">
        <v>926</v>
      </c>
      <c r="C1237" s="300" t="s">
        <v>4659</v>
      </c>
      <c r="D1237" s="300" t="s">
        <v>4660</v>
      </c>
      <c r="E1237" s="300" t="s">
        <v>928</v>
      </c>
      <c r="F1237" s="378" t="s">
        <v>4087</v>
      </c>
      <c r="G1237" s="300" t="s">
        <v>4661</v>
      </c>
      <c r="H1237" s="300" t="s">
        <v>1040</v>
      </c>
      <c r="I1237" s="300" t="s">
        <v>446</v>
      </c>
    </row>
    <row r="1238" spans="2:9" ht="14.5">
      <c r="B1238" s="300" t="s">
        <v>926</v>
      </c>
      <c r="C1238" s="300" t="s">
        <v>4662</v>
      </c>
      <c r="D1238" s="300" t="s">
        <v>4663</v>
      </c>
      <c r="E1238" s="300" t="s">
        <v>928</v>
      </c>
      <c r="F1238" s="300" t="s">
        <v>4664</v>
      </c>
      <c r="G1238" s="300" t="s">
        <v>4663</v>
      </c>
      <c r="H1238" s="300" t="s">
        <v>1040</v>
      </c>
      <c r="I1238" s="300" t="s">
        <v>446</v>
      </c>
    </row>
    <row r="1239" spans="2:9" ht="14.5">
      <c r="B1239" s="300" t="s">
        <v>926</v>
      </c>
      <c r="C1239" s="300" t="s">
        <v>4665</v>
      </c>
      <c r="D1239" s="300" t="s">
        <v>4666</v>
      </c>
      <c r="E1239" s="300" t="s">
        <v>928</v>
      </c>
      <c r="F1239" s="300" t="s">
        <v>4667</v>
      </c>
      <c r="G1239" s="300" t="s">
        <v>4668</v>
      </c>
      <c r="H1239" s="300" t="s">
        <v>1040</v>
      </c>
      <c r="I1239" s="300" t="s">
        <v>446</v>
      </c>
    </row>
    <row r="1240" spans="2:9" ht="14.5">
      <c r="B1240" s="300" t="s">
        <v>926</v>
      </c>
      <c r="C1240" s="300" t="s">
        <v>4669</v>
      </c>
      <c r="D1240" s="300" t="s">
        <v>4670</v>
      </c>
      <c r="E1240" s="300" t="s">
        <v>928</v>
      </c>
      <c r="F1240" s="300" t="s">
        <v>4671</v>
      </c>
      <c r="G1240" s="300" t="s">
        <v>4672</v>
      </c>
      <c r="H1240" s="300" t="s">
        <v>1040</v>
      </c>
      <c r="I1240" s="300" t="s">
        <v>446</v>
      </c>
    </row>
    <row r="1241" spans="2:9" ht="14.5">
      <c r="B1241" s="300" t="s">
        <v>926</v>
      </c>
      <c r="C1241" s="300" t="s">
        <v>4673</v>
      </c>
      <c r="D1241" s="300" t="s">
        <v>4674</v>
      </c>
      <c r="E1241" s="300" t="s">
        <v>928</v>
      </c>
      <c r="F1241" s="300" t="s">
        <v>4675</v>
      </c>
      <c r="G1241" s="300" t="s">
        <v>4676</v>
      </c>
      <c r="H1241" s="300" t="s">
        <v>1040</v>
      </c>
      <c r="I1241" s="300" t="s">
        <v>446</v>
      </c>
    </row>
    <row r="1242" spans="2:9" ht="14.5">
      <c r="B1242" s="300" t="s">
        <v>926</v>
      </c>
      <c r="C1242" s="300" t="s">
        <v>4677</v>
      </c>
      <c r="D1242" s="300" t="s">
        <v>4678</v>
      </c>
      <c r="E1242" s="300" t="s">
        <v>928</v>
      </c>
      <c r="F1242" s="300" t="s">
        <v>4675</v>
      </c>
      <c r="G1242" s="300" t="s">
        <v>4676</v>
      </c>
      <c r="H1242" s="300" t="s">
        <v>1040</v>
      </c>
      <c r="I1242" s="300" t="s">
        <v>446</v>
      </c>
    </row>
    <row r="1243" spans="2:9" ht="14.5">
      <c r="B1243" s="300" t="s">
        <v>926</v>
      </c>
      <c r="C1243" s="300" t="s">
        <v>4679</v>
      </c>
      <c r="D1243" s="300" t="s">
        <v>4680</v>
      </c>
      <c r="E1243" s="300" t="s">
        <v>928</v>
      </c>
      <c r="F1243" s="378" t="s">
        <v>4095</v>
      </c>
      <c r="G1243" s="300" t="s">
        <v>4681</v>
      </c>
      <c r="H1243" s="300" t="s">
        <v>1040</v>
      </c>
      <c r="I1243" s="300" t="s">
        <v>446</v>
      </c>
    </row>
    <row r="1244" spans="2:9" ht="14.5">
      <c r="B1244" s="300" t="s">
        <v>926</v>
      </c>
      <c r="C1244" s="300" t="s">
        <v>4682</v>
      </c>
      <c r="D1244" s="300" t="s">
        <v>4683</v>
      </c>
      <c r="E1244" s="300" t="s">
        <v>928</v>
      </c>
      <c r="F1244" s="300" t="s">
        <v>4684</v>
      </c>
      <c r="G1244" s="300" t="s">
        <v>4685</v>
      </c>
      <c r="H1244" s="300" t="s">
        <v>1040</v>
      </c>
      <c r="I1244" s="300" t="s">
        <v>446</v>
      </c>
    </row>
    <row r="1245" spans="2:9" ht="14.5">
      <c r="B1245" s="300" t="s">
        <v>926</v>
      </c>
      <c r="C1245" s="300" t="s">
        <v>4686</v>
      </c>
      <c r="D1245" s="300" t="s">
        <v>4687</v>
      </c>
      <c r="E1245" s="300" t="s">
        <v>928</v>
      </c>
      <c r="F1245" s="378" t="s">
        <v>4684</v>
      </c>
      <c r="G1245" s="300" t="s">
        <v>4685</v>
      </c>
      <c r="H1245" s="300" t="s">
        <v>1040</v>
      </c>
      <c r="I1245" s="300" t="s">
        <v>446</v>
      </c>
    </row>
    <row r="1246" spans="2:9" ht="14.5">
      <c r="B1246" s="300" t="s">
        <v>926</v>
      </c>
      <c r="C1246" s="300" t="s">
        <v>4688</v>
      </c>
      <c r="D1246" s="300" t="s">
        <v>4689</v>
      </c>
      <c r="E1246" s="300" t="s">
        <v>928</v>
      </c>
      <c r="F1246" s="300" t="s">
        <v>4690</v>
      </c>
      <c r="G1246" s="300" t="s">
        <v>4691</v>
      </c>
      <c r="H1246" s="300" t="s">
        <v>1040</v>
      </c>
      <c r="I1246" s="300" t="s">
        <v>446</v>
      </c>
    </row>
    <row r="1247" spans="2:9" ht="14.5">
      <c r="B1247" s="300" t="s">
        <v>926</v>
      </c>
      <c r="C1247" s="300" t="s">
        <v>4692</v>
      </c>
      <c r="D1247" s="300" t="s">
        <v>4693</v>
      </c>
      <c r="E1247" s="300" t="s">
        <v>928</v>
      </c>
      <c r="F1247" s="300" t="s">
        <v>4684</v>
      </c>
      <c r="G1247" s="300" t="s">
        <v>4685</v>
      </c>
      <c r="H1247" s="300" t="s">
        <v>1040</v>
      </c>
      <c r="I1247" s="300" t="s">
        <v>446</v>
      </c>
    </row>
    <row r="1248" spans="2:9" ht="14.5">
      <c r="B1248" s="300" t="s">
        <v>926</v>
      </c>
      <c r="C1248" s="300" t="s">
        <v>4694</v>
      </c>
      <c r="D1248" s="300" t="s">
        <v>4695</v>
      </c>
      <c r="E1248" s="300" t="s">
        <v>928</v>
      </c>
      <c r="F1248" s="300" t="s">
        <v>4696</v>
      </c>
      <c r="G1248" s="300" t="s">
        <v>4697</v>
      </c>
      <c r="H1248" s="300" t="s">
        <v>1040</v>
      </c>
      <c r="I1248" s="300" t="s">
        <v>446</v>
      </c>
    </row>
    <row r="1249" spans="2:9" ht="14.5">
      <c r="B1249" s="300" t="s">
        <v>926</v>
      </c>
      <c r="C1249" s="300" t="s">
        <v>4698</v>
      </c>
      <c r="D1249" s="300" t="s">
        <v>4699</v>
      </c>
      <c r="E1249" s="300" t="s">
        <v>928</v>
      </c>
      <c r="F1249" s="300" t="s">
        <v>4700</v>
      </c>
      <c r="G1249" s="300" t="s">
        <v>4701</v>
      </c>
      <c r="H1249" s="300" t="s">
        <v>1040</v>
      </c>
      <c r="I1249" s="300" t="s">
        <v>446</v>
      </c>
    </row>
    <row r="1250" spans="2:9" ht="14.5">
      <c r="B1250" s="300" t="s">
        <v>926</v>
      </c>
      <c r="C1250" s="300" t="s">
        <v>4702</v>
      </c>
      <c r="D1250" s="300" t="s">
        <v>4703</v>
      </c>
      <c r="E1250" s="300" t="s">
        <v>928</v>
      </c>
      <c r="F1250" s="300" t="s">
        <v>4684</v>
      </c>
      <c r="G1250" s="300" t="s">
        <v>4685</v>
      </c>
      <c r="H1250" s="300" t="s">
        <v>1040</v>
      </c>
      <c r="I1250" s="300" t="s">
        <v>446</v>
      </c>
    </row>
    <row r="1251" spans="2:9" ht="14.5">
      <c r="B1251" s="300" t="s">
        <v>926</v>
      </c>
      <c r="C1251" s="300" t="s">
        <v>4704</v>
      </c>
      <c r="D1251" s="300" t="s">
        <v>4705</v>
      </c>
      <c r="E1251" s="300" t="s">
        <v>928</v>
      </c>
      <c r="F1251" s="378" t="s">
        <v>4091</v>
      </c>
      <c r="G1251" s="300" t="s">
        <v>4706</v>
      </c>
      <c r="H1251" s="300" t="s">
        <v>1040</v>
      </c>
      <c r="I1251" s="300" t="s">
        <v>446</v>
      </c>
    </row>
    <row r="1252" spans="2:9" ht="14.5">
      <c r="B1252" s="300" t="s">
        <v>926</v>
      </c>
      <c r="C1252" s="300" t="s">
        <v>4707</v>
      </c>
      <c r="D1252" s="300" t="s">
        <v>4708</v>
      </c>
      <c r="E1252" s="300" t="s">
        <v>928</v>
      </c>
      <c r="F1252" s="300" t="s">
        <v>4709</v>
      </c>
      <c r="G1252" s="300" t="s">
        <v>4708</v>
      </c>
      <c r="H1252" s="300" t="s">
        <v>1040</v>
      </c>
      <c r="I1252" s="300" t="s">
        <v>446</v>
      </c>
    </row>
    <row r="1253" spans="2:9" ht="14.5">
      <c r="B1253" s="300" t="s">
        <v>926</v>
      </c>
      <c r="C1253" s="300" t="s">
        <v>4710</v>
      </c>
      <c r="D1253" s="300" t="s">
        <v>4711</v>
      </c>
      <c r="E1253" s="300" t="s">
        <v>928</v>
      </c>
      <c r="F1253" s="300" t="s">
        <v>4712</v>
      </c>
      <c r="G1253" s="300" t="s">
        <v>4711</v>
      </c>
      <c r="H1253" s="300" t="s">
        <v>1040</v>
      </c>
      <c r="I1253" s="300" t="s">
        <v>446</v>
      </c>
    </row>
    <row r="1254" spans="2:9" ht="14.5">
      <c r="B1254" s="300" t="s">
        <v>926</v>
      </c>
      <c r="C1254" s="300" t="s">
        <v>4713</v>
      </c>
      <c r="D1254" s="300" t="s">
        <v>4714</v>
      </c>
      <c r="E1254" s="300" t="s">
        <v>928</v>
      </c>
      <c r="F1254" s="300" t="s">
        <v>4715</v>
      </c>
      <c r="G1254" s="300" t="s">
        <v>4716</v>
      </c>
      <c r="H1254" s="300" t="s">
        <v>1040</v>
      </c>
      <c r="I1254" s="300" t="s">
        <v>446</v>
      </c>
    </row>
    <row r="1255" spans="2:9" ht="14.5">
      <c r="B1255" s="300" t="s">
        <v>926</v>
      </c>
      <c r="C1255" s="300" t="s">
        <v>4717</v>
      </c>
      <c r="D1255" s="300" t="s">
        <v>4718</v>
      </c>
      <c r="E1255" s="300" t="s">
        <v>928</v>
      </c>
      <c r="F1255" s="300" t="s">
        <v>4715</v>
      </c>
      <c r="G1255" s="300" t="s">
        <v>4716</v>
      </c>
      <c r="H1255" s="300" t="s">
        <v>1040</v>
      </c>
      <c r="I1255" s="300" t="s">
        <v>446</v>
      </c>
    </row>
    <row r="1256" spans="2:9" ht="14.5">
      <c r="B1256" s="300" t="s">
        <v>926</v>
      </c>
      <c r="C1256" s="300" t="s">
        <v>4719</v>
      </c>
      <c r="D1256" s="300" t="s">
        <v>4720</v>
      </c>
      <c r="E1256" s="300" t="s">
        <v>928</v>
      </c>
      <c r="F1256" s="378" t="s">
        <v>4103</v>
      </c>
      <c r="G1256" s="300" t="s">
        <v>4721</v>
      </c>
      <c r="H1256" s="300" t="s">
        <v>1040</v>
      </c>
      <c r="I1256" s="300" t="s">
        <v>446</v>
      </c>
    </row>
    <row r="1257" spans="2:9" ht="14.5">
      <c r="B1257" s="300" t="s">
        <v>926</v>
      </c>
      <c r="C1257" s="300" t="s">
        <v>4722</v>
      </c>
      <c r="D1257" s="300" t="s">
        <v>4723</v>
      </c>
      <c r="E1257" s="300" t="s">
        <v>928</v>
      </c>
      <c r="F1257" s="300" t="s">
        <v>4724</v>
      </c>
      <c r="G1257" s="300" t="s">
        <v>4725</v>
      </c>
      <c r="H1257" s="300" t="s">
        <v>3488</v>
      </c>
      <c r="I1257" s="300" t="s">
        <v>446</v>
      </c>
    </row>
    <row r="1258" spans="2:9" ht="14.5">
      <c r="B1258" s="300" t="s">
        <v>926</v>
      </c>
      <c r="C1258" s="300" t="s">
        <v>4726</v>
      </c>
      <c r="D1258" s="300" t="s">
        <v>4727</v>
      </c>
      <c r="E1258" s="300" t="s">
        <v>928</v>
      </c>
      <c r="F1258" s="300" t="s">
        <v>4684</v>
      </c>
      <c r="G1258" s="300" t="s">
        <v>4685</v>
      </c>
      <c r="H1258" s="300" t="s">
        <v>1040</v>
      </c>
      <c r="I1258" s="300" t="s">
        <v>446</v>
      </c>
    </row>
    <row r="1259" spans="2:9" ht="14.5">
      <c r="B1259" s="300" t="s">
        <v>926</v>
      </c>
      <c r="C1259" s="300" t="s">
        <v>4728</v>
      </c>
      <c r="D1259" s="300" t="s">
        <v>4729</v>
      </c>
      <c r="E1259" s="300" t="s">
        <v>928</v>
      </c>
      <c r="F1259" s="300" t="s">
        <v>4675</v>
      </c>
      <c r="G1259" s="300" t="s">
        <v>4676</v>
      </c>
      <c r="H1259" s="300" t="s">
        <v>1040</v>
      </c>
      <c r="I1259" s="300" t="s">
        <v>446</v>
      </c>
    </row>
    <row r="1260" spans="2:9" ht="14.5">
      <c r="B1260" s="300" t="s">
        <v>926</v>
      </c>
      <c r="C1260" s="300" t="s">
        <v>4730</v>
      </c>
      <c r="D1260" s="300" t="s">
        <v>4731</v>
      </c>
      <c r="E1260" s="300" t="s">
        <v>928</v>
      </c>
      <c r="F1260" s="378" t="s">
        <v>5238</v>
      </c>
      <c r="G1260" s="300" t="s">
        <v>4732</v>
      </c>
      <c r="H1260" s="300" t="s">
        <v>1040</v>
      </c>
      <c r="I1260" s="300" t="s">
        <v>446</v>
      </c>
    </row>
    <row r="1261" spans="2:9" ht="14.5">
      <c r="B1261" s="300" t="s">
        <v>926</v>
      </c>
      <c r="C1261" s="300" t="s">
        <v>4733</v>
      </c>
      <c r="D1261" s="300" t="s">
        <v>4734</v>
      </c>
      <c r="E1261" s="300" t="s">
        <v>928</v>
      </c>
      <c r="F1261" s="300" t="s">
        <v>4735</v>
      </c>
      <c r="G1261" s="300" t="s">
        <v>4736</v>
      </c>
      <c r="H1261" s="300" t="s">
        <v>4736</v>
      </c>
      <c r="I1261" s="300" t="s">
        <v>447</v>
      </c>
    </row>
    <row r="1262" spans="2:9" ht="14.5">
      <c r="B1262" s="300" t="s">
        <v>926</v>
      </c>
      <c r="C1262" s="300" t="s">
        <v>4737</v>
      </c>
      <c r="D1262" s="300" t="s">
        <v>4738</v>
      </c>
      <c r="E1262" s="300" t="s">
        <v>928</v>
      </c>
      <c r="F1262" s="300" t="s">
        <v>4735</v>
      </c>
      <c r="G1262" s="300" t="s">
        <v>4736</v>
      </c>
      <c r="H1262" s="300" t="s">
        <v>4736</v>
      </c>
      <c r="I1262" s="300" t="s">
        <v>447</v>
      </c>
    </row>
    <row r="1263" spans="2:9" ht="14.5">
      <c r="B1263" s="300" t="s">
        <v>926</v>
      </c>
      <c r="C1263" s="300" t="s">
        <v>4739</v>
      </c>
      <c r="D1263" s="300" t="s">
        <v>4740</v>
      </c>
      <c r="E1263" s="300" t="s">
        <v>928</v>
      </c>
      <c r="F1263" s="378" t="s">
        <v>4117</v>
      </c>
      <c r="G1263" s="300" t="s">
        <v>4741</v>
      </c>
      <c r="H1263" s="300" t="s">
        <v>1040</v>
      </c>
      <c r="I1263" s="300" t="s">
        <v>446</v>
      </c>
    </row>
    <row r="1264" spans="2:9" ht="14.5">
      <c r="B1264" s="300" t="s">
        <v>926</v>
      </c>
      <c r="C1264" s="300" t="s">
        <v>4742</v>
      </c>
      <c r="D1264" s="300" t="s">
        <v>4743</v>
      </c>
      <c r="E1264" s="300" t="s">
        <v>928</v>
      </c>
      <c r="F1264" s="300" t="s">
        <v>4744</v>
      </c>
      <c r="G1264" s="300" t="s">
        <v>4745</v>
      </c>
      <c r="H1264" s="300" t="s">
        <v>1040</v>
      </c>
      <c r="I1264" s="300" t="s">
        <v>446</v>
      </c>
    </row>
    <row r="1265" spans="2:9" ht="14.5">
      <c r="B1265" s="300" t="s">
        <v>926</v>
      </c>
      <c r="C1265" s="300" t="s">
        <v>4746</v>
      </c>
      <c r="D1265" s="300" t="s">
        <v>4747</v>
      </c>
      <c r="E1265" s="300" t="s">
        <v>928</v>
      </c>
      <c r="F1265" s="378" t="s">
        <v>4117</v>
      </c>
      <c r="G1265" s="300" t="s">
        <v>4741</v>
      </c>
      <c r="H1265" s="300" t="s">
        <v>1040</v>
      </c>
      <c r="I1265" s="300" t="s">
        <v>446</v>
      </c>
    </row>
    <row r="1266" spans="2:9" ht="14.5">
      <c r="B1266" s="300" t="s">
        <v>926</v>
      </c>
      <c r="C1266" s="300" t="s">
        <v>4748</v>
      </c>
      <c r="D1266" s="300" t="s">
        <v>4749</v>
      </c>
      <c r="E1266" s="300" t="s">
        <v>928</v>
      </c>
      <c r="F1266" s="300" t="s">
        <v>4465</v>
      </c>
      <c r="G1266" s="300" t="s">
        <v>4466</v>
      </c>
      <c r="H1266" s="300" t="s">
        <v>1040</v>
      </c>
      <c r="I1266" s="300" t="s">
        <v>446</v>
      </c>
    </row>
    <row r="1267" spans="2:9" ht="14.5">
      <c r="B1267" s="300" t="s">
        <v>926</v>
      </c>
      <c r="C1267" s="300" t="s">
        <v>4750</v>
      </c>
      <c r="D1267" s="300" t="s">
        <v>4751</v>
      </c>
      <c r="E1267" s="300" t="s">
        <v>928</v>
      </c>
      <c r="F1267" s="300" t="s">
        <v>4465</v>
      </c>
      <c r="G1267" s="300" t="s">
        <v>4466</v>
      </c>
      <c r="H1267" s="300" t="s">
        <v>1040</v>
      </c>
      <c r="I1267" s="300" t="s">
        <v>446</v>
      </c>
    </row>
    <row r="1268" spans="2:9" ht="14.5">
      <c r="B1268" s="300" t="s">
        <v>926</v>
      </c>
      <c r="C1268" s="300" t="s">
        <v>4752</v>
      </c>
      <c r="D1268" s="300" t="s">
        <v>4753</v>
      </c>
      <c r="E1268" s="300" t="s">
        <v>928</v>
      </c>
      <c r="F1268" s="378" t="s">
        <v>4117</v>
      </c>
      <c r="G1268" s="300" t="s">
        <v>4741</v>
      </c>
      <c r="H1268" s="300" t="s">
        <v>1040</v>
      </c>
      <c r="I1268" s="300" t="s">
        <v>446</v>
      </c>
    </row>
    <row r="1269" spans="2:9" ht="14.5">
      <c r="B1269" s="300" t="s">
        <v>926</v>
      </c>
      <c r="C1269" s="300" t="s">
        <v>4754</v>
      </c>
      <c r="D1269" s="300" t="s">
        <v>4755</v>
      </c>
      <c r="E1269" s="300" t="s">
        <v>928</v>
      </c>
      <c r="F1269" s="300" t="s">
        <v>4756</v>
      </c>
      <c r="G1269" s="300" t="s">
        <v>4757</v>
      </c>
      <c r="H1269" s="300" t="s">
        <v>1040</v>
      </c>
      <c r="I1269" s="300" t="s">
        <v>446</v>
      </c>
    </row>
    <row r="1270" spans="2:9" ht="14.5">
      <c r="B1270" s="300" t="s">
        <v>926</v>
      </c>
      <c r="C1270" s="300" t="s">
        <v>4758</v>
      </c>
      <c r="D1270" s="300" t="s">
        <v>4759</v>
      </c>
      <c r="E1270" s="300" t="s">
        <v>928</v>
      </c>
      <c r="F1270" s="378" t="s">
        <v>4117</v>
      </c>
      <c r="G1270" s="300" t="s">
        <v>4741</v>
      </c>
      <c r="H1270" s="300" t="s">
        <v>1040</v>
      </c>
      <c r="I1270" s="300" t="s">
        <v>446</v>
      </c>
    </row>
    <row r="1271" spans="2:9" ht="14.5">
      <c r="B1271" s="300" t="s">
        <v>926</v>
      </c>
      <c r="C1271" s="300" t="s">
        <v>4760</v>
      </c>
      <c r="D1271" s="300" t="s">
        <v>4761</v>
      </c>
      <c r="E1271" s="300" t="s">
        <v>928</v>
      </c>
      <c r="F1271" s="378" t="s">
        <v>4762</v>
      </c>
      <c r="G1271" s="300" t="s">
        <v>4761</v>
      </c>
      <c r="H1271" s="300" t="s">
        <v>1040</v>
      </c>
      <c r="I1271" s="300" t="s">
        <v>446</v>
      </c>
    </row>
    <row r="1272" spans="2:9" ht="14.5">
      <c r="B1272" s="300" t="s">
        <v>926</v>
      </c>
      <c r="C1272" s="300" t="s">
        <v>4763</v>
      </c>
      <c r="D1272" s="300" t="s">
        <v>4764</v>
      </c>
      <c r="E1272" s="300" t="s">
        <v>928</v>
      </c>
      <c r="F1272" s="300" t="s">
        <v>4765</v>
      </c>
      <c r="G1272" s="300" t="s">
        <v>4766</v>
      </c>
      <c r="H1272" s="300" t="s">
        <v>1040</v>
      </c>
      <c r="I1272" s="300" t="s">
        <v>446</v>
      </c>
    </row>
    <row r="1273" spans="2:9" ht="14.5">
      <c r="B1273" s="300" t="s">
        <v>926</v>
      </c>
      <c r="C1273" s="300" t="s">
        <v>4767</v>
      </c>
      <c r="D1273" s="300" t="s">
        <v>4768</v>
      </c>
      <c r="E1273" s="300" t="s">
        <v>928</v>
      </c>
      <c r="F1273" s="300" t="s">
        <v>4765</v>
      </c>
      <c r="G1273" s="300" t="s">
        <v>4766</v>
      </c>
      <c r="H1273" s="300" t="s">
        <v>1040</v>
      </c>
      <c r="I1273" s="300" t="s">
        <v>446</v>
      </c>
    </row>
    <row r="1274" spans="2:9" ht="14.5">
      <c r="B1274" s="300" t="s">
        <v>926</v>
      </c>
      <c r="C1274" s="300" t="s">
        <v>4769</v>
      </c>
      <c r="D1274" s="300" t="s">
        <v>4770</v>
      </c>
      <c r="E1274" s="300" t="s">
        <v>928</v>
      </c>
      <c r="F1274" s="300" t="s">
        <v>4675</v>
      </c>
      <c r="G1274" s="300" t="s">
        <v>4676</v>
      </c>
      <c r="H1274" s="300" t="s">
        <v>1040</v>
      </c>
      <c r="I1274" s="300" t="s">
        <v>446</v>
      </c>
    </row>
    <row r="1275" spans="2:9" ht="14.5">
      <c r="B1275" s="300" t="s">
        <v>926</v>
      </c>
      <c r="C1275" s="300" t="s">
        <v>4771</v>
      </c>
      <c r="D1275" s="300" t="s">
        <v>4772</v>
      </c>
      <c r="E1275" s="300" t="s">
        <v>928</v>
      </c>
      <c r="F1275" s="378" t="s">
        <v>5239</v>
      </c>
      <c r="G1275" s="300" t="s">
        <v>4773</v>
      </c>
      <c r="H1275" s="300" t="s">
        <v>1040</v>
      </c>
      <c r="I1275" s="300" t="s">
        <v>446</v>
      </c>
    </row>
    <row r="1276" spans="2:9" ht="14.5">
      <c r="B1276" s="300" t="s">
        <v>926</v>
      </c>
      <c r="C1276" s="300" t="s">
        <v>4774</v>
      </c>
      <c r="D1276" s="300" t="s">
        <v>4775</v>
      </c>
      <c r="E1276" s="300" t="s">
        <v>928</v>
      </c>
      <c r="F1276" s="300" t="s">
        <v>4776</v>
      </c>
      <c r="G1276" s="300" t="s">
        <v>4777</v>
      </c>
      <c r="H1276" s="300" t="s">
        <v>1040</v>
      </c>
      <c r="I1276" s="300" t="s">
        <v>446</v>
      </c>
    </row>
    <row r="1277" spans="2:9" ht="14.5">
      <c r="B1277" s="300" t="s">
        <v>926</v>
      </c>
      <c r="C1277" s="300" t="s">
        <v>4778</v>
      </c>
      <c r="D1277" s="300" t="s">
        <v>4779</v>
      </c>
      <c r="E1277" s="300" t="s">
        <v>928</v>
      </c>
      <c r="F1277" s="300" t="s">
        <v>4780</v>
      </c>
      <c r="G1277" s="300" t="s">
        <v>4781</v>
      </c>
      <c r="H1277" s="300" t="s">
        <v>1040</v>
      </c>
      <c r="I1277" s="300" t="s">
        <v>446</v>
      </c>
    </row>
    <row r="1278" spans="2:9" ht="14.5">
      <c r="B1278" s="300" t="s">
        <v>926</v>
      </c>
      <c r="C1278" s="300" t="s">
        <v>4782</v>
      </c>
      <c r="D1278" s="300" t="s">
        <v>4783</v>
      </c>
      <c r="E1278" s="300" t="s">
        <v>928</v>
      </c>
      <c r="F1278" s="300" t="s">
        <v>4784</v>
      </c>
      <c r="G1278" s="300" t="s">
        <v>4785</v>
      </c>
      <c r="H1278" s="300" t="s">
        <v>1040</v>
      </c>
      <c r="I1278" s="300" t="s">
        <v>446</v>
      </c>
    </row>
    <row r="1279" spans="2:9" ht="14.5">
      <c r="B1279" s="300" t="s">
        <v>926</v>
      </c>
      <c r="C1279" s="300" t="s">
        <v>4786</v>
      </c>
      <c r="D1279" s="300" t="s">
        <v>4787</v>
      </c>
      <c r="E1279" s="300" t="s">
        <v>928</v>
      </c>
      <c r="F1279" s="300" t="s">
        <v>4776</v>
      </c>
      <c r="G1279" s="300" t="s">
        <v>4777</v>
      </c>
      <c r="H1279" s="300" t="s">
        <v>1040</v>
      </c>
      <c r="I1279" s="300" t="s">
        <v>446</v>
      </c>
    </row>
    <row r="1280" spans="2:9" ht="14.5">
      <c r="B1280" s="300" t="s">
        <v>926</v>
      </c>
      <c r="C1280" s="300" t="s">
        <v>4788</v>
      </c>
      <c r="D1280" s="300" t="s">
        <v>4789</v>
      </c>
      <c r="E1280" s="300" t="s">
        <v>928</v>
      </c>
      <c r="F1280" s="300" t="s">
        <v>4776</v>
      </c>
      <c r="G1280" s="300" t="s">
        <v>4777</v>
      </c>
      <c r="H1280" s="300" t="s">
        <v>1040</v>
      </c>
      <c r="I1280" s="300" t="s">
        <v>446</v>
      </c>
    </row>
    <row r="1281" spans="2:9" ht="14.5">
      <c r="B1281" s="300" t="s">
        <v>926</v>
      </c>
      <c r="C1281" s="300" t="s">
        <v>4790</v>
      </c>
      <c r="D1281" s="300" t="s">
        <v>4791</v>
      </c>
      <c r="E1281" s="300" t="s">
        <v>928</v>
      </c>
      <c r="F1281" s="378" t="s">
        <v>3084</v>
      </c>
      <c r="G1281" s="300" t="s">
        <v>4792</v>
      </c>
      <c r="H1281" s="300" t="s">
        <v>1040</v>
      </c>
      <c r="I1281" s="300" t="s">
        <v>446</v>
      </c>
    </row>
    <row r="1282" spans="2:9" ht="14.5">
      <c r="B1282" s="300" t="s">
        <v>926</v>
      </c>
      <c r="C1282" s="300" t="s">
        <v>4793</v>
      </c>
      <c r="D1282" s="300" t="s">
        <v>4794</v>
      </c>
      <c r="E1282" s="300" t="s">
        <v>928</v>
      </c>
      <c r="F1282" s="300" t="s">
        <v>4795</v>
      </c>
      <c r="G1282" s="300" t="s">
        <v>4796</v>
      </c>
      <c r="H1282" s="300" t="s">
        <v>1040</v>
      </c>
      <c r="I1282" s="300" t="s">
        <v>446</v>
      </c>
    </row>
    <row r="1283" spans="2:9" ht="14.5">
      <c r="B1283" s="300" t="s">
        <v>926</v>
      </c>
      <c r="C1283" s="300" t="s">
        <v>4797</v>
      </c>
      <c r="D1283" s="300" t="s">
        <v>4798</v>
      </c>
      <c r="E1283" s="300" t="s">
        <v>928</v>
      </c>
      <c r="F1283" s="378" t="s">
        <v>5240</v>
      </c>
      <c r="G1283" s="300" t="s">
        <v>4799</v>
      </c>
      <c r="H1283" s="300" t="s">
        <v>1040</v>
      </c>
      <c r="I1283" s="300" t="s">
        <v>446</v>
      </c>
    </row>
    <row r="1284" spans="2:9" ht="14.5">
      <c r="B1284" s="300" t="s">
        <v>926</v>
      </c>
      <c r="C1284" s="300" t="s">
        <v>4800</v>
      </c>
      <c r="D1284" s="300" t="s">
        <v>4801</v>
      </c>
      <c r="E1284" s="300" t="s">
        <v>928</v>
      </c>
      <c r="F1284" s="300" t="s">
        <v>4802</v>
      </c>
      <c r="G1284" s="300" t="s">
        <v>4803</v>
      </c>
      <c r="H1284" s="300" t="s">
        <v>1040</v>
      </c>
      <c r="I1284" s="300" t="s">
        <v>446</v>
      </c>
    </row>
    <row r="1285" spans="2:9" ht="14.5">
      <c r="B1285" s="300" t="s">
        <v>926</v>
      </c>
      <c r="C1285" s="300" t="s">
        <v>4804</v>
      </c>
      <c r="D1285" s="300" t="s">
        <v>4805</v>
      </c>
      <c r="E1285" s="300" t="s">
        <v>928</v>
      </c>
      <c r="F1285" s="378" t="s">
        <v>5207</v>
      </c>
      <c r="G1285" s="300" t="s">
        <v>3682</v>
      </c>
      <c r="H1285" s="300" t="s">
        <v>3488</v>
      </c>
      <c r="I1285" s="300" t="s">
        <v>446</v>
      </c>
    </row>
    <row r="1286" spans="2:9" ht="14.5">
      <c r="B1286" s="300" t="s">
        <v>926</v>
      </c>
      <c r="C1286" s="300" t="s">
        <v>4806</v>
      </c>
      <c r="D1286" s="300" t="s">
        <v>4807</v>
      </c>
      <c r="E1286" s="300" t="s">
        <v>928</v>
      </c>
      <c r="F1286" s="300" t="s">
        <v>4808</v>
      </c>
      <c r="G1286" s="300" t="s">
        <v>4809</v>
      </c>
      <c r="H1286" s="300" t="s">
        <v>3488</v>
      </c>
      <c r="I1286" s="300" t="s">
        <v>446</v>
      </c>
    </row>
    <row r="1287" spans="2:9" ht="14.5">
      <c r="B1287" s="300" t="s">
        <v>926</v>
      </c>
      <c r="C1287" s="300" t="s">
        <v>4810</v>
      </c>
      <c r="D1287" s="300" t="s">
        <v>4811</v>
      </c>
      <c r="E1287" s="300" t="s">
        <v>928</v>
      </c>
      <c r="F1287" s="300" t="s">
        <v>4808</v>
      </c>
      <c r="G1287" s="300" t="s">
        <v>4809</v>
      </c>
      <c r="H1287" s="300" t="s">
        <v>3488</v>
      </c>
      <c r="I1287" s="300" t="s">
        <v>446</v>
      </c>
    </row>
    <row r="1288" spans="2:9" ht="14.5">
      <c r="B1288" s="300" t="s">
        <v>926</v>
      </c>
      <c r="C1288" s="300" t="s">
        <v>4812</v>
      </c>
      <c r="D1288" s="300" t="s">
        <v>4813</v>
      </c>
      <c r="E1288" s="300" t="s">
        <v>928</v>
      </c>
      <c r="F1288" s="300" t="s">
        <v>3678</v>
      </c>
      <c r="G1288" s="300" t="s">
        <v>3679</v>
      </c>
      <c r="H1288" s="300" t="s">
        <v>3488</v>
      </c>
      <c r="I1288" s="300" t="s">
        <v>446</v>
      </c>
    </row>
    <row r="1289" spans="2:9" ht="14.5">
      <c r="B1289" s="300" t="s">
        <v>926</v>
      </c>
      <c r="C1289" s="300" t="s">
        <v>4814</v>
      </c>
      <c r="D1289" s="300" t="s">
        <v>4815</v>
      </c>
      <c r="E1289" s="300" t="s">
        <v>928</v>
      </c>
      <c r="F1289" s="378" t="s">
        <v>5241</v>
      </c>
      <c r="G1289" s="300" t="s">
        <v>4816</v>
      </c>
      <c r="H1289" s="300" t="s">
        <v>1040</v>
      </c>
      <c r="I1289" s="300" t="s">
        <v>446</v>
      </c>
    </row>
    <row r="1290" spans="2:9" ht="14.5">
      <c r="B1290" s="300" t="s">
        <v>926</v>
      </c>
      <c r="C1290" s="300" t="s">
        <v>4817</v>
      </c>
      <c r="D1290" s="300" t="s">
        <v>4818</v>
      </c>
      <c r="E1290" s="300" t="s">
        <v>928</v>
      </c>
      <c r="F1290" s="300" t="s">
        <v>4819</v>
      </c>
      <c r="G1290" s="300" t="s">
        <v>4820</v>
      </c>
      <c r="H1290" s="300" t="s">
        <v>1040</v>
      </c>
      <c r="I1290" s="300" t="s">
        <v>446</v>
      </c>
    </row>
    <row r="1291" spans="2:9" ht="14.5">
      <c r="B1291" s="300" t="s">
        <v>926</v>
      </c>
      <c r="C1291" s="300" t="s">
        <v>4821</v>
      </c>
      <c r="D1291" s="300" t="s">
        <v>4822</v>
      </c>
      <c r="E1291" s="300" t="s">
        <v>928</v>
      </c>
      <c r="F1291" s="300" t="s">
        <v>4823</v>
      </c>
      <c r="G1291" s="300" t="s">
        <v>4822</v>
      </c>
      <c r="H1291" s="300" t="s">
        <v>1040</v>
      </c>
      <c r="I1291" s="300" t="s">
        <v>446</v>
      </c>
    </row>
    <row r="1292" spans="2:9" ht="14.5">
      <c r="B1292" s="300" t="s">
        <v>926</v>
      </c>
      <c r="C1292" s="300" t="s">
        <v>4824</v>
      </c>
      <c r="D1292" s="300" t="s">
        <v>4825</v>
      </c>
      <c r="E1292" s="300" t="s">
        <v>928</v>
      </c>
      <c r="F1292" s="300" t="s">
        <v>4826</v>
      </c>
      <c r="G1292" s="300" t="s">
        <v>4827</v>
      </c>
      <c r="H1292" s="300" t="s">
        <v>1040</v>
      </c>
      <c r="I1292" s="300" t="s">
        <v>446</v>
      </c>
    </row>
    <row r="1293" spans="2:9" ht="14.5">
      <c r="B1293" s="300" t="s">
        <v>926</v>
      </c>
      <c r="C1293" s="300" t="s">
        <v>4828</v>
      </c>
      <c r="D1293" s="300" t="s">
        <v>4829</v>
      </c>
      <c r="E1293" s="300" t="s">
        <v>928</v>
      </c>
      <c r="F1293" s="300" t="s">
        <v>4830</v>
      </c>
      <c r="G1293" s="300" t="s">
        <v>4831</v>
      </c>
      <c r="H1293" s="300" t="s">
        <v>1040</v>
      </c>
      <c r="I1293" s="300" t="s">
        <v>446</v>
      </c>
    </row>
    <row r="1294" spans="2:9" ht="14.5">
      <c r="B1294" s="300" t="s">
        <v>926</v>
      </c>
      <c r="C1294" s="300" t="s">
        <v>4832</v>
      </c>
      <c r="D1294" s="300" t="s">
        <v>4833</v>
      </c>
      <c r="E1294" s="300" t="s">
        <v>928</v>
      </c>
      <c r="F1294" s="378" t="s">
        <v>5242</v>
      </c>
      <c r="G1294" s="300" t="s">
        <v>4834</v>
      </c>
      <c r="H1294" s="300" t="s">
        <v>1040</v>
      </c>
      <c r="I1294" s="300" t="s">
        <v>446</v>
      </c>
    </row>
    <row r="1295" spans="2:9" ht="14.5">
      <c r="B1295" s="300" t="s">
        <v>926</v>
      </c>
      <c r="C1295" s="300" t="s">
        <v>4835</v>
      </c>
      <c r="D1295" s="300" t="s">
        <v>4836</v>
      </c>
      <c r="E1295" s="300" t="s">
        <v>928</v>
      </c>
      <c r="F1295" s="300" t="s">
        <v>4837</v>
      </c>
      <c r="G1295" s="300" t="s">
        <v>4838</v>
      </c>
      <c r="H1295" s="300" t="s">
        <v>1040</v>
      </c>
      <c r="I1295" s="300" t="s">
        <v>446</v>
      </c>
    </row>
    <row r="1296" spans="2:9" ht="14.5">
      <c r="B1296" s="300" t="s">
        <v>926</v>
      </c>
      <c r="C1296" s="300" t="s">
        <v>4839</v>
      </c>
      <c r="D1296" s="300" t="s">
        <v>4840</v>
      </c>
      <c r="E1296" s="300" t="s">
        <v>928</v>
      </c>
      <c r="F1296" s="300" t="s">
        <v>4841</v>
      </c>
      <c r="G1296" s="300" t="s">
        <v>4842</v>
      </c>
      <c r="H1296" s="300" t="s">
        <v>1040</v>
      </c>
      <c r="I1296" s="300" t="s">
        <v>446</v>
      </c>
    </row>
    <row r="1297" spans="2:9" ht="14.5">
      <c r="B1297" s="300" t="s">
        <v>926</v>
      </c>
      <c r="C1297" s="300" t="s">
        <v>4843</v>
      </c>
      <c r="D1297" s="300" t="s">
        <v>4844</v>
      </c>
      <c r="E1297" s="300" t="s">
        <v>928</v>
      </c>
      <c r="F1297" s="378" t="s">
        <v>4103</v>
      </c>
      <c r="G1297" s="300" t="s">
        <v>4721</v>
      </c>
      <c r="H1297" s="300" t="s">
        <v>1040</v>
      </c>
      <c r="I1297" s="300" t="s">
        <v>446</v>
      </c>
    </row>
    <row r="1298" spans="2:9" ht="14.5">
      <c r="B1298" s="300" t="s">
        <v>926</v>
      </c>
      <c r="C1298" s="300" t="s">
        <v>4845</v>
      </c>
      <c r="D1298" s="300" t="s">
        <v>4846</v>
      </c>
      <c r="E1298" s="300" t="s">
        <v>928</v>
      </c>
      <c r="F1298" s="300" t="s">
        <v>4847</v>
      </c>
      <c r="G1298" s="300" t="s">
        <v>4848</v>
      </c>
      <c r="H1298" s="300" t="s">
        <v>1040</v>
      </c>
      <c r="I1298" s="300" t="s">
        <v>446</v>
      </c>
    </row>
    <row r="1299" spans="2:9" ht="14.5">
      <c r="B1299" s="300" t="s">
        <v>926</v>
      </c>
      <c r="C1299" s="300" t="s">
        <v>4849</v>
      </c>
      <c r="D1299" s="300" t="s">
        <v>4844</v>
      </c>
      <c r="E1299" s="300" t="s">
        <v>928</v>
      </c>
      <c r="F1299" s="300" t="s">
        <v>4675</v>
      </c>
      <c r="G1299" s="300" t="s">
        <v>4676</v>
      </c>
      <c r="H1299" s="300" t="s">
        <v>1040</v>
      </c>
      <c r="I1299" s="300" t="s">
        <v>446</v>
      </c>
    </row>
    <row r="1301" spans="2:9" ht="14.5">
      <c r="C1301" s="404" t="s">
        <v>5452</v>
      </c>
    </row>
    <row r="1302" spans="2:9" ht="14.65" customHeight="1">
      <c r="C1302" s="404" t="s">
        <v>928</v>
      </c>
      <c r="D1302" s="255" t="s">
        <v>5453</v>
      </c>
    </row>
    <row r="1303" spans="2:9" ht="14.65" customHeight="1">
      <c r="C1303" s="404" t="s">
        <v>926</v>
      </c>
      <c r="D1303" s="255" t="s">
        <v>5454</v>
      </c>
    </row>
    <row r="1304" spans="2:9" ht="79.400000000000006" customHeight="1"/>
    <row r="1305" spans="2:9" ht="14.65" customHeight="1">
      <c r="C1305" s="404"/>
    </row>
    <row r="1306" spans="2:9" ht="14.65" customHeight="1"/>
    <row r="1307" spans="2:9" ht="145.4" customHeight="1">
      <c r="C1307" s="405"/>
    </row>
    <row r="1308" spans="2:9" ht="14.5">
      <c r="C1308" s="404"/>
    </row>
  </sheetData>
  <sheetProtection password="C6C6" sheet="1" objects="1" scenarios="1"/>
  <phoneticPr fontId="33" type="noConversion"/>
  <hyperlinks>
    <hyperlink ref="D1303" r:id="rId1" xr:uid="{35B6A555-2277-4F9B-8BA4-95D119760A20}"/>
    <hyperlink ref="D1302" r:id="rId2" xr:uid="{27AC7D5A-91F4-4127-A999-4BE50A200250}"/>
  </hyperlinks>
  <pageMargins left="0.78740157499999996" right="0.78740157499999996" top="0.984251969" bottom="0.984251969" header="0.4921259845" footer="0.4921259845"/>
  <headerFooter alignWithMargins="0"/>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777AD-824A-469F-9004-81CE9852405F}">
  <sheetPr codeName="Feuil12">
    <pageSetUpPr fitToPage="1"/>
  </sheetPr>
  <dimension ref="B1:BG1289"/>
  <sheetViews>
    <sheetView showGridLines="0" zoomScaleNormal="100" workbookViewId="0">
      <selection activeCell="K24" sqref="K24"/>
    </sheetView>
  </sheetViews>
  <sheetFormatPr baseColWidth="10" defaultRowHeight="12.5"/>
  <cols>
    <col min="1" max="1" width="2.453125" customWidth="1"/>
    <col min="10" max="10" width="13.81640625" customWidth="1"/>
    <col min="12" max="59" width="11.453125" style="476" customWidth="1"/>
  </cols>
  <sheetData>
    <row r="1" spans="2:59" ht="13.5" customHeight="1"/>
    <row r="2" spans="2:59" ht="27" customHeight="1">
      <c r="B2" s="417" t="s">
        <v>5530</v>
      </c>
    </row>
    <row r="3" spans="2:59" ht="27" customHeight="1">
      <c r="B3" s="418" t="s">
        <v>5524</v>
      </c>
    </row>
    <row r="4" spans="2:59" ht="27" customHeight="1"/>
    <row r="5" spans="2:59" s="280" customFormat="1" ht="20.149999999999999" customHeight="1">
      <c r="B5" s="487" t="s">
        <v>5394</v>
      </c>
      <c r="C5" s="487"/>
      <c r="D5" s="487"/>
      <c r="E5" s="487"/>
      <c r="F5" s="487"/>
      <c r="G5" s="487"/>
      <c r="H5" s="487"/>
      <c r="I5" s="487"/>
      <c r="J5" s="487"/>
      <c r="K5" s="279"/>
      <c r="L5" s="600"/>
      <c r="M5" s="600"/>
      <c r="N5" s="601"/>
      <c r="O5" s="601"/>
      <c r="P5" s="601"/>
      <c r="Q5" s="601"/>
      <c r="R5" s="601"/>
      <c r="S5" s="601"/>
      <c r="T5" s="601"/>
      <c r="U5" s="601"/>
      <c r="V5" s="601"/>
      <c r="W5" s="601"/>
      <c r="X5" s="601"/>
      <c r="Y5" s="601"/>
      <c r="Z5" s="601"/>
      <c r="AA5" s="601"/>
      <c r="AB5" s="601"/>
      <c r="AC5" s="601"/>
      <c r="AD5" s="601"/>
      <c r="AE5" s="601"/>
      <c r="AF5" s="601"/>
      <c r="AG5" s="601"/>
      <c r="AH5" s="601"/>
      <c r="AI5" s="601"/>
      <c r="AJ5" s="601"/>
      <c r="AK5" s="601"/>
      <c r="AL5" s="601"/>
      <c r="AM5" s="601"/>
      <c r="AN5" s="601"/>
      <c r="AO5" s="601"/>
      <c r="AP5" s="601"/>
      <c r="AQ5" s="601"/>
      <c r="AR5" s="601"/>
      <c r="AS5" s="601"/>
      <c r="AT5" s="601"/>
      <c r="AU5" s="601"/>
      <c r="AV5" s="601"/>
      <c r="AW5" s="601"/>
      <c r="AX5" s="601"/>
      <c r="AY5" s="601"/>
      <c r="AZ5" s="601"/>
      <c r="BA5" s="601"/>
      <c r="BB5" s="601"/>
      <c r="BC5" s="601"/>
      <c r="BD5" s="601"/>
      <c r="BE5" s="601"/>
      <c r="BF5" s="601"/>
      <c r="BG5" s="601"/>
    </row>
    <row r="6" spans="2:59" s="254" customFormat="1">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c r="AL6" s="602"/>
      <c r="AM6" s="602"/>
      <c r="AN6" s="602"/>
      <c r="AO6" s="602"/>
      <c r="AP6" s="602"/>
      <c r="AQ6" s="602"/>
      <c r="AR6" s="602"/>
      <c r="AS6" s="602"/>
      <c r="AT6" s="602"/>
      <c r="AU6" s="602"/>
      <c r="AV6" s="602"/>
      <c r="AW6" s="602"/>
      <c r="AX6" s="602"/>
      <c r="AY6" s="602"/>
      <c r="AZ6" s="602"/>
      <c r="BA6" s="602"/>
      <c r="BB6" s="602"/>
      <c r="BC6" s="602"/>
      <c r="BD6" s="602"/>
      <c r="BE6" s="602"/>
      <c r="BF6" s="602"/>
      <c r="BG6" s="602"/>
    </row>
    <row r="7" spans="2:59" s="254" customFormat="1">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c r="AL7" s="602"/>
      <c r="AM7" s="602"/>
      <c r="AN7" s="602"/>
      <c r="AO7" s="602"/>
      <c r="AP7" s="602"/>
      <c r="AQ7" s="602"/>
      <c r="AR7" s="602"/>
      <c r="AS7" s="602"/>
      <c r="AT7" s="602"/>
      <c r="AU7" s="602"/>
      <c r="AV7" s="602"/>
      <c r="AW7" s="602"/>
      <c r="AX7" s="602"/>
      <c r="AY7" s="602"/>
      <c r="AZ7" s="602"/>
      <c r="BA7" s="602"/>
      <c r="BB7" s="602"/>
      <c r="BC7" s="602"/>
      <c r="BD7" s="602"/>
      <c r="BE7" s="602"/>
      <c r="BF7" s="602"/>
      <c r="BG7" s="602"/>
    </row>
    <row r="8" spans="2:59" s="254" customFormat="1">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c r="AL8" s="602"/>
      <c r="AM8" s="602"/>
      <c r="AN8" s="602"/>
      <c r="AO8" s="602"/>
      <c r="AP8" s="602"/>
      <c r="AQ8" s="602"/>
      <c r="AR8" s="602"/>
      <c r="AS8" s="602"/>
      <c r="AT8" s="602"/>
      <c r="AU8" s="602"/>
      <c r="AV8" s="602"/>
      <c r="AW8" s="602"/>
      <c r="AX8" s="602"/>
      <c r="AY8" s="602"/>
      <c r="AZ8" s="602"/>
      <c r="BA8" s="602"/>
      <c r="BB8" s="602"/>
      <c r="BC8" s="602"/>
      <c r="BD8" s="602"/>
      <c r="BE8" s="602"/>
      <c r="BF8" s="602"/>
      <c r="BG8" s="602"/>
    </row>
    <row r="9" spans="2:59" s="254" customFormat="1">
      <c r="L9" s="602"/>
      <c r="M9" s="602"/>
      <c r="N9" s="602"/>
      <c r="O9" s="602"/>
      <c r="P9" s="602"/>
      <c r="Q9" s="602"/>
      <c r="R9" s="602"/>
      <c r="S9" s="602"/>
      <c r="T9" s="602"/>
      <c r="U9" s="602"/>
      <c r="V9" s="602"/>
      <c r="W9" s="602"/>
      <c r="X9" s="602"/>
      <c r="Y9" s="602"/>
      <c r="Z9" s="602"/>
      <c r="AA9" s="602"/>
      <c r="AB9" s="602"/>
      <c r="AC9" s="602"/>
      <c r="AD9" s="602"/>
      <c r="AE9" s="602"/>
      <c r="AF9" s="602"/>
      <c r="AG9" s="602"/>
      <c r="AH9" s="602"/>
      <c r="AI9" s="602"/>
      <c r="AJ9" s="602"/>
      <c r="AK9" s="602"/>
      <c r="AL9" s="602"/>
      <c r="AM9" s="602"/>
      <c r="AN9" s="602"/>
      <c r="AO9" s="602"/>
      <c r="AP9" s="602"/>
      <c r="AQ9" s="602"/>
      <c r="AR9" s="602"/>
      <c r="AS9" s="602"/>
      <c r="AT9" s="602"/>
      <c r="AU9" s="602"/>
      <c r="AV9" s="602"/>
      <c r="AW9" s="602"/>
      <c r="AX9" s="602"/>
      <c r="AY9" s="602"/>
      <c r="AZ9" s="602"/>
      <c r="BA9" s="602"/>
      <c r="BB9" s="602"/>
      <c r="BC9" s="602"/>
      <c r="BD9" s="602"/>
      <c r="BE9" s="602"/>
      <c r="BF9" s="602"/>
      <c r="BG9" s="602"/>
    </row>
    <row r="10" spans="2:59" s="254" customFormat="1">
      <c r="L10" s="602"/>
      <c r="M10" s="602"/>
      <c r="N10" s="602"/>
      <c r="O10" s="602"/>
      <c r="P10" s="602"/>
      <c r="Q10" s="602"/>
      <c r="R10" s="602"/>
      <c r="S10" s="602"/>
      <c r="T10" s="602"/>
      <c r="U10" s="602"/>
      <c r="V10" s="602"/>
      <c r="W10" s="602"/>
      <c r="X10" s="602"/>
      <c r="Y10" s="602"/>
      <c r="Z10" s="602"/>
      <c r="AA10" s="602"/>
      <c r="AB10" s="602"/>
      <c r="AC10" s="602"/>
      <c r="AD10" s="602"/>
      <c r="AE10" s="602"/>
      <c r="AF10" s="602"/>
      <c r="AG10" s="602"/>
      <c r="AH10" s="602"/>
      <c r="AI10" s="602"/>
      <c r="AJ10" s="602"/>
      <c r="AK10" s="602"/>
      <c r="AL10" s="602"/>
      <c r="AM10" s="602"/>
      <c r="AN10" s="602"/>
      <c r="AO10" s="602"/>
      <c r="AP10" s="602"/>
      <c r="AQ10" s="602"/>
      <c r="AR10" s="602"/>
      <c r="AS10" s="602"/>
      <c r="AT10" s="602"/>
      <c r="AU10" s="602"/>
      <c r="AV10" s="602"/>
      <c r="AW10" s="602"/>
      <c r="AX10" s="602"/>
      <c r="AY10" s="602"/>
      <c r="AZ10" s="602"/>
      <c r="BA10" s="602"/>
      <c r="BB10" s="602"/>
      <c r="BC10" s="602"/>
      <c r="BD10" s="602"/>
      <c r="BE10" s="602"/>
      <c r="BF10" s="602"/>
      <c r="BG10" s="602"/>
    </row>
    <row r="11" spans="2:59" s="254" customFormat="1">
      <c r="L11" s="602"/>
      <c r="M11" s="602"/>
      <c r="N11" s="602"/>
      <c r="O11" s="602"/>
      <c r="P11" s="602"/>
      <c r="Q11" s="602"/>
      <c r="R11" s="602"/>
      <c r="S11" s="602"/>
      <c r="T11" s="602"/>
      <c r="U11" s="602"/>
      <c r="V11" s="602"/>
      <c r="W11" s="602"/>
      <c r="X11" s="602"/>
      <c r="Y11" s="602"/>
      <c r="Z11" s="602"/>
      <c r="AA11" s="602"/>
      <c r="AB11" s="602"/>
      <c r="AC11" s="602"/>
      <c r="AD11" s="602"/>
      <c r="AE11" s="602"/>
      <c r="AF11" s="602"/>
      <c r="AG11" s="602"/>
      <c r="AH11" s="602"/>
      <c r="AI11" s="602"/>
      <c r="AJ11" s="602"/>
      <c r="AK11" s="602"/>
      <c r="AL11" s="602"/>
      <c r="AM11" s="602"/>
      <c r="AN11" s="602"/>
      <c r="AO11" s="602"/>
      <c r="AP11" s="602"/>
      <c r="AQ11" s="602"/>
      <c r="AR11" s="602"/>
      <c r="AS11" s="602"/>
      <c r="AT11" s="602"/>
      <c r="AU11" s="602"/>
      <c r="AV11" s="602"/>
      <c r="AW11" s="602"/>
      <c r="AX11" s="602"/>
      <c r="AY11" s="602"/>
      <c r="AZ11" s="602"/>
      <c r="BA11" s="602"/>
      <c r="BB11" s="602"/>
      <c r="BC11" s="602"/>
      <c r="BD11" s="602"/>
      <c r="BE11" s="602"/>
      <c r="BF11" s="602"/>
      <c r="BG11" s="602"/>
    </row>
    <row r="12" spans="2:59" s="254" customFormat="1">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row>
    <row r="13" spans="2:59" s="254" customFormat="1">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I13" s="602"/>
      <c r="AJ13" s="602"/>
      <c r="AK13" s="602"/>
      <c r="AL13" s="602"/>
      <c r="AM13" s="602"/>
      <c r="AN13" s="602"/>
      <c r="AO13" s="602"/>
      <c r="AP13" s="602"/>
      <c r="AQ13" s="602"/>
      <c r="AR13" s="602"/>
      <c r="AS13" s="602"/>
      <c r="AT13" s="602"/>
      <c r="AU13" s="602"/>
      <c r="AV13" s="602"/>
      <c r="AW13" s="602"/>
      <c r="AX13" s="602"/>
      <c r="AY13" s="602"/>
      <c r="AZ13" s="602"/>
      <c r="BA13" s="602"/>
      <c r="BB13" s="602"/>
      <c r="BC13" s="602"/>
      <c r="BD13" s="602"/>
      <c r="BE13" s="602"/>
      <c r="BF13" s="602"/>
      <c r="BG13" s="602"/>
    </row>
    <row r="14" spans="2:59" s="254" customFormat="1">
      <c r="L14" s="602"/>
      <c r="M14" s="602"/>
      <c r="N14" s="602"/>
      <c r="O14" s="602"/>
      <c r="P14" s="602"/>
      <c r="Q14" s="602"/>
      <c r="R14" s="602"/>
      <c r="S14" s="602"/>
      <c r="T14" s="602"/>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row>
    <row r="15" spans="2:59" s="254" customFormat="1">
      <c r="L15" s="602"/>
      <c r="M15" s="602"/>
      <c r="N15" s="602"/>
      <c r="O15" s="602"/>
      <c r="P15" s="602"/>
      <c r="Q15" s="602"/>
      <c r="R15" s="602"/>
      <c r="S15" s="602"/>
      <c r="T15" s="602"/>
      <c r="U15" s="602"/>
      <c r="V15" s="602"/>
      <c r="W15" s="602"/>
      <c r="X15" s="602"/>
      <c r="Y15" s="602"/>
      <c r="Z15" s="602"/>
      <c r="AA15" s="602"/>
      <c r="AB15" s="602"/>
      <c r="AC15" s="602"/>
      <c r="AD15" s="602"/>
      <c r="AE15" s="602"/>
      <c r="AF15" s="602"/>
      <c r="AG15" s="602"/>
      <c r="AH15" s="602"/>
      <c r="AI15" s="602"/>
      <c r="AJ15" s="602"/>
      <c r="AK15" s="602"/>
      <c r="AL15" s="602"/>
      <c r="AM15" s="602"/>
      <c r="AN15" s="602"/>
      <c r="AO15" s="602"/>
      <c r="AP15" s="602"/>
      <c r="AQ15" s="602"/>
      <c r="AR15" s="602"/>
      <c r="AS15" s="602"/>
      <c r="AT15" s="602"/>
      <c r="AU15" s="602"/>
      <c r="AV15" s="602"/>
      <c r="AW15" s="602"/>
      <c r="AX15" s="602"/>
      <c r="AY15" s="602"/>
      <c r="AZ15" s="602"/>
      <c r="BA15" s="602"/>
      <c r="BB15" s="602"/>
      <c r="BC15" s="602"/>
      <c r="BD15" s="602"/>
      <c r="BE15" s="602"/>
      <c r="BF15" s="602"/>
      <c r="BG15" s="602"/>
    </row>
    <row r="16" spans="2:59" s="254" customFormat="1">
      <c r="L16" s="602"/>
      <c r="M16" s="602"/>
      <c r="N16" s="602"/>
      <c r="O16" s="602"/>
      <c r="P16" s="602"/>
      <c r="Q16" s="602"/>
      <c r="R16" s="602"/>
      <c r="S16" s="602"/>
      <c r="T16" s="602"/>
      <c r="U16" s="602"/>
      <c r="V16" s="602"/>
      <c r="W16" s="602"/>
      <c r="X16" s="602"/>
      <c r="Y16" s="602"/>
      <c r="Z16" s="602"/>
      <c r="AA16" s="602"/>
      <c r="AB16" s="602"/>
      <c r="AC16" s="602"/>
      <c r="AD16" s="602"/>
      <c r="AE16" s="602"/>
      <c r="AF16" s="602"/>
      <c r="AG16" s="602"/>
      <c r="AH16" s="602"/>
      <c r="AI16" s="602"/>
      <c r="AJ16" s="602"/>
      <c r="AK16" s="602"/>
      <c r="AL16" s="602"/>
      <c r="AM16" s="602"/>
      <c r="AN16" s="602"/>
      <c r="AO16" s="602"/>
      <c r="AP16" s="602"/>
      <c r="AQ16" s="602"/>
      <c r="AR16" s="602"/>
      <c r="AS16" s="602"/>
      <c r="AT16" s="602"/>
      <c r="AU16" s="602"/>
      <c r="AV16" s="602"/>
      <c r="AW16" s="602"/>
      <c r="AX16" s="602"/>
      <c r="AY16" s="602"/>
      <c r="AZ16" s="602"/>
      <c r="BA16" s="602"/>
      <c r="BB16" s="602"/>
      <c r="BC16" s="602"/>
      <c r="BD16" s="602"/>
      <c r="BE16" s="602"/>
      <c r="BF16" s="602"/>
      <c r="BG16" s="602"/>
    </row>
    <row r="17" spans="12:59" s="254" customFormat="1">
      <c r="L17" s="602"/>
      <c r="M17" s="602"/>
      <c r="N17" s="602"/>
      <c r="O17" s="602"/>
      <c r="P17" s="602"/>
      <c r="Q17" s="602"/>
      <c r="R17" s="602"/>
      <c r="S17" s="602"/>
      <c r="T17" s="602"/>
      <c r="U17" s="602"/>
      <c r="V17" s="602"/>
      <c r="W17" s="602"/>
      <c r="X17" s="602"/>
      <c r="Y17" s="602"/>
      <c r="Z17" s="602"/>
      <c r="AA17" s="602"/>
      <c r="AB17" s="602"/>
      <c r="AC17" s="602"/>
      <c r="AD17" s="602"/>
      <c r="AE17" s="602"/>
      <c r="AF17" s="602"/>
      <c r="AG17" s="602"/>
      <c r="AH17" s="602"/>
      <c r="AI17" s="602"/>
      <c r="AJ17" s="602"/>
      <c r="AK17" s="602"/>
      <c r="AL17" s="602"/>
      <c r="AM17" s="602"/>
      <c r="AN17" s="602"/>
      <c r="AO17" s="602"/>
      <c r="AP17" s="602"/>
      <c r="AQ17" s="602"/>
      <c r="AR17" s="602"/>
      <c r="AS17" s="602"/>
      <c r="AT17" s="602"/>
      <c r="AU17" s="602"/>
      <c r="AV17" s="602"/>
      <c r="AW17" s="602"/>
      <c r="AX17" s="602"/>
      <c r="AY17" s="602"/>
      <c r="AZ17" s="602"/>
      <c r="BA17" s="602"/>
      <c r="BB17" s="602"/>
      <c r="BC17" s="602"/>
      <c r="BD17" s="602"/>
      <c r="BE17" s="602"/>
      <c r="BF17" s="602"/>
      <c r="BG17" s="602"/>
    </row>
    <row r="18" spans="12:59" s="254" customFormat="1">
      <c r="L18" s="602"/>
      <c r="M18" s="602"/>
      <c r="N18" s="602"/>
      <c r="O18" s="602"/>
      <c r="P18" s="602"/>
      <c r="Q18" s="602"/>
      <c r="R18" s="602"/>
      <c r="S18" s="602"/>
      <c r="T18" s="602"/>
      <c r="U18" s="602"/>
      <c r="V18" s="602"/>
      <c r="W18" s="602"/>
      <c r="X18" s="602"/>
      <c r="Y18" s="602"/>
      <c r="Z18" s="602"/>
      <c r="AA18" s="602"/>
      <c r="AB18" s="602"/>
      <c r="AC18" s="602"/>
      <c r="AD18" s="602"/>
      <c r="AE18" s="602"/>
      <c r="AF18" s="602"/>
      <c r="AG18" s="602"/>
      <c r="AH18" s="602"/>
      <c r="AI18" s="602"/>
      <c r="AJ18" s="602"/>
      <c r="AK18" s="602"/>
      <c r="AL18" s="602"/>
      <c r="AM18" s="602"/>
      <c r="AN18" s="602"/>
      <c r="AO18" s="602"/>
      <c r="AP18" s="602"/>
      <c r="AQ18" s="602"/>
      <c r="AR18" s="602"/>
      <c r="AS18" s="602"/>
      <c r="AT18" s="602"/>
      <c r="AU18" s="602"/>
      <c r="AV18" s="602"/>
      <c r="AW18" s="602"/>
      <c r="AX18" s="602"/>
      <c r="AY18" s="602"/>
      <c r="AZ18" s="602"/>
      <c r="BA18" s="602"/>
      <c r="BB18" s="602"/>
      <c r="BC18" s="602"/>
      <c r="BD18" s="602"/>
      <c r="BE18" s="602"/>
      <c r="BF18" s="602"/>
      <c r="BG18" s="602"/>
    </row>
    <row r="19" spans="12:59" s="254" customFormat="1">
      <c r="L19" s="602"/>
      <c r="M19" s="602"/>
      <c r="N19" s="602"/>
      <c r="O19" s="602"/>
      <c r="P19" s="602"/>
      <c r="Q19" s="602"/>
      <c r="R19" s="602"/>
      <c r="S19" s="602"/>
      <c r="T19" s="602"/>
      <c r="U19" s="602"/>
      <c r="V19" s="602"/>
      <c r="W19" s="602"/>
      <c r="X19" s="602"/>
      <c r="Y19" s="602"/>
      <c r="Z19" s="602"/>
      <c r="AA19" s="602"/>
      <c r="AB19" s="602"/>
      <c r="AC19" s="602"/>
      <c r="AD19" s="602"/>
      <c r="AE19" s="602"/>
      <c r="AF19" s="602"/>
      <c r="AG19" s="602"/>
      <c r="AH19" s="602"/>
      <c r="AI19" s="602"/>
      <c r="AJ19" s="602"/>
      <c r="AK19" s="602"/>
      <c r="AL19" s="602"/>
      <c r="AM19" s="602"/>
      <c r="AN19" s="602"/>
      <c r="AO19" s="602"/>
      <c r="AP19" s="602"/>
      <c r="AQ19" s="602"/>
      <c r="AR19" s="602"/>
      <c r="AS19" s="602"/>
      <c r="AT19" s="602"/>
      <c r="AU19" s="602"/>
      <c r="AV19" s="602"/>
      <c r="AW19" s="602"/>
      <c r="AX19" s="602"/>
      <c r="AY19" s="602"/>
      <c r="AZ19" s="602"/>
      <c r="BA19" s="602"/>
      <c r="BB19" s="602"/>
      <c r="BC19" s="602"/>
      <c r="BD19" s="602"/>
      <c r="BE19" s="602"/>
      <c r="BF19" s="602"/>
      <c r="BG19" s="602"/>
    </row>
    <row r="20" spans="12:59" s="254" customFormat="1">
      <c r="L20" s="602"/>
      <c r="M20" s="602"/>
      <c r="N20" s="602"/>
      <c r="O20" s="602"/>
      <c r="P20" s="602"/>
      <c r="Q20" s="602"/>
      <c r="R20" s="602"/>
      <c r="S20" s="602"/>
      <c r="T20" s="602"/>
      <c r="U20" s="602"/>
      <c r="V20" s="602"/>
      <c r="W20" s="602"/>
      <c r="X20" s="602"/>
      <c r="Y20" s="602"/>
      <c r="Z20" s="602"/>
      <c r="AA20" s="602"/>
      <c r="AB20" s="602"/>
      <c r="AC20" s="602"/>
      <c r="AD20" s="602"/>
      <c r="AE20" s="602"/>
      <c r="AF20" s="602"/>
      <c r="AG20" s="602"/>
      <c r="AH20" s="602"/>
      <c r="AI20" s="602"/>
      <c r="AJ20" s="602"/>
      <c r="AK20" s="602"/>
      <c r="AL20" s="602"/>
      <c r="AM20" s="602"/>
      <c r="AN20" s="602"/>
      <c r="AO20" s="602"/>
      <c r="AP20" s="602"/>
      <c r="AQ20" s="602"/>
      <c r="AR20" s="602"/>
      <c r="AS20" s="602"/>
      <c r="AT20" s="602"/>
      <c r="AU20" s="602"/>
      <c r="AV20" s="602"/>
      <c r="AW20" s="602"/>
      <c r="AX20" s="602"/>
      <c r="AY20" s="602"/>
      <c r="AZ20" s="602"/>
      <c r="BA20" s="602"/>
      <c r="BB20" s="602"/>
      <c r="BC20" s="602"/>
      <c r="BD20" s="602"/>
      <c r="BE20" s="602"/>
      <c r="BF20" s="602"/>
      <c r="BG20" s="602"/>
    </row>
    <row r="21" spans="12:59" s="254" customFormat="1">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2"/>
      <c r="AY21" s="602"/>
      <c r="AZ21" s="602"/>
      <c r="BA21" s="602"/>
      <c r="BB21" s="602"/>
      <c r="BC21" s="602"/>
      <c r="BD21" s="602"/>
      <c r="BE21" s="602"/>
      <c r="BF21" s="602"/>
      <c r="BG21" s="602"/>
    </row>
    <row r="22" spans="12:59" s="254" customFormat="1">
      <c r="L22" s="602"/>
      <c r="M22" s="602"/>
      <c r="N22" s="602"/>
      <c r="O22" s="602"/>
      <c r="P22" s="602"/>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2"/>
      <c r="AO22" s="602"/>
      <c r="AP22" s="602"/>
      <c r="AQ22" s="602"/>
      <c r="AR22" s="602"/>
      <c r="AS22" s="602"/>
      <c r="AT22" s="602"/>
      <c r="AU22" s="602"/>
      <c r="AV22" s="602"/>
      <c r="AW22" s="602"/>
      <c r="AX22" s="602"/>
      <c r="AY22" s="602"/>
      <c r="AZ22" s="602"/>
      <c r="BA22" s="602"/>
      <c r="BB22" s="602"/>
      <c r="BC22" s="602"/>
      <c r="BD22" s="602"/>
      <c r="BE22" s="602"/>
      <c r="BF22" s="602"/>
      <c r="BG22" s="602"/>
    </row>
    <row r="23" spans="12:59" s="254" customFormat="1">
      <c r="L23" s="602"/>
      <c r="M23" s="602"/>
      <c r="N23" s="602"/>
      <c r="O23" s="602"/>
      <c r="P23" s="602"/>
      <c r="Q23" s="602"/>
      <c r="R23" s="602"/>
      <c r="S23" s="602"/>
      <c r="T23" s="602"/>
      <c r="U23" s="602"/>
      <c r="V23" s="602"/>
      <c r="W23" s="602"/>
      <c r="X23" s="602"/>
      <c r="Y23" s="602"/>
      <c r="Z23" s="602"/>
      <c r="AA23" s="602"/>
      <c r="AB23" s="602"/>
      <c r="AC23" s="602"/>
      <c r="AD23" s="602"/>
      <c r="AE23" s="602"/>
      <c r="AF23" s="602"/>
      <c r="AG23" s="602"/>
      <c r="AH23" s="602"/>
      <c r="AI23" s="602"/>
      <c r="AJ23" s="602"/>
      <c r="AK23" s="602"/>
      <c r="AL23" s="602"/>
      <c r="AM23" s="602"/>
      <c r="AN23" s="602"/>
      <c r="AO23" s="602"/>
      <c r="AP23" s="602"/>
      <c r="AQ23" s="602"/>
      <c r="AR23" s="602"/>
      <c r="AS23" s="602"/>
      <c r="AT23" s="602"/>
      <c r="AU23" s="602"/>
      <c r="AV23" s="602"/>
      <c r="AW23" s="602"/>
      <c r="AX23" s="602"/>
      <c r="AY23" s="602"/>
      <c r="AZ23" s="602"/>
      <c r="BA23" s="602"/>
      <c r="BB23" s="602"/>
      <c r="BC23" s="602"/>
      <c r="BD23" s="602"/>
      <c r="BE23" s="602"/>
      <c r="BF23" s="602"/>
      <c r="BG23" s="602"/>
    </row>
    <row r="24" spans="12:59" s="254" customFormat="1">
      <c r="L24" s="602"/>
      <c r="M24" s="602"/>
      <c r="N24" s="602"/>
      <c r="O24" s="602"/>
      <c r="P24" s="602"/>
      <c r="Q24" s="602"/>
      <c r="R24" s="602"/>
      <c r="S24" s="602"/>
      <c r="T24" s="602"/>
      <c r="U24" s="602"/>
      <c r="V24" s="602"/>
      <c r="W24" s="602"/>
      <c r="X24" s="602"/>
      <c r="Y24" s="602"/>
      <c r="Z24" s="602"/>
      <c r="AA24" s="602"/>
      <c r="AB24" s="602"/>
      <c r="AC24" s="602"/>
      <c r="AD24" s="602"/>
      <c r="AE24" s="602"/>
      <c r="AF24" s="602"/>
      <c r="AG24" s="602"/>
      <c r="AH24" s="602"/>
      <c r="AI24" s="602"/>
      <c r="AJ24" s="602"/>
      <c r="AK24" s="602"/>
      <c r="AL24" s="602"/>
      <c r="AM24" s="602"/>
      <c r="AN24" s="602"/>
      <c r="AO24" s="602"/>
      <c r="AP24" s="602"/>
      <c r="AQ24" s="602"/>
      <c r="AR24" s="602"/>
      <c r="AS24" s="602"/>
      <c r="AT24" s="602"/>
      <c r="AU24" s="602"/>
      <c r="AV24" s="602"/>
      <c r="AW24" s="602"/>
      <c r="AX24" s="602"/>
      <c r="AY24" s="602"/>
      <c r="AZ24" s="602"/>
      <c r="BA24" s="602"/>
      <c r="BB24" s="602"/>
      <c r="BC24" s="602"/>
      <c r="BD24" s="602"/>
      <c r="BE24" s="602"/>
      <c r="BF24" s="602"/>
      <c r="BG24" s="602"/>
    </row>
    <row r="25" spans="12:59" s="254" customFormat="1">
      <c r="L25" s="602"/>
      <c r="M25" s="602"/>
      <c r="N25" s="602"/>
      <c r="O25" s="602"/>
      <c r="P25" s="602"/>
      <c r="Q25" s="602"/>
      <c r="R25" s="602"/>
      <c r="S25" s="602"/>
      <c r="T25" s="602"/>
      <c r="U25" s="602"/>
      <c r="V25" s="602"/>
      <c r="W25" s="602"/>
      <c r="X25" s="602"/>
      <c r="Y25" s="602"/>
      <c r="Z25" s="602"/>
      <c r="AA25" s="602"/>
      <c r="AB25" s="602"/>
      <c r="AC25" s="602"/>
      <c r="AD25" s="602"/>
      <c r="AE25" s="602"/>
      <c r="AF25" s="602"/>
      <c r="AG25" s="602"/>
      <c r="AH25" s="602"/>
      <c r="AI25" s="602"/>
      <c r="AJ25" s="602"/>
      <c r="AK25" s="602"/>
      <c r="AL25" s="602"/>
      <c r="AM25" s="602"/>
      <c r="AN25" s="602"/>
      <c r="AO25" s="602"/>
      <c r="AP25" s="602"/>
      <c r="AQ25" s="602"/>
      <c r="AR25" s="602"/>
      <c r="AS25" s="602"/>
      <c r="AT25" s="602"/>
      <c r="AU25" s="602"/>
      <c r="AV25" s="602"/>
      <c r="AW25" s="602"/>
      <c r="AX25" s="602"/>
      <c r="AY25" s="602"/>
      <c r="AZ25" s="602"/>
      <c r="BA25" s="602"/>
      <c r="BB25" s="602"/>
      <c r="BC25" s="602"/>
      <c r="BD25" s="602"/>
      <c r="BE25" s="602"/>
      <c r="BF25" s="602"/>
      <c r="BG25" s="602"/>
    </row>
    <row r="26" spans="12:59" s="254" customFormat="1">
      <c r="L26" s="602"/>
      <c r="M26" s="602"/>
      <c r="N26" s="602"/>
      <c r="O26" s="602"/>
      <c r="P26" s="602"/>
      <c r="Q26" s="602"/>
      <c r="R26" s="602"/>
      <c r="S26" s="602"/>
      <c r="T26" s="602"/>
      <c r="U26" s="602"/>
      <c r="V26" s="602"/>
      <c r="W26" s="602"/>
      <c r="X26" s="602"/>
      <c r="Y26" s="602"/>
      <c r="Z26" s="602"/>
      <c r="AA26" s="602"/>
      <c r="AB26" s="602"/>
      <c r="AC26" s="602"/>
      <c r="AD26" s="602"/>
      <c r="AE26" s="602"/>
      <c r="AF26" s="602"/>
      <c r="AG26" s="602"/>
      <c r="AH26" s="602"/>
      <c r="AI26" s="602"/>
      <c r="AJ26" s="602"/>
      <c r="AK26" s="602"/>
      <c r="AL26" s="602"/>
      <c r="AM26" s="602"/>
      <c r="AN26" s="602"/>
      <c r="AO26" s="602"/>
      <c r="AP26" s="602"/>
      <c r="AQ26" s="602"/>
      <c r="AR26" s="602"/>
      <c r="AS26" s="602"/>
      <c r="AT26" s="602"/>
      <c r="AU26" s="602"/>
      <c r="AV26" s="602"/>
      <c r="AW26" s="602"/>
      <c r="AX26" s="602"/>
      <c r="AY26" s="602"/>
      <c r="AZ26" s="602"/>
      <c r="BA26" s="602"/>
      <c r="BB26" s="602"/>
      <c r="BC26" s="602"/>
      <c r="BD26" s="602"/>
      <c r="BE26" s="602"/>
      <c r="BF26" s="602"/>
      <c r="BG26" s="602"/>
    </row>
    <row r="27" spans="12:59" s="254" customFormat="1">
      <c r="L27" s="602"/>
      <c r="M27" s="602"/>
      <c r="N27" s="602"/>
      <c r="O27" s="602"/>
      <c r="P27" s="602"/>
      <c r="Q27" s="602"/>
      <c r="R27" s="602"/>
      <c r="S27" s="602"/>
      <c r="T27" s="602"/>
      <c r="U27" s="602"/>
      <c r="V27" s="602"/>
      <c r="W27" s="602"/>
      <c r="X27" s="602"/>
      <c r="Y27" s="602"/>
      <c r="Z27" s="602"/>
      <c r="AA27" s="602"/>
      <c r="AB27" s="602"/>
      <c r="AC27" s="602"/>
      <c r="AD27" s="602"/>
      <c r="AE27" s="602"/>
      <c r="AF27" s="602"/>
      <c r="AG27" s="602"/>
      <c r="AH27" s="602"/>
      <c r="AI27" s="602"/>
      <c r="AJ27" s="602"/>
      <c r="AK27" s="602"/>
      <c r="AL27" s="602"/>
      <c r="AM27" s="602"/>
      <c r="AN27" s="602"/>
      <c r="AO27" s="602"/>
      <c r="AP27" s="602"/>
      <c r="AQ27" s="602"/>
      <c r="AR27" s="602"/>
      <c r="AS27" s="602"/>
      <c r="AT27" s="602"/>
      <c r="AU27" s="602"/>
      <c r="AV27" s="602"/>
      <c r="AW27" s="602"/>
      <c r="AX27" s="602"/>
      <c r="AY27" s="602"/>
      <c r="AZ27" s="602"/>
      <c r="BA27" s="602"/>
      <c r="BB27" s="602"/>
      <c r="BC27" s="602"/>
      <c r="BD27" s="602"/>
      <c r="BE27" s="602"/>
      <c r="BF27" s="602"/>
      <c r="BG27" s="602"/>
    </row>
    <row r="28" spans="12:59" s="254" customFormat="1">
      <c r="L28" s="602"/>
      <c r="M28" s="602"/>
      <c r="N28" s="602"/>
      <c r="O28" s="602"/>
      <c r="P28" s="602"/>
      <c r="Q28" s="602"/>
      <c r="R28" s="602"/>
      <c r="S28" s="602"/>
      <c r="T28" s="602"/>
      <c r="U28" s="602"/>
      <c r="V28" s="602"/>
      <c r="W28" s="602"/>
      <c r="X28" s="602"/>
      <c r="Y28" s="602"/>
      <c r="Z28" s="602"/>
      <c r="AA28" s="602"/>
      <c r="AB28" s="602"/>
      <c r="AC28" s="602"/>
      <c r="AD28" s="602"/>
      <c r="AE28" s="602"/>
      <c r="AF28" s="602"/>
      <c r="AG28" s="602"/>
      <c r="AH28" s="602"/>
      <c r="AI28" s="602"/>
      <c r="AJ28" s="602"/>
      <c r="AK28" s="602"/>
      <c r="AL28" s="602"/>
      <c r="AM28" s="602"/>
      <c r="AN28" s="602"/>
      <c r="AO28" s="602"/>
      <c r="AP28" s="602"/>
      <c r="AQ28" s="602"/>
      <c r="AR28" s="602"/>
      <c r="AS28" s="602"/>
      <c r="AT28" s="602"/>
      <c r="AU28" s="602"/>
      <c r="AV28" s="602"/>
      <c r="AW28" s="602"/>
      <c r="AX28" s="602"/>
      <c r="AY28" s="602"/>
      <c r="AZ28" s="602"/>
      <c r="BA28" s="602"/>
      <c r="BB28" s="602"/>
      <c r="BC28" s="602"/>
      <c r="BD28" s="602"/>
      <c r="BE28" s="602"/>
      <c r="BF28" s="602"/>
      <c r="BG28" s="602"/>
    </row>
    <row r="29" spans="12:59" s="254" customFormat="1">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602"/>
      <c r="AI29" s="602"/>
      <c r="AJ29" s="602"/>
      <c r="AK29" s="602"/>
      <c r="AL29" s="602"/>
      <c r="AM29" s="602"/>
      <c r="AN29" s="602"/>
      <c r="AO29" s="602"/>
      <c r="AP29" s="602"/>
      <c r="AQ29" s="602"/>
      <c r="AR29" s="602"/>
      <c r="AS29" s="602"/>
      <c r="AT29" s="602"/>
      <c r="AU29" s="602"/>
      <c r="AV29" s="602"/>
      <c r="AW29" s="602"/>
      <c r="AX29" s="602"/>
      <c r="AY29" s="602"/>
      <c r="AZ29" s="602"/>
      <c r="BA29" s="602"/>
      <c r="BB29" s="602"/>
      <c r="BC29" s="602"/>
      <c r="BD29" s="602"/>
      <c r="BE29" s="602"/>
      <c r="BF29" s="602"/>
      <c r="BG29" s="602"/>
    </row>
    <row r="30" spans="12:59" s="254" customFormat="1">
      <c r="L30" s="602"/>
      <c r="M30" s="602"/>
      <c r="N30" s="602"/>
      <c r="O30" s="602"/>
      <c r="P30" s="602"/>
      <c r="Q30" s="602"/>
      <c r="R30" s="602"/>
      <c r="S30" s="602"/>
      <c r="T30" s="602"/>
      <c r="U30" s="602"/>
      <c r="V30" s="602"/>
      <c r="W30" s="602"/>
      <c r="X30" s="602"/>
      <c r="Y30" s="602"/>
      <c r="Z30" s="602"/>
      <c r="AA30" s="602"/>
      <c r="AB30" s="602"/>
      <c r="AC30" s="602"/>
      <c r="AD30" s="602"/>
      <c r="AE30" s="602"/>
      <c r="AF30" s="602"/>
      <c r="AG30" s="602"/>
      <c r="AH30" s="602"/>
      <c r="AI30" s="602"/>
      <c r="AJ30" s="602"/>
      <c r="AK30" s="602"/>
      <c r="AL30" s="602"/>
      <c r="AM30" s="602"/>
      <c r="AN30" s="602"/>
      <c r="AO30" s="602"/>
      <c r="AP30" s="602"/>
      <c r="AQ30" s="602"/>
      <c r="AR30" s="602"/>
      <c r="AS30" s="602"/>
      <c r="AT30" s="602"/>
      <c r="AU30" s="602"/>
      <c r="AV30" s="602"/>
      <c r="AW30" s="602"/>
      <c r="AX30" s="602"/>
      <c r="AY30" s="602"/>
      <c r="AZ30" s="602"/>
      <c r="BA30" s="602"/>
      <c r="BB30" s="602"/>
      <c r="BC30" s="602"/>
      <c r="BD30" s="602"/>
      <c r="BE30" s="602"/>
      <c r="BF30" s="602"/>
      <c r="BG30" s="602"/>
    </row>
    <row r="31" spans="12:59" s="254" customFormat="1">
      <c r="L31" s="602"/>
      <c r="M31" s="602"/>
      <c r="N31" s="602"/>
      <c r="O31" s="602"/>
      <c r="P31" s="602"/>
      <c r="Q31" s="602"/>
      <c r="R31" s="602"/>
      <c r="S31" s="602"/>
      <c r="T31" s="602"/>
      <c r="U31" s="602"/>
      <c r="V31" s="602"/>
      <c r="W31" s="602"/>
      <c r="X31" s="602"/>
      <c r="Y31" s="602"/>
      <c r="Z31" s="602"/>
      <c r="AA31" s="602"/>
      <c r="AB31" s="602"/>
      <c r="AC31" s="602"/>
      <c r="AD31" s="602"/>
      <c r="AE31" s="602"/>
      <c r="AF31" s="602"/>
      <c r="AG31" s="602"/>
      <c r="AH31" s="602"/>
      <c r="AI31" s="602"/>
      <c r="AJ31" s="602"/>
      <c r="AK31" s="602"/>
      <c r="AL31" s="602"/>
      <c r="AM31" s="602"/>
      <c r="AN31" s="602"/>
      <c r="AO31" s="602"/>
      <c r="AP31" s="602"/>
      <c r="AQ31" s="602"/>
      <c r="AR31" s="602"/>
      <c r="AS31" s="602"/>
      <c r="AT31" s="602"/>
      <c r="AU31" s="602"/>
      <c r="AV31" s="602"/>
      <c r="AW31" s="602"/>
      <c r="AX31" s="602"/>
      <c r="AY31" s="602"/>
      <c r="AZ31" s="602"/>
      <c r="BA31" s="602"/>
      <c r="BB31" s="602"/>
      <c r="BC31" s="602"/>
      <c r="BD31" s="602"/>
      <c r="BE31" s="602"/>
      <c r="BF31" s="602"/>
      <c r="BG31" s="602"/>
    </row>
    <row r="32" spans="12:59" s="254" customFormat="1">
      <c r="L32" s="602"/>
      <c r="M32" s="602"/>
      <c r="N32" s="602"/>
      <c r="O32" s="602"/>
      <c r="P32" s="602"/>
      <c r="Q32" s="602"/>
      <c r="R32" s="602"/>
      <c r="S32" s="602"/>
      <c r="T32" s="602"/>
      <c r="U32" s="602"/>
      <c r="V32" s="602"/>
      <c r="W32" s="602"/>
      <c r="X32" s="602"/>
      <c r="Y32" s="602"/>
      <c r="Z32" s="602"/>
      <c r="AA32" s="602"/>
      <c r="AB32" s="602"/>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c r="AZ32" s="602"/>
      <c r="BA32" s="602"/>
      <c r="BB32" s="602"/>
      <c r="BC32" s="602"/>
      <c r="BD32" s="602"/>
      <c r="BE32" s="602"/>
      <c r="BF32" s="602"/>
      <c r="BG32" s="602"/>
    </row>
    <row r="33" spans="12:59" s="254" customFormat="1">
      <c r="L33" s="602"/>
      <c r="M33" s="602"/>
      <c r="N33" s="602"/>
      <c r="O33" s="602"/>
      <c r="P33" s="602"/>
      <c r="Q33" s="602"/>
      <c r="R33" s="602"/>
      <c r="S33" s="602"/>
      <c r="T33" s="602"/>
      <c r="U33" s="602"/>
      <c r="V33" s="602"/>
      <c r="W33" s="602"/>
      <c r="X33" s="602"/>
      <c r="Y33" s="602"/>
      <c r="Z33" s="602"/>
      <c r="AA33" s="602"/>
      <c r="AB33" s="602"/>
      <c r="AC33" s="602"/>
      <c r="AD33" s="602"/>
      <c r="AE33" s="602"/>
      <c r="AF33" s="602"/>
      <c r="AG33" s="602"/>
      <c r="AH33" s="602"/>
      <c r="AI33" s="602"/>
      <c r="AJ33" s="602"/>
      <c r="AK33" s="602"/>
      <c r="AL33" s="602"/>
      <c r="AM33" s="602"/>
      <c r="AN33" s="602"/>
      <c r="AO33" s="602"/>
      <c r="AP33" s="602"/>
      <c r="AQ33" s="602"/>
      <c r="AR33" s="602"/>
      <c r="AS33" s="602"/>
      <c r="AT33" s="602"/>
      <c r="AU33" s="602"/>
      <c r="AV33" s="602"/>
      <c r="AW33" s="602"/>
      <c r="AX33" s="602"/>
      <c r="AY33" s="602"/>
      <c r="AZ33" s="602"/>
      <c r="BA33" s="602"/>
      <c r="BB33" s="602"/>
      <c r="BC33" s="602"/>
      <c r="BD33" s="602"/>
      <c r="BE33" s="602"/>
      <c r="BF33" s="602"/>
      <c r="BG33" s="602"/>
    </row>
    <row r="34" spans="12:59" s="254" customFormat="1">
      <c r="L34" s="602"/>
      <c r="M34" s="602"/>
      <c r="N34" s="602"/>
      <c r="O34" s="602"/>
      <c r="P34" s="602"/>
      <c r="Q34" s="602"/>
      <c r="R34" s="602"/>
      <c r="S34" s="602"/>
      <c r="T34" s="602"/>
      <c r="U34" s="602"/>
      <c r="V34" s="602"/>
      <c r="W34" s="602"/>
      <c r="X34" s="602"/>
      <c r="Y34" s="602"/>
      <c r="Z34" s="602"/>
      <c r="AA34" s="602"/>
      <c r="AB34" s="602"/>
      <c r="AC34" s="602"/>
      <c r="AD34" s="602"/>
      <c r="AE34" s="602"/>
      <c r="AF34" s="602"/>
      <c r="AG34" s="602"/>
      <c r="AH34" s="602"/>
      <c r="AI34" s="602"/>
      <c r="AJ34" s="602"/>
      <c r="AK34" s="602"/>
      <c r="AL34" s="602"/>
      <c r="AM34" s="602"/>
      <c r="AN34" s="602"/>
      <c r="AO34" s="602"/>
      <c r="AP34" s="602"/>
      <c r="AQ34" s="602"/>
      <c r="AR34" s="602"/>
      <c r="AS34" s="602"/>
      <c r="AT34" s="602"/>
      <c r="AU34" s="602"/>
      <c r="AV34" s="602"/>
      <c r="AW34" s="602"/>
      <c r="AX34" s="602"/>
      <c r="AY34" s="602"/>
      <c r="AZ34" s="602"/>
      <c r="BA34" s="602"/>
      <c r="BB34" s="602"/>
      <c r="BC34" s="602"/>
      <c r="BD34" s="602"/>
      <c r="BE34" s="602"/>
      <c r="BF34" s="602"/>
      <c r="BG34" s="602"/>
    </row>
    <row r="205" ht="23.25" customHeight="1"/>
    <row r="206" s="476" customFormat="1"/>
    <row r="207" s="476" customFormat="1"/>
    <row r="208" s="476" customFormat="1"/>
    <row r="209" s="476" customFormat="1"/>
    <row r="210" s="476" customFormat="1"/>
    <row r="211" s="476" customFormat="1"/>
    <row r="212" s="476" customFormat="1"/>
    <row r="213" s="476" customFormat="1"/>
    <row r="214" s="476" customFormat="1"/>
    <row r="215" s="476" customFormat="1"/>
    <row r="216" s="476" customFormat="1"/>
    <row r="217" s="476" customFormat="1"/>
    <row r="218" s="476" customFormat="1"/>
    <row r="219" s="476" customFormat="1"/>
    <row r="220" s="476" customFormat="1"/>
    <row r="221" s="476" customFormat="1"/>
    <row r="222" s="476" customFormat="1"/>
    <row r="223" s="476" customFormat="1"/>
    <row r="224" s="476" customFormat="1"/>
    <row r="225" s="476" customFormat="1"/>
    <row r="226" s="476" customFormat="1"/>
    <row r="227" s="476" customFormat="1"/>
    <row r="228" s="476" customFormat="1"/>
    <row r="229" s="476" customFormat="1"/>
    <row r="230" s="476" customFormat="1"/>
    <row r="231" s="476" customFormat="1"/>
    <row r="232" s="476" customFormat="1"/>
    <row r="233" s="476" customFormat="1"/>
    <row r="234" s="476" customFormat="1"/>
    <row r="235" s="476" customFormat="1"/>
    <row r="236" s="476" customFormat="1"/>
    <row r="237" s="476" customFormat="1"/>
    <row r="238" s="476" customFormat="1"/>
    <row r="239" s="476" customFormat="1"/>
    <row r="240" s="476" customFormat="1"/>
    <row r="241" s="476" customFormat="1"/>
    <row r="242" s="476" customFormat="1"/>
    <row r="243" s="476" customFormat="1"/>
    <row r="244" s="476" customFormat="1"/>
    <row r="245" s="476" customFormat="1"/>
    <row r="246" s="476" customFormat="1"/>
    <row r="247" s="476" customFormat="1"/>
    <row r="248" s="476" customFormat="1"/>
    <row r="249" s="476" customFormat="1"/>
    <row r="250" s="476" customFormat="1"/>
    <row r="251" s="476" customFormat="1"/>
    <row r="252" s="476" customFormat="1"/>
    <row r="253" s="476" customFormat="1"/>
    <row r="254" s="476" customFormat="1"/>
    <row r="255" s="476" customFormat="1"/>
    <row r="256" s="476" customFormat="1"/>
    <row r="257" s="476" customFormat="1"/>
    <row r="258" s="476" customFormat="1"/>
    <row r="259" s="476" customFormat="1"/>
    <row r="260" s="476" customFormat="1"/>
    <row r="261" s="476" customFormat="1"/>
    <row r="262" s="476" customFormat="1"/>
    <row r="263" s="476" customFormat="1"/>
    <row r="264" s="476" customFormat="1"/>
    <row r="265" s="476" customFormat="1"/>
    <row r="266" s="476" customFormat="1"/>
    <row r="267" s="476" customFormat="1"/>
    <row r="268" s="476" customFormat="1"/>
    <row r="269" s="476" customFormat="1"/>
    <row r="270" s="476" customFormat="1"/>
    <row r="271" s="476" customFormat="1"/>
    <row r="272" s="476" customFormat="1"/>
    <row r="273" s="476" customFormat="1"/>
    <row r="274" s="476" customFormat="1"/>
    <row r="275" s="476" customFormat="1"/>
    <row r="276" s="476" customFormat="1"/>
    <row r="277" s="476" customFormat="1"/>
    <row r="278" s="476" customFormat="1"/>
    <row r="279" s="476" customFormat="1"/>
    <row r="280" s="476" customFormat="1"/>
    <row r="281" s="476" customFormat="1"/>
    <row r="282" s="476" customFormat="1"/>
    <row r="283" s="476" customFormat="1"/>
    <row r="284" s="476" customFormat="1"/>
    <row r="285" s="476" customFormat="1"/>
    <row r="286" s="476" customFormat="1"/>
    <row r="287" s="476" customFormat="1"/>
    <row r="288" s="476" customFormat="1"/>
    <row r="289" s="476" customFormat="1"/>
    <row r="290" s="476" customFormat="1"/>
    <row r="291" s="476" customFormat="1"/>
    <row r="292" s="476" customFormat="1"/>
    <row r="293" s="476" customFormat="1"/>
    <row r="294" s="476" customFormat="1"/>
    <row r="295" s="476" customFormat="1"/>
    <row r="296" s="476" customFormat="1"/>
    <row r="297" s="476" customFormat="1"/>
    <row r="298" s="476" customFormat="1"/>
    <row r="299" s="476" customFormat="1"/>
    <row r="300" s="476" customFormat="1"/>
    <row r="301" s="476" customFormat="1"/>
    <row r="302" s="476" customFormat="1"/>
    <row r="303" s="476" customFormat="1"/>
    <row r="304" s="476" customFormat="1"/>
    <row r="305" s="476" customFormat="1"/>
    <row r="306" s="476" customFormat="1"/>
    <row r="307" s="476" customFormat="1"/>
    <row r="308" s="476" customFormat="1"/>
    <row r="309" s="476" customFormat="1"/>
    <row r="310" s="476" customFormat="1"/>
    <row r="311" s="476" customFormat="1"/>
    <row r="312" s="476" customFormat="1"/>
    <row r="313" s="476" customFormat="1"/>
    <row r="314" s="476" customFormat="1"/>
    <row r="315" s="476" customFormat="1"/>
    <row r="316" s="476" customFormat="1"/>
    <row r="317" s="476" customFormat="1"/>
    <row r="318" s="476" customFormat="1"/>
    <row r="319" s="476" customFormat="1"/>
    <row r="320" s="476" customFormat="1"/>
    <row r="321" s="476" customFormat="1"/>
    <row r="322" s="476" customFormat="1"/>
    <row r="323" s="476" customFormat="1"/>
    <row r="324" s="476" customFormat="1"/>
    <row r="325" s="476" customFormat="1"/>
    <row r="326" s="476" customFormat="1"/>
    <row r="327" s="476" customFormat="1"/>
    <row r="328" s="476" customFormat="1"/>
    <row r="329" s="476" customFormat="1"/>
    <row r="330" s="476" customFormat="1"/>
    <row r="331" s="476" customFormat="1"/>
    <row r="332" s="476" customFormat="1"/>
    <row r="333" s="476" customFormat="1"/>
    <row r="334" s="476" customFormat="1"/>
    <row r="335" s="476" customFormat="1"/>
    <row r="336" s="476" customFormat="1"/>
    <row r="337" s="476" customFormat="1"/>
    <row r="338" s="476" customFormat="1"/>
    <row r="339" s="476" customFormat="1"/>
    <row r="340" s="476" customFormat="1"/>
    <row r="341" s="476" customFormat="1"/>
    <row r="342" s="476" customFormat="1"/>
    <row r="343" s="476" customFormat="1"/>
    <row r="344" s="476" customFormat="1"/>
    <row r="345" s="476" customFormat="1"/>
    <row r="346" s="476" customFormat="1"/>
    <row r="347" s="476" customFormat="1"/>
    <row r="348" s="476" customFormat="1"/>
    <row r="349" s="476" customFormat="1"/>
    <row r="350" s="476" customFormat="1"/>
    <row r="351" s="476" customFormat="1"/>
    <row r="352" s="476" customFormat="1"/>
    <row r="353" s="476" customFormat="1"/>
    <row r="354" s="476" customFormat="1"/>
    <row r="355" s="476" customFormat="1"/>
    <row r="356" s="476" customFormat="1"/>
    <row r="357" s="476" customFormat="1"/>
    <row r="358" s="476" customFormat="1"/>
    <row r="359" s="476" customFormat="1"/>
    <row r="360" s="476" customFormat="1"/>
    <row r="361" s="476" customFormat="1"/>
    <row r="362" s="476" customFormat="1"/>
    <row r="363" s="476" customFormat="1"/>
    <row r="364" s="476" customFormat="1"/>
    <row r="365" s="476" customFormat="1"/>
    <row r="366" s="476" customFormat="1"/>
    <row r="367" s="476" customFormat="1"/>
    <row r="368" s="476" customFormat="1"/>
    <row r="369" s="476" customFormat="1"/>
    <row r="370" s="476" customFormat="1"/>
    <row r="371" s="476" customFormat="1"/>
    <row r="372" s="476" customFormat="1"/>
    <row r="373" s="476" customFormat="1"/>
    <row r="374" s="476" customFormat="1"/>
    <row r="375" s="476" customFormat="1"/>
    <row r="376" s="476" customFormat="1"/>
    <row r="377" s="476" customFormat="1"/>
    <row r="378" s="476" customFormat="1"/>
    <row r="379" s="476" customFormat="1"/>
    <row r="380" s="476" customFormat="1"/>
    <row r="381" s="476" customFormat="1"/>
    <row r="382" s="476" customFormat="1"/>
    <row r="383" s="476" customFormat="1"/>
    <row r="384" s="476" customFormat="1"/>
    <row r="385" s="476" customFormat="1"/>
    <row r="386" s="476" customFormat="1"/>
    <row r="387" s="476" customFormat="1"/>
    <row r="388" s="476" customFormat="1"/>
    <row r="389" s="476" customFormat="1"/>
    <row r="390" s="476" customFormat="1"/>
    <row r="391" s="476" customFormat="1"/>
    <row r="392" s="476" customFormat="1"/>
    <row r="393" s="476" customFormat="1"/>
    <row r="394" s="476" customFormat="1"/>
    <row r="395" s="476" customFormat="1"/>
    <row r="396" s="476" customFormat="1"/>
    <row r="397" s="476" customFormat="1"/>
    <row r="398" s="476" customFormat="1"/>
    <row r="399" s="476" customFormat="1"/>
    <row r="400" s="476" customFormat="1"/>
    <row r="401" s="476" customFormat="1"/>
    <row r="402" s="476" customFormat="1"/>
    <row r="403" s="476" customFormat="1"/>
    <row r="404" s="476" customFormat="1"/>
    <row r="405" s="476" customFormat="1"/>
    <row r="406" s="476" customFormat="1"/>
    <row r="407" s="476" customFormat="1"/>
    <row r="408" s="476" customFormat="1"/>
    <row r="409" s="476" customFormat="1"/>
    <row r="410" s="476" customFormat="1"/>
    <row r="411" s="476" customFormat="1"/>
    <row r="412" s="476" customFormat="1"/>
    <row r="413" s="476" customFormat="1"/>
    <row r="414" s="476" customFormat="1"/>
    <row r="415" s="476" customFormat="1"/>
    <row r="416" s="476" customFormat="1"/>
    <row r="417" s="476" customFormat="1"/>
    <row r="418" s="476" customFormat="1"/>
    <row r="419" s="476" customFormat="1"/>
    <row r="420" s="476" customFormat="1"/>
    <row r="421" s="476" customFormat="1"/>
    <row r="422" s="476" customFormat="1"/>
    <row r="423" s="476" customFormat="1"/>
    <row r="424" s="476" customFormat="1"/>
    <row r="425" s="476" customFormat="1"/>
    <row r="426" s="476" customFormat="1"/>
    <row r="427" s="476" customFormat="1"/>
    <row r="428" s="476" customFormat="1"/>
    <row r="429" s="476" customFormat="1"/>
    <row r="430" s="476" customFormat="1"/>
    <row r="431" s="476" customFormat="1"/>
    <row r="432" s="476" customFormat="1"/>
    <row r="433" s="476" customFormat="1"/>
    <row r="434" s="476" customFormat="1"/>
    <row r="435" s="476" customFormat="1"/>
    <row r="436" s="476" customFormat="1"/>
    <row r="437" s="476" customFormat="1"/>
    <row r="438" s="476" customFormat="1"/>
    <row r="439" s="476" customFormat="1"/>
    <row r="440" s="476" customFormat="1"/>
    <row r="441" s="476" customFormat="1"/>
    <row r="442" s="476" customFormat="1"/>
    <row r="443" s="476" customFormat="1"/>
    <row r="444" s="476" customFormat="1"/>
    <row r="445" s="476" customFormat="1"/>
    <row r="446" s="476" customFormat="1"/>
    <row r="447" s="476" customFormat="1"/>
    <row r="448" s="476" customFormat="1"/>
    <row r="449" s="476" customFormat="1"/>
    <row r="450" s="476" customFormat="1"/>
    <row r="451" s="476" customFormat="1"/>
    <row r="452" s="476" customFormat="1"/>
    <row r="453" s="476" customFormat="1"/>
    <row r="454" s="476" customFormat="1"/>
    <row r="455" s="476" customFormat="1"/>
    <row r="456" s="476" customFormat="1"/>
    <row r="457" s="476" customFormat="1"/>
    <row r="458" s="476" customFormat="1"/>
    <row r="459" s="476" customFormat="1"/>
    <row r="460" s="476" customFormat="1"/>
    <row r="461" s="476" customFormat="1"/>
    <row r="462" s="476" customFormat="1"/>
    <row r="463" s="476" customFormat="1"/>
    <row r="464" s="476" customFormat="1"/>
    <row r="465" s="476" customFormat="1"/>
    <row r="466" s="476" customFormat="1"/>
    <row r="467" s="476" customFormat="1"/>
    <row r="468" s="476" customFormat="1"/>
    <row r="469" s="476" customFormat="1"/>
    <row r="470" s="476" customFormat="1"/>
    <row r="471" s="476" customFormat="1"/>
    <row r="472" s="476" customFormat="1"/>
    <row r="473" s="476" customFormat="1"/>
    <row r="474" s="476" customFormat="1"/>
    <row r="475" s="476" customFormat="1"/>
    <row r="476" s="476" customFormat="1"/>
    <row r="477" s="476" customFormat="1"/>
    <row r="478" s="476" customFormat="1"/>
    <row r="479" s="476" customFormat="1"/>
    <row r="480" s="476" customFormat="1"/>
    <row r="481" s="476" customFormat="1"/>
    <row r="482" s="476" customFormat="1"/>
    <row r="483" s="476" customFormat="1"/>
    <row r="484" s="476" customFormat="1"/>
    <row r="485" s="476" customFormat="1"/>
    <row r="486" s="476" customFormat="1"/>
    <row r="487" s="476" customFormat="1"/>
    <row r="488" s="476" customFormat="1"/>
    <row r="489" s="476" customFormat="1"/>
    <row r="490" s="476" customFormat="1"/>
    <row r="491" s="476" customFormat="1"/>
    <row r="492" s="476" customFormat="1"/>
    <row r="493" s="476" customFormat="1"/>
    <row r="494" s="476" customFormat="1"/>
    <row r="495" s="476" customFormat="1"/>
    <row r="496" s="476" customFormat="1"/>
    <row r="497" s="476" customFormat="1"/>
    <row r="498" s="476" customFormat="1"/>
    <row r="499" s="476" customFormat="1"/>
    <row r="500" s="476" customFormat="1"/>
    <row r="501" s="476" customFormat="1"/>
    <row r="502" s="476" customFormat="1"/>
    <row r="503" s="476" customFormat="1"/>
    <row r="504" s="476" customFormat="1"/>
    <row r="505" s="476" customFormat="1"/>
    <row r="506" s="476" customFormat="1"/>
    <row r="507" s="476" customFormat="1"/>
    <row r="508" s="476" customFormat="1"/>
    <row r="509" s="476" customFormat="1"/>
    <row r="510" s="476" customFormat="1"/>
    <row r="511" s="476" customFormat="1"/>
    <row r="512" s="476" customFormat="1"/>
    <row r="513" s="476" customFormat="1"/>
    <row r="514" s="476" customFormat="1"/>
    <row r="515" s="476" customFormat="1"/>
    <row r="516" s="476" customFormat="1"/>
    <row r="517" s="476" customFormat="1"/>
    <row r="518" s="476" customFormat="1"/>
    <row r="519" s="476" customFormat="1"/>
    <row r="520" s="476" customFormat="1"/>
    <row r="521" s="476" customFormat="1"/>
    <row r="522" s="476" customFormat="1"/>
    <row r="523" s="476" customFormat="1"/>
    <row r="524" s="476" customFormat="1"/>
    <row r="525" s="476" customFormat="1"/>
    <row r="526" s="476" customFormat="1"/>
    <row r="527" s="476" customFormat="1"/>
    <row r="528" s="476" customFormat="1"/>
    <row r="529" s="476" customFormat="1"/>
    <row r="530" s="476" customFormat="1"/>
    <row r="531" s="476" customFormat="1"/>
    <row r="532" s="476" customFormat="1"/>
    <row r="533" s="476" customFormat="1"/>
    <row r="534" s="476" customFormat="1"/>
    <row r="535" s="476" customFormat="1"/>
    <row r="536" s="476" customFormat="1"/>
    <row r="537" s="476" customFormat="1"/>
    <row r="538" s="476" customFormat="1"/>
    <row r="539" s="476" customFormat="1"/>
    <row r="540" s="476" customFormat="1"/>
    <row r="541" s="476" customFormat="1"/>
    <row r="542" s="476" customFormat="1"/>
    <row r="543" s="476" customFormat="1"/>
    <row r="544" s="476" customFormat="1"/>
    <row r="545" s="476" customFormat="1"/>
    <row r="546" s="476" customFormat="1"/>
    <row r="547" s="476" customFormat="1"/>
    <row r="548" s="476" customFormat="1"/>
    <row r="549" s="476" customFormat="1"/>
    <row r="550" s="476" customFormat="1"/>
    <row r="551" s="476" customFormat="1"/>
    <row r="552" s="476" customFormat="1"/>
    <row r="553" s="476" customFormat="1"/>
    <row r="554" s="476" customFormat="1"/>
    <row r="555" s="476" customFormat="1"/>
    <row r="556" s="476" customFormat="1"/>
    <row r="557" s="476" customFormat="1"/>
    <row r="558" s="476" customFormat="1"/>
    <row r="559" s="476" customFormat="1"/>
    <row r="560" s="476" customFormat="1"/>
    <row r="561" s="476" customFormat="1"/>
    <row r="562" s="476" customFormat="1"/>
    <row r="563" s="476" customFormat="1"/>
    <row r="564" s="476" customFormat="1"/>
    <row r="565" s="476" customFormat="1"/>
    <row r="566" s="476" customFormat="1"/>
    <row r="567" s="476" customFormat="1"/>
    <row r="568" s="476" customFormat="1"/>
    <row r="569" s="476" customFormat="1"/>
    <row r="570" s="476" customFormat="1"/>
    <row r="571" s="476" customFormat="1"/>
    <row r="572" s="476" customFormat="1"/>
    <row r="573" s="476" customFormat="1"/>
    <row r="574" s="476" customFormat="1"/>
    <row r="575" s="476" customFormat="1"/>
    <row r="576" s="476" customFormat="1"/>
    <row r="577" s="476" customFormat="1"/>
    <row r="578" s="476" customFormat="1"/>
    <row r="579" s="476" customFormat="1"/>
    <row r="580" s="476" customFormat="1"/>
    <row r="581" s="476" customFormat="1"/>
    <row r="582" s="476" customFormat="1"/>
    <row r="583" s="476" customFormat="1"/>
    <row r="584" s="476" customFormat="1"/>
    <row r="585" s="476" customFormat="1"/>
    <row r="586" s="476" customFormat="1"/>
    <row r="587" s="476" customFormat="1"/>
    <row r="588" s="476" customFormat="1"/>
    <row r="589" s="476" customFormat="1"/>
    <row r="590" s="476" customFormat="1"/>
    <row r="591" s="476" customFormat="1"/>
    <row r="592" s="476" customFormat="1"/>
    <row r="593" s="476" customFormat="1"/>
    <row r="594" s="476" customFormat="1"/>
    <row r="595" s="476" customFormat="1"/>
    <row r="596" s="476" customFormat="1"/>
    <row r="597" s="476" customFormat="1"/>
    <row r="598" s="476" customFormat="1"/>
    <row r="599" s="476" customFormat="1"/>
    <row r="600" s="476" customFormat="1"/>
    <row r="601" s="476" customFormat="1"/>
    <row r="602" s="476" customFormat="1"/>
    <row r="603" s="476" customFormat="1"/>
    <row r="604" s="476" customFormat="1"/>
    <row r="605" s="476" customFormat="1"/>
    <row r="606" s="476" customFormat="1"/>
    <row r="607" s="476" customFormat="1"/>
    <row r="608" s="476" customFormat="1"/>
    <row r="609" s="476" customFormat="1"/>
    <row r="610" s="476" customFormat="1"/>
    <row r="611" s="476" customFormat="1"/>
    <row r="612" s="476" customFormat="1"/>
    <row r="613" s="476" customFormat="1"/>
    <row r="614" s="476" customFormat="1"/>
    <row r="615" s="476" customFormat="1"/>
    <row r="616" s="476" customFormat="1"/>
    <row r="617" s="476" customFormat="1"/>
    <row r="618" s="476" customFormat="1"/>
    <row r="619" s="476" customFormat="1"/>
    <row r="620" s="476" customFormat="1"/>
    <row r="621" s="476" customFormat="1"/>
    <row r="622" s="476" customFormat="1"/>
    <row r="623" s="476" customFormat="1"/>
    <row r="624" s="476" customFormat="1"/>
    <row r="625" s="476" customFormat="1"/>
    <row r="626" s="476" customFormat="1"/>
    <row r="627" s="476" customFormat="1"/>
    <row r="628" s="476" customFormat="1"/>
    <row r="629" s="476" customFormat="1"/>
    <row r="630" s="476" customFormat="1"/>
    <row r="631" s="476" customFormat="1"/>
    <row r="632" s="476" customFormat="1"/>
    <row r="633" s="476" customFormat="1"/>
    <row r="634" s="476" customFormat="1"/>
    <row r="635" s="476" customFormat="1"/>
    <row r="636" s="476" customFormat="1"/>
    <row r="637" s="476" customFormat="1"/>
    <row r="638" s="476" customFormat="1"/>
    <row r="639" s="476" customFormat="1"/>
    <row r="640" s="476" customFormat="1"/>
    <row r="641" s="476" customFormat="1"/>
    <row r="642" s="476" customFormat="1"/>
    <row r="643" s="476" customFormat="1"/>
    <row r="644" s="476" customFormat="1"/>
    <row r="645" s="476" customFormat="1"/>
    <row r="646" s="476" customFormat="1"/>
    <row r="647" s="476" customFormat="1"/>
    <row r="648" s="476" customFormat="1"/>
    <row r="649" s="476" customFormat="1"/>
    <row r="650" s="476" customFormat="1"/>
    <row r="651" s="476" customFormat="1"/>
    <row r="652" s="476" customFormat="1"/>
    <row r="653" s="476" customFormat="1"/>
    <row r="654" s="476" customFormat="1"/>
    <row r="655" s="476" customFormat="1"/>
    <row r="656" s="476" customFormat="1"/>
    <row r="657" s="476" customFormat="1"/>
    <row r="658" s="476" customFormat="1"/>
    <row r="659" s="476" customFormat="1"/>
    <row r="660" s="476" customFormat="1"/>
    <row r="661" s="476" customFormat="1"/>
    <row r="662" s="476" customFormat="1"/>
    <row r="663" s="476" customFormat="1"/>
    <row r="664" s="476" customFormat="1"/>
    <row r="665" s="476" customFormat="1"/>
    <row r="666" s="476" customFormat="1"/>
    <row r="667" s="476" customFormat="1"/>
    <row r="668" s="476" customFormat="1"/>
    <row r="669" s="476" customFormat="1"/>
    <row r="670" s="476" customFormat="1"/>
    <row r="671" s="476" customFormat="1"/>
    <row r="672" s="476" customFormat="1"/>
    <row r="673" s="476" customFormat="1"/>
    <row r="674" s="476" customFormat="1"/>
    <row r="675" s="476" customFormat="1"/>
    <row r="676" s="476" customFormat="1"/>
    <row r="677" s="476" customFormat="1"/>
    <row r="678" s="476" customFormat="1"/>
    <row r="679" s="476" customFormat="1"/>
    <row r="680" s="476" customFormat="1"/>
    <row r="681" s="476" customFormat="1"/>
    <row r="682" s="476" customFormat="1"/>
    <row r="683" s="476" customFormat="1"/>
    <row r="684" s="476" customFormat="1"/>
    <row r="685" s="476" customFormat="1"/>
    <row r="686" s="476" customFormat="1"/>
    <row r="687" s="476" customFormat="1"/>
    <row r="688" s="476" customFormat="1"/>
    <row r="689" s="476" customFormat="1"/>
    <row r="690" s="476" customFormat="1"/>
    <row r="691" s="476" customFormat="1"/>
    <row r="692" s="476" customFormat="1"/>
    <row r="693" s="476" customFormat="1"/>
    <row r="694" s="476" customFormat="1"/>
    <row r="695" s="476" customFormat="1"/>
    <row r="696" s="476" customFormat="1"/>
    <row r="697" s="476" customFormat="1"/>
    <row r="698" s="476" customFormat="1"/>
    <row r="699" s="476" customFormat="1"/>
    <row r="700" s="476" customFormat="1"/>
    <row r="701" s="476" customFormat="1"/>
    <row r="702" s="476" customFormat="1"/>
    <row r="703" s="476" customFormat="1"/>
    <row r="704" s="476" customFormat="1"/>
    <row r="705" s="476" customFormat="1"/>
    <row r="706" s="476" customFormat="1"/>
    <row r="707" s="476" customFormat="1"/>
    <row r="708" s="476" customFormat="1"/>
    <row r="709" s="476" customFormat="1"/>
    <row r="710" s="476" customFormat="1"/>
    <row r="711" s="476" customFormat="1"/>
    <row r="712" s="476" customFormat="1"/>
    <row r="713" s="476" customFormat="1"/>
    <row r="714" s="476" customFormat="1"/>
    <row r="715" s="476" customFormat="1"/>
    <row r="716" s="476" customFormat="1"/>
    <row r="717" s="476" customFormat="1"/>
    <row r="718" s="476" customFormat="1"/>
    <row r="719" s="476" customFormat="1"/>
    <row r="720" s="476" customFormat="1"/>
    <row r="721" s="476" customFormat="1"/>
    <row r="722" s="476" customFormat="1"/>
    <row r="723" s="476" customFormat="1"/>
    <row r="724" s="476" customFormat="1"/>
    <row r="725" s="476" customFormat="1"/>
    <row r="726" s="476" customFormat="1"/>
    <row r="727" s="476" customFormat="1"/>
    <row r="728" s="476" customFormat="1"/>
    <row r="729" s="476" customFormat="1"/>
    <row r="730" s="476" customFormat="1"/>
    <row r="731" s="476" customFormat="1"/>
    <row r="732" s="476" customFormat="1"/>
    <row r="733" s="476" customFormat="1"/>
    <row r="734" s="476" customFormat="1"/>
    <row r="735" s="476" customFormat="1"/>
    <row r="736" s="476" customFormat="1"/>
    <row r="737" s="476" customFormat="1"/>
    <row r="738" s="476" customFormat="1"/>
    <row r="739" s="476" customFormat="1"/>
    <row r="740" s="476" customFormat="1"/>
    <row r="741" s="476" customFormat="1"/>
    <row r="742" s="476" customFormat="1"/>
    <row r="743" s="476" customFormat="1"/>
    <row r="744" s="476" customFormat="1"/>
    <row r="745" s="476" customFormat="1"/>
    <row r="746" s="476" customFormat="1"/>
    <row r="747" s="476" customFormat="1"/>
    <row r="748" s="476" customFormat="1"/>
    <row r="749" s="476" customFormat="1"/>
    <row r="750" s="476" customFormat="1"/>
    <row r="751" s="476" customFormat="1"/>
    <row r="752" s="476" customFormat="1"/>
    <row r="753" s="476" customFormat="1"/>
    <row r="754" s="476" customFormat="1"/>
    <row r="755" s="476" customFormat="1"/>
    <row r="756" s="476" customFormat="1"/>
    <row r="757" s="476" customFormat="1"/>
    <row r="758" s="476" customFormat="1"/>
    <row r="759" s="476" customFormat="1"/>
    <row r="760" s="476" customFormat="1"/>
    <row r="761" s="476" customFormat="1"/>
    <row r="762" s="476" customFormat="1"/>
    <row r="763" s="476" customFormat="1"/>
    <row r="764" s="476" customFormat="1"/>
    <row r="765" s="476" customFormat="1"/>
    <row r="766" s="476" customFormat="1"/>
    <row r="767" s="476" customFormat="1"/>
    <row r="768" s="476" customFormat="1"/>
    <row r="769" s="476" customFormat="1"/>
    <row r="770" s="476" customFormat="1"/>
    <row r="771" s="476" customFormat="1"/>
    <row r="772" s="476" customFormat="1"/>
    <row r="773" s="476" customFormat="1"/>
    <row r="774" s="476" customFormat="1"/>
    <row r="775" s="476" customFormat="1"/>
    <row r="776" s="476" customFormat="1"/>
    <row r="777" s="476" customFormat="1"/>
    <row r="778" s="476" customFormat="1"/>
    <row r="779" s="476" customFormat="1"/>
    <row r="780" s="476" customFormat="1"/>
    <row r="781" s="476" customFormat="1"/>
    <row r="782" s="476" customFormat="1"/>
    <row r="783" s="476" customFormat="1"/>
    <row r="784" s="476" customFormat="1"/>
    <row r="785" s="476" customFormat="1"/>
    <row r="786" s="476" customFormat="1"/>
    <row r="787" s="476" customFormat="1"/>
    <row r="788" s="476" customFormat="1"/>
    <row r="789" s="476" customFormat="1"/>
    <row r="790" s="476" customFormat="1"/>
    <row r="791" s="476" customFormat="1"/>
    <row r="792" s="476" customFormat="1"/>
    <row r="793" s="476" customFormat="1"/>
    <row r="794" s="476" customFormat="1"/>
    <row r="795" s="476" customFormat="1"/>
    <row r="796" s="476" customFormat="1"/>
    <row r="797" s="476" customFormat="1"/>
    <row r="798" s="476" customFormat="1"/>
    <row r="799" s="476" customFormat="1"/>
    <row r="800" s="476" customFormat="1"/>
    <row r="801" s="476" customFormat="1"/>
    <row r="802" s="476" customFormat="1"/>
    <row r="803" s="476" customFormat="1"/>
    <row r="804" s="476" customFormat="1"/>
    <row r="805" s="476" customFormat="1"/>
    <row r="806" s="476" customFormat="1"/>
    <row r="807" s="476" customFormat="1"/>
    <row r="808" s="476" customFormat="1"/>
    <row r="809" s="476" customFormat="1"/>
    <row r="810" s="476" customFormat="1"/>
    <row r="811" s="476" customFormat="1"/>
    <row r="812" s="476" customFormat="1"/>
    <row r="813" s="476" customFormat="1"/>
    <row r="814" s="476" customFormat="1"/>
    <row r="815" s="476" customFormat="1"/>
    <row r="816" s="476" customFormat="1"/>
    <row r="817" s="476" customFormat="1"/>
    <row r="818" s="476" customFormat="1"/>
    <row r="819" s="476" customFormat="1"/>
    <row r="820" s="476" customFormat="1"/>
    <row r="821" s="476" customFormat="1"/>
    <row r="822" s="476" customFormat="1"/>
    <row r="823" s="476" customFormat="1"/>
    <row r="824" s="476" customFormat="1"/>
    <row r="825" s="476" customFormat="1"/>
    <row r="826" s="476" customFormat="1"/>
    <row r="827" s="476" customFormat="1"/>
    <row r="828" s="476" customFormat="1"/>
    <row r="829" s="476" customFormat="1"/>
    <row r="830" s="476" customFormat="1"/>
    <row r="831" s="476" customFormat="1"/>
    <row r="832" s="476" customFormat="1"/>
    <row r="833" s="476" customFormat="1"/>
    <row r="834" s="476" customFormat="1"/>
    <row r="835" s="476" customFormat="1"/>
    <row r="836" s="476" customFormat="1"/>
    <row r="837" s="476" customFormat="1"/>
    <row r="838" s="476" customFormat="1"/>
    <row r="839" s="476" customFormat="1"/>
    <row r="840" s="476" customFormat="1"/>
    <row r="841" s="476" customFormat="1"/>
    <row r="842" s="476" customFormat="1"/>
    <row r="843" s="476" customFormat="1"/>
    <row r="844" s="476" customFormat="1"/>
    <row r="845" s="476" customFormat="1"/>
    <row r="846" s="476" customFormat="1"/>
    <row r="847" s="476" customFormat="1"/>
    <row r="848" s="476" customFormat="1"/>
    <row r="849" s="476" customFormat="1"/>
    <row r="850" s="476" customFormat="1"/>
    <row r="851" s="476" customFormat="1"/>
    <row r="852" s="476" customFormat="1"/>
    <row r="853" s="476" customFormat="1"/>
    <row r="854" s="476" customFormat="1"/>
    <row r="855" s="476" customFormat="1"/>
    <row r="856" s="476" customFormat="1"/>
    <row r="857" s="476" customFormat="1"/>
    <row r="858" s="476" customFormat="1"/>
    <row r="859" s="476" customFormat="1"/>
    <row r="860" s="476" customFormat="1"/>
    <row r="861" s="476" customFormat="1"/>
    <row r="862" s="476" customFormat="1"/>
    <row r="863" s="476" customFormat="1"/>
    <row r="864" s="476" customFormat="1"/>
    <row r="865" s="476" customFormat="1"/>
    <row r="866" s="476" customFormat="1"/>
    <row r="867" s="476" customFormat="1"/>
    <row r="868" s="476" customFormat="1"/>
    <row r="869" s="476" customFormat="1"/>
    <row r="870" s="476" customFormat="1"/>
    <row r="871" s="476" customFormat="1"/>
    <row r="872" s="476" customFormat="1"/>
    <row r="873" s="476" customFormat="1"/>
    <row r="874" s="476" customFormat="1"/>
    <row r="875" s="476" customFormat="1"/>
    <row r="876" s="476" customFormat="1"/>
    <row r="877" s="476" customFormat="1"/>
    <row r="878" s="476" customFormat="1"/>
    <row r="879" s="476" customFormat="1"/>
    <row r="880" s="476" customFormat="1"/>
    <row r="881" s="476" customFormat="1"/>
    <row r="882" s="476" customFormat="1"/>
    <row r="883" s="476" customFormat="1"/>
    <row r="884" s="476" customFormat="1"/>
    <row r="885" s="476" customFormat="1"/>
    <row r="886" s="476" customFormat="1"/>
    <row r="887" s="476" customFormat="1"/>
    <row r="888" s="476" customFormat="1"/>
    <row r="889" s="476" customFormat="1"/>
    <row r="890" s="476" customFormat="1"/>
    <row r="891" s="476" customFormat="1"/>
    <row r="892" s="476" customFormat="1"/>
    <row r="893" s="476" customFormat="1"/>
    <row r="894" s="476" customFormat="1"/>
    <row r="895" s="476" customFormat="1"/>
    <row r="896" s="476" customFormat="1"/>
    <row r="897" s="476" customFormat="1"/>
    <row r="898" s="476" customFormat="1"/>
    <row r="899" s="476" customFormat="1"/>
    <row r="900" s="476" customFormat="1"/>
    <row r="901" s="476" customFormat="1"/>
    <row r="902" s="476" customFormat="1"/>
    <row r="903" s="476" customFormat="1"/>
    <row r="904" s="476" customFormat="1"/>
    <row r="905" s="476" customFormat="1"/>
    <row r="906" s="476" customFormat="1"/>
    <row r="907" s="476" customFormat="1"/>
    <row r="908" s="476" customFormat="1"/>
    <row r="909" s="476" customFormat="1"/>
    <row r="910" s="476" customFormat="1"/>
    <row r="911" s="476" customFormat="1"/>
    <row r="912" s="476" customFormat="1"/>
    <row r="913" s="476" customFormat="1"/>
    <row r="914" s="476" customFormat="1"/>
    <row r="915" s="476" customFormat="1"/>
    <row r="916" s="476" customFormat="1"/>
    <row r="917" s="476" customFormat="1"/>
    <row r="918" s="476" customFormat="1"/>
    <row r="919" s="476" customFormat="1"/>
    <row r="920" s="476" customFormat="1"/>
    <row r="921" s="476" customFormat="1"/>
    <row r="922" s="476" customFormat="1"/>
    <row r="923" s="476" customFormat="1"/>
    <row r="924" s="476" customFormat="1"/>
    <row r="925" s="476" customFormat="1"/>
    <row r="926" s="476" customFormat="1"/>
    <row r="927" s="476" customFormat="1"/>
    <row r="928" s="476" customFormat="1"/>
    <row r="929" s="476" customFormat="1"/>
    <row r="930" s="476" customFormat="1"/>
    <row r="931" s="476" customFormat="1"/>
    <row r="932" s="476" customFormat="1"/>
    <row r="933" s="476" customFormat="1"/>
    <row r="934" s="476" customFormat="1"/>
    <row r="935" s="476" customFormat="1"/>
    <row r="936" s="476" customFormat="1"/>
    <row r="937" s="476" customFormat="1"/>
    <row r="938" s="476" customFormat="1"/>
    <row r="939" s="476" customFormat="1"/>
    <row r="940" s="476" customFormat="1"/>
    <row r="941" s="476" customFormat="1"/>
    <row r="942" s="476" customFormat="1"/>
    <row r="943" s="476" customFormat="1"/>
    <row r="944" s="476" customFormat="1"/>
    <row r="945" s="476" customFormat="1"/>
    <row r="946" s="476" customFormat="1"/>
    <row r="947" s="476" customFormat="1"/>
    <row r="948" s="476" customFormat="1"/>
    <row r="949" s="476" customFormat="1"/>
    <row r="950" s="476" customFormat="1"/>
    <row r="951" s="476" customFormat="1"/>
    <row r="952" s="476" customFormat="1"/>
    <row r="953" s="476" customFormat="1"/>
    <row r="954" s="476" customFormat="1"/>
    <row r="955" s="476" customFormat="1"/>
    <row r="956" s="476" customFormat="1"/>
    <row r="957" s="476" customFormat="1"/>
    <row r="958" s="476" customFormat="1"/>
    <row r="959" s="476" customFormat="1"/>
    <row r="960" s="476" customFormat="1"/>
    <row r="961" s="476" customFormat="1"/>
    <row r="962" s="476" customFormat="1"/>
    <row r="963" s="476" customFormat="1"/>
    <row r="964" s="476" customFormat="1"/>
    <row r="965" s="476" customFormat="1"/>
    <row r="966" s="476" customFormat="1"/>
    <row r="967" s="476" customFormat="1"/>
    <row r="968" s="476" customFormat="1"/>
    <row r="969" s="476" customFormat="1"/>
    <row r="970" s="476" customFormat="1"/>
    <row r="971" s="476" customFormat="1"/>
    <row r="972" s="476" customFormat="1"/>
    <row r="973" s="476" customFormat="1"/>
    <row r="974" s="476" customFormat="1"/>
    <row r="975" s="476" customFormat="1"/>
    <row r="976" s="476" customFormat="1"/>
    <row r="977" s="476" customFormat="1"/>
    <row r="978" s="476" customFormat="1"/>
    <row r="979" s="476" customFormat="1"/>
    <row r="980" s="476" customFormat="1"/>
    <row r="981" s="476" customFormat="1"/>
    <row r="982" s="476" customFormat="1"/>
    <row r="983" s="476" customFormat="1"/>
    <row r="984" s="476" customFormat="1"/>
    <row r="985" s="476" customFormat="1"/>
    <row r="986" s="476" customFormat="1"/>
    <row r="987" s="476" customFormat="1"/>
    <row r="988" s="476" customFormat="1"/>
    <row r="989" s="476" customFormat="1"/>
    <row r="990" s="476" customFormat="1"/>
    <row r="991" s="476" customFormat="1"/>
    <row r="992" s="476" customFormat="1"/>
    <row r="993" s="476" customFormat="1"/>
    <row r="994" s="476" customFormat="1"/>
    <row r="995" s="476" customFormat="1"/>
    <row r="996" s="476" customFormat="1"/>
    <row r="997" s="476" customFormat="1"/>
    <row r="998" s="476" customFormat="1"/>
    <row r="999" s="476" customFormat="1"/>
    <row r="1000" s="476" customFormat="1"/>
    <row r="1001" s="476" customFormat="1"/>
    <row r="1002" s="476" customFormat="1"/>
    <row r="1003" s="476" customFormat="1"/>
    <row r="1004" s="476" customFormat="1"/>
    <row r="1005" s="476" customFormat="1"/>
    <row r="1006" s="476" customFormat="1"/>
    <row r="1007" s="476" customFormat="1"/>
    <row r="1008" s="476" customFormat="1"/>
    <row r="1009" s="476" customFormat="1"/>
    <row r="1010" s="476" customFormat="1"/>
    <row r="1011" s="476" customFormat="1"/>
    <row r="1012" s="476" customFormat="1"/>
    <row r="1013" s="476" customFormat="1"/>
    <row r="1014" s="476" customFormat="1"/>
    <row r="1015" s="476" customFormat="1"/>
    <row r="1016" s="476" customFormat="1"/>
    <row r="1017" s="476" customFormat="1"/>
    <row r="1018" s="476" customFormat="1"/>
    <row r="1019" s="476" customFormat="1"/>
    <row r="1020" s="476" customFormat="1"/>
    <row r="1021" s="476" customFormat="1"/>
    <row r="1022" s="476" customFormat="1"/>
    <row r="1023" s="476" customFormat="1"/>
    <row r="1024" s="476" customFormat="1"/>
    <row r="1025" s="476" customFormat="1"/>
    <row r="1026" s="476" customFormat="1"/>
    <row r="1027" s="476" customFormat="1"/>
    <row r="1028" s="476" customFormat="1"/>
    <row r="1029" s="476" customFormat="1"/>
    <row r="1030" s="476" customFormat="1"/>
    <row r="1031" s="476" customFormat="1"/>
    <row r="1032" s="476" customFormat="1"/>
    <row r="1033" s="476" customFormat="1"/>
    <row r="1034" s="476" customFormat="1"/>
    <row r="1035" s="476" customFormat="1"/>
    <row r="1036" s="476" customFormat="1"/>
    <row r="1037" s="476" customFormat="1"/>
    <row r="1038" s="476" customFormat="1"/>
    <row r="1039" s="476" customFormat="1"/>
    <row r="1040" s="476" customFormat="1"/>
    <row r="1041" s="476" customFormat="1"/>
    <row r="1042" s="476" customFormat="1"/>
    <row r="1043" s="476" customFormat="1"/>
    <row r="1044" s="476" customFormat="1"/>
    <row r="1045" s="476" customFormat="1"/>
    <row r="1046" s="476" customFormat="1"/>
    <row r="1047" s="476" customFormat="1"/>
    <row r="1048" s="476" customFormat="1"/>
    <row r="1049" s="476" customFormat="1"/>
    <row r="1050" s="476" customFormat="1"/>
    <row r="1051" s="476" customFormat="1"/>
    <row r="1052" s="476" customFormat="1"/>
    <row r="1053" s="476" customFormat="1"/>
    <row r="1054" s="476" customFormat="1"/>
    <row r="1055" s="476" customFormat="1"/>
    <row r="1056" s="476" customFormat="1"/>
    <row r="1057" s="476" customFormat="1"/>
    <row r="1058" s="476" customFormat="1"/>
    <row r="1059" s="476" customFormat="1"/>
    <row r="1060" s="476" customFormat="1"/>
    <row r="1061" s="476" customFormat="1"/>
    <row r="1062" s="476" customFormat="1"/>
    <row r="1063" s="476" customFormat="1"/>
    <row r="1064" s="476" customFormat="1"/>
    <row r="1065" s="476" customFormat="1"/>
    <row r="1066" s="476" customFormat="1"/>
    <row r="1067" s="476" customFormat="1"/>
    <row r="1068" s="476" customFormat="1"/>
    <row r="1069" s="476" customFormat="1"/>
    <row r="1070" s="476" customFormat="1"/>
    <row r="1071" s="476" customFormat="1"/>
    <row r="1072" s="476" customFormat="1"/>
    <row r="1073" s="476" customFormat="1"/>
    <row r="1074" s="476" customFormat="1"/>
    <row r="1075" s="476" customFormat="1"/>
    <row r="1076" s="476" customFormat="1"/>
    <row r="1077" s="476" customFormat="1"/>
    <row r="1078" s="476" customFormat="1"/>
    <row r="1079" s="476" customFormat="1"/>
    <row r="1080" s="476" customFormat="1"/>
    <row r="1081" s="476" customFormat="1"/>
    <row r="1082" s="476" customFormat="1"/>
    <row r="1083" s="476" customFormat="1"/>
    <row r="1084" s="476" customFormat="1"/>
    <row r="1085" s="476" customFormat="1"/>
    <row r="1086" s="476" customFormat="1"/>
    <row r="1087" s="476" customFormat="1"/>
    <row r="1088" s="476" customFormat="1"/>
    <row r="1089" s="476" customFormat="1"/>
    <row r="1090" s="476" customFormat="1"/>
    <row r="1091" s="476" customFormat="1"/>
    <row r="1092" s="476" customFormat="1"/>
    <row r="1093" s="476" customFormat="1"/>
    <row r="1094" s="476" customFormat="1"/>
    <row r="1095" s="476" customFormat="1"/>
    <row r="1096" s="476" customFormat="1"/>
    <row r="1097" s="476" customFormat="1"/>
    <row r="1098" s="476" customFormat="1"/>
    <row r="1099" s="476" customFormat="1"/>
    <row r="1100" s="476" customFormat="1"/>
    <row r="1101" s="476" customFormat="1"/>
    <row r="1102" s="476" customFormat="1"/>
    <row r="1103" s="476" customFormat="1"/>
    <row r="1104" s="476" customFormat="1"/>
    <row r="1105" s="476" customFormat="1"/>
    <row r="1106" s="476" customFormat="1"/>
    <row r="1107" s="476" customFormat="1"/>
    <row r="1108" s="476" customFormat="1"/>
    <row r="1109" s="476" customFormat="1"/>
    <row r="1110" s="476" customFormat="1"/>
    <row r="1111" s="476" customFormat="1"/>
    <row r="1112" s="476" customFormat="1"/>
    <row r="1113" s="476" customFormat="1"/>
    <row r="1114" s="476" customFormat="1"/>
    <row r="1115" s="476" customFormat="1"/>
    <row r="1116" s="476" customFormat="1"/>
    <row r="1117" s="476" customFormat="1"/>
    <row r="1118" s="476" customFormat="1"/>
    <row r="1119" s="476" customFormat="1"/>
    <row r="1120" s="476" customFormat="1"/>
    <row r="1121" s="476" customFormat="1"/>
    <row r="1122" s="476" customFormat="1"/>
    <row r="1123" s="476" customFormat="1"/>
    <row r="1124" s="476" customFormat="1"/>
    <row r="1125" s="476" customFormat="1"/>
    <row r="1126" s="476" customFormat="1"/>
    <row r="1127" s="476" customFormat="1"/>
    <row r="1128" s="476" customFormat="1"/>
    <row r="1129" s="476" customFormat="1"/>
    <row r="1130" s="476" customFormat="1"/>
    <row r="1131" s="476" customFormat="1"/>
    <row r="1132" s="476" customFormat="1"/>
    <row r="1133" s="476" customFormat="1"/>
    <row r="1134" s="476" customFormat="1"/>
    <row r="1135" s="476" customFormat="1"/>
    <row r="1136" s="476" customFormat="1"/>
    <row r="1137" s="476" customFormat="1"/>
    <row r="1138" s="476" customFormat="1"/>
    <row r="1139" s="476" customFormat="1"/>
    <row r="1140" s="476" customFormat="1"/>
    <row r="1141" s="476" customFormat="1"/>
    <row r="1142" s="476" customFormat="1"/>
    <row r="1143" s="476" customFormat="1"/>
    <row r="1144" s="476" customFormat="1"/>
    <row r="1145" s="476" customFormat="1"/>
    <row r="1146" s="476" customFormat="1"/>
    <row r="1147" s="476" customFormat="1"/>
    <row r="1148" s="476" customFormat="1"/>
    <row r="1149" s="476" customFormat="1"/>
    <row r="1150" s="476" customFormat="1"/>
    <row r="1151" s="476" customFormat="1"/>
    <row r="1152" s="476" customFormat="1"/>
    <row r="1153" s="476" customFormat="1"/>
    <row r="1154" s="476" customFormat="1"/>
    <row r="1155" s="476" customFormat="1"/>
    <row r="1156" s="476" customFormat="1"/>
    <row r="1157" s="476" customFormat="1"/>
    <row r="1158" s="476" customFormat="1"/>
    <row r="1159" s="476" customFormat="1"/>
    <row r="1160" s="476" customFormat="1"/>
    <row r="1161" s="476" customFormat="1"/>
    <row r="1162" s="476" customFormat="1"/>
    <row r="1163" s="476" customFormat="1"/>
    <row r="1164" s="476" customFormat="1"/>
    <row r="1165" s="476" customFormat="1"/>
    <row r="1166" s="476" customFormat="1"/>
    <row r="1167" s="476" customFormat="1"/>
    <row r="1168" s="476" customFormat="1"/>
    <row r="1169" s="476" customFormat="1"/>
    <row r="1170" s="476" customFormat="1"/>
    <row r="1171" s="476" customFormat="1"/>
    <row r="1172" s="476" customFormat="1"/>
    <row r="1173" s="476" customFormat="1"/>
    <row r="1174" s="476" customFormat="1"/>
    <row r="1175" s="476" customFormat="1"/>
    <row r="1176" s="476" customFormat="1"/>
    <row r="1177" s="476" customFormat="1"/>
    <row r="1178" s="476" customFormat="1"/>
    <row r="1179" s="476" customFormat="1"/>
    <row r="1180" s="476" customFormat="1"/>
    <row r="1181" s="476" customFormat="1"/>
    <row r="1182" s="476" customFormat="1"/>
    <row r="1183" s="476" customFormat="1"/>
    <row r="1184" s="476" customFormat="1"/>
    <row r="1185" s="476" customFormat="1"/>
    <row r="1186" s="476" customFormat="1"/>
    <row r="1187" s="476" customFormat="1"/>
    <row r="1188" s="476" customFormat="1"/>
    <row r="1189" s="476" customFormat="1"/>
    <row r="1190" s="476" customFormat="1"/>
    <row r="1191" s="476" customFormat="1"/>
    <row r="1192" s="476" customFormat="1"/>
    <row r="1193" s="476" customFormat="1"/>
    <row r="1194" s="476" customFormat="1"/>
    <row r="1195" s="476" customFormat="1"/>
    <row r="1196" s="476" customFormat="1"/>
    <row r="1197" s="476" customFormat="1"/>
    <row r="1198" s="476" customFormat="1"/>
    <row r="1199" s="476" customFormat="1"/>
    <row r="1200" s="476" customFormat="1"/>
    <row r="1201" s="476" customFormat="1"/>
    <row r="1202" s="476" customFormat="1"/>
    <row r="1203" s="476" customFormat="1"/>
    <row r="1204" s="476" customFormat="1"/>
    <row r="1205" s="476" customFormat="1"/>
    <row r="1206" s="476" customFormat="1"/>
    <row r="1207" s="476" customFormat="1"/>
    <row r="1208" s="476" customFormat="1"/>
    <row r="1209" s="476" customFormat="1"/>
    <row r="1210" s="476" customFormat="1"/>
    <row r="1211" s="476" customFormat="1"/>
    <row r="1212" s="476" customFormat="1"/>
    <row r="1213" s="476" customFormat="1"/>
    <row r="1214" s="476" customFormat="1"/>
    <row r="1215" s="476" customFormat="1"/>
    <row r="1216" s="476" customFormat="1"/>
    <row r="1217" s="476" customFormat="1"/>
    <row r="1218" s="476" customFormat="1"/>
    <row r="1219" s="476" customFormat="1"/>
    <row r="1220" s="476" customFormat="1"/>
    <row r="1221" s="476" customFormat="1"/>
    <row r="1222" s="476" customFormat="1"/>
    <row r="1223" s="476" customFormat="1"/>
    <row r="1224" s="476" customFormat="1"/>
    <row r="1225" s="476" customFormat="1"/>
    <row r="1226" s="476" customFormat="1"/>
    <row r="1227" s="476" customFormat="1"/>
    <row r="1228" s="476" customFormat="1"/>
    <row r="1229" s="476" customFormat="1"/>
    <row r="1230" s="476" customFormat="1"/>
    <row r="1231" s="476" customFormat="1"/>
    <row r="1232" s="476" customFormat="1"/>
    <row r="1233" s="476" customFormat="1"/>
    <row r="1234" s="476" customFormat="1"/>
    <row r="1235" s="476" customFormat="1"/>
    <row r="1236" s="476" customFormat="1"/>
    <row r="1237" s="476" customFormat="1"/>
    <row r="1238" s="476" customFormat="1"/>
    <row r="1239" s="476" customFormat="1"/>
    <row r="1240" s="476" customFormat="1"/>
    <row r="1241" s="476" customFormat="1"/>
    <row r="1242" s="476" customFormat="1"/>
    <row r="1243" s="476" customFormat="1"/>
    <row r="1244" s="476" customFormat="1"/>
    <row r="1245" s="476" customFormat="1"/>
    <row r="1246" s="476" customFormat="1"/>
    <row r="1247" s="476" customFormat="1"/>
    <row r="1248" s="476" customFormat="1"/>
    <row r="1249" s="476" customFormat="1"/>
    <row r="1250" s="476" customFormat="1"/>
    <row r="1251" s="476" customFormat="1"/>
    <row r="1252" s="476" customFormat="1"/>
    <row r="1253" s="476" customFormat="1"/>
    <row r="1254" s="476" customFormat="1"/>
    <row r="1255" s="476" customFormat="1"/>
    <row r="1256" s="476" customFormat="1"/>
    <row r="1257" s="476" customFormat="1"/>
    <row r="1258" s="476" customFormat="1"/>
    <row r="1259" s="476" customFormat="1"/>
    <row r="1260" s="476" customFormat="1"/>
    <row r="1261" s="476" customFormat="1"/>
    <row r="1262" s="476" customFormat="1"/>
    <row r="1263" s="476" customFormat="1"/>
    <row r="1264" s="476" customFormat="1"/>
    <row r="1265" s="476" customFormat="1"/>
    <row r="1266" s="476" customFormat="1"/>
    <row r="1267" s="476" customFormat="1"/>
    <row r="1268" s="476" customFormat="1"/>
    <row r="1269" s="476" customFormat="1"/>
    <row r="1270" s="476" customFormat="1"/>
    <row r="1271" s="476" customFormat="1"/>
    <row r="1272" s="476" customFormat="1"/>
    <row r="1273" s="476" customFormat="1"/>
    <row r="1274" s="476" customFormat="1"/>
    <row r="1275" s="476" customFormat="1"/>
    <row r="1276" s="476" customFormat="1"/>
    <row r="1277" s="476" customFormat="1"/>
    <row r="1278" s="476" customFormat="1"/>
    <row r="1279" s="476" customFormat="1"/>
    <row r="1280" s="476" customFormat="1"/>
    <row r="1281" s="476" customFormat="1"/>
    <row r="1282" s="476" customFormat="1"/>
    <row r="1283" s="476" customFormat="1"/>
    <row r="1284" s="476" customFormat="1"/>
    <row r="1285" s="476" customFormat="1"/>
    <row r="1286" s="476" customFormat="1"/>
    <row r="1287" s="476" customFormat="1"/>
    <row r="1288" s="476" customFormat="1"/>
    <row r="1289" s="476" customFormat="1"/>
  </sheetData>
  <sheetProtection password="B1AF" sheet="1"/>
  <printOptions horizontalCentered="1"/>
  <pageMargins left="0.39370078740157483" right="0.39370078740157483" top="0.39370078740157483" bottom="0.39370078740157483" header="0.31496062992125984" footer="0.31496062992125984"/>
  <pageSetup paperSize="5" scale="35" orientation="portrait" r:id="rId1"/>
  <headerFooter>
    <oddFooter>&amp;L&amp;"Arial Narrow,Gras"&amp;8Ministère de l’Environnement, de la Lutte contre les changements climatiques, de la Faune et des Parcs&amp;R&amp;"Arial Narrow,Normal"&amp;8 2024-04-24</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9CD96-8FE9-4EE1-87DD-1D469304C6C7}">
  <sheetPr codeName="Feuil8"/>
  <dimension ref="A1:AG311"/>
  <sheetViews>
    <sheetView showGridLines="0" workbookViewId="0">
      <selection activeCell="D48" sqref="D48"/>
    </sheetView>
  </sheetViews>
  <sheetFormatPr baseColWidth="10" defaultColWidth="11.453125" defaultRowHeight="12.5"/>
  <cols>
    <col min="1" max="1" width="4.1796875" customWidth="1"/>
    <col min="2" max="3" width="11.81640625" customWidth="1"/>
    <col min="5" max="8" width="16.54296875" customWidth="1"/>
    <col min="9" max="9" width="6.1796875" customWidth="1"/>
    <col min="10" max="10" width="6.81640625" customWidth="1"/>
    <col min="11" max="11" width="9" customWidth="1"/>
    <col min="12" max="12" width="19.26953125" customWidth="1"/>
    <col min="13" max="14" width="4.7265625" customWidth="1"/>
    <col min="15" max="33" width="11.453125" style="476"/>
  </cols>
  <sheetData>
    <row r="1" spans="1:13">
      <c r="A1" s="546"/>
      <c r="B1" s="546"/>
      <c r="C1" s="546"/>
      <c r="D1" s="546"/>
      <c r="E1" s="546"/>
      <c r="F1" s="546"/>
      <c r="G1" s="546"/>
      <c r="H1" s="546"/>
      <c r="I1" s="546"/>
      <c r="J1" s="546"/>
      <c r="K1" s="546"/>
      <c r="L1" s="546"/>
      <c r="M1" s="546"/>
    </row>
    <row r="2" spans="1:13" ht="25">
      <c r="A2" s="547"/>
      <c r="B2" s="547"/>
      <c r="C2" s="547"/>
      <c r="D2" s="547"/>
      <c r="E2" s="547"/>
      <c r="F2" s="547"/>
      <c r="G2" s="547"/>
      <c r="H2" s="547"/>
      <c r="I2" s="547"/>
      <c r="J2" s="547"/>
      <c r="K2" s="547"/>
      <c r="L2" s="548" t="s">
        <v>5617</v>
      </c>
      <c r="M2" s="547"/>
    </row>
    <row r="3" spans="1:13">
      <c r="A3" s="547"/>
      <c r="B3" s="547"/>
      <c r="C3" s="547"/>
      <c r="D3" s="547"/>
      <c r="E3" s="547"/>
      <c r="F3" s="547"/>
      <c r="G3" s="547"/>
      <c r="H3" s="547"/>
      <c r="I3" s="547"/>
      <c r="J3" s="547"/>
      <c r="K3" s="547"/>
      <c r="L3" s="547"/>
      <c r="M3" s="547"/>
    </row>
    <row r="4" spans="1:13">
      <c r="A4" s="547"/>
      <c r="B4" s="547"/>
      <c r="C4" s="547"/>
      <c r="D4" s="547"/>
      <c r="E4" s="547"/>
      <c r="F4" s="547"/>
      <c r="G4" s="547"/>
      <c r="H4" s="547"/>
      <c r="I4" s="547"/>
      <c r="J4" s="547"/>
      <c r="K4" s="547"/>
      <c r="L4" s="547"/>
      <c r="M4" s="547"/>
    </row>
    <row r="5" spans="1:13">
      <c r="A5" s="547"/>
      <c r="B5" s="547"/>
      <c r="C5" s="547"/>
      <c r="D5" s="547"/>
      <c r="E5" s="547"/>
      <c r="F5" s="547"/>
      <c r="G5" s="547"/>
      <c r="H5" s="547"/>
      <c r="I5" s="547"/>
      <c r="J5" s="549"/>
      <c r="K5" s="549"/>
      <c r="L5" s="549"/>
      <c r="M5" s="547"/>
    </row>
    <row r="6" spans="1:13" ht="13">
      <c r="A6" s="547"/>
      <c r="B6" s="1616"/>
      <c r="C6" s="1617"/>
      <c r="D6" s="1617"/>
      <c r="E6" s="547"/>
      <c r="F6" s="547"/>
      <c r="G6" s="547"/>
      <c r="H6" s="547"/>
      <c r="I6" s="547"/>
      <c r="J6" s="550" t="s">
        <v>5618</v>
      </c>
      <c r="K6" s="547"/>
      <c r="L6" s="534"/>
      <c r="M6" s="547"/>
    </row>
    <row r="7" spans="1:13" ht="13">
      <c r="A7" s="547"/>
      <c r="B7" s="549"/>
      <c r="C7" s="551"/>
      <c r="D7" s="551"/>
      <c r="E7" s="547"/>
      <c r="F7" s="547"/>
      <c r="G7" s="547"/>
      <c r="H7" s="547"/>
      <c r="I7" s="547"/>
      <c r="J7" s="550"/>
      <c r="K7" s="547"/>
      <c r="L7" s="552"/>
      <c r="M7" s="547"/>
    </row>
    <row r="8" spans="1:13" ht="13">
      <c r="A8" s="547"/>
      <c r="B8" s="553" t="s">
        <v>5619</v>
      </c>
      <c r="C8" s="551"/>
      <c r="D8" s="551"/>
      <c r="E8" s="547"/>
      <c r="F8" s="547"/>
      <c r="G8" s="547"/>
      <c r="H8" s="547"/>
      <c r="I8" s="547"/>
      <c r="J8" s="550" t="s">
        <v>5620</v>
      </c>
      <c r="K8" s="547"/>
      <c r="L8" s="535"/>
      <c r="M8" s="547"/>
    </row>
    <row r="9" spans="1:13">
      <c r="A9" s="547"/>
      <c r="B9" s="1615"/>
      <c r="C9" s="1615"/>
      <c r="D9" s="1615"/>
      <c r="E9" s="554"/>
      <c r="F9" s="554"/>
      <c r="G9" s="554"/>
      <c r="H9" s="547"/>
      <c r="I9" s="547"/>
      <c r="J9" s="554"/>
      <c r="K9" s="547"/>
      <c r="L9" s="554"/>
      <c r="M9" s="547"/>
    </row>
    <row r="10" spans="1:13" ht="13">
      <c r="A10" s="547"/>
      <c r="B10" s="1615"/>
      <c r="C10" s="1615"/>
      <c r="D10" s="1615"/>
      <c r="E10" s="553" t="s">
        <v>5621</v>
      </c>
      <c r="F10" s="1615"/>
      <c r="G10" s="1615"/>
      <c r="H10" s="547"/>
      <c r="I10" s="547"/>
      <c r="J10" s="550"/>
      <c r="K10" s="547"/>
      <c r="L10" s="550"/>
      <c r="M10" s="547"/>
    </row>
    <row r="11" spans="1:13" ht="13">
      <c r="A11" s="547"/>
      <c r="B11" s="1615"/>
      <c r="C11" s="1615"/>
      <c r="D11" s="1615"/>
      <c r="E11" s="553"/>
      <c r="F11" s="554"/>
      <c r="G11" s="554"/>
      <c r="H11" s="547"/>
      <c r="I11" s="547"/>
      <c r="J11" s="554"/>
      <c r="K11" s="547"/>
      <c r="L11" s="554"/>
      <c r="M11" s="547"/>
    </row>
    <row r="12" spans="1:13" ht="13">
      <c r="A12" s="547"/>
      <c r="B12" s="1615"/>
      <c r="C12" s="1615"/>
      <c r="D12" s="1615"/>
      <c r="E12" s="553"/>
      <c r="F12" s="547"/>
      <c r="G12" s="547"/>
      <c r="H12" s="547"/>
      <c r="I12" s="547"/>
      <c r="J12" s="550"/>
      <c r="K12" s="547"/>
      <c r="L12" s="550"/>
      <c r="M12" s="547"/>
    </row>
    <row r="13" spans="1:13">
      <c r="A13" s="547"/>
      <c r="B13" s="1615"/>
      <c r="C13" s="1615"/>
      <c r="D13" s="1615"/>
      <c r="E13" s="554"/>
      <c r="F13" s="554"/>
      <c r="G13" s="554"/>
      <c r="H13" s="547"/>
      <c r="I13" s="547"/>
      <c r="J13" s="549"/>
      <c r="K13" s="549"/>
      <c r="L13" s="549"/>
      <c r="M13" s="547"/>
    </row>
    <row r="14" spans="1:13">
      <c r="A14" s="547"/>
      <c r="B14" s="555"/>
      <c r="C14" s="555"/>
      <c r="D14" s="555"/>
      <c r="E14" s="547"/>
      <c r="F14" s="547"/>
      <c r="G14" s="547"/>
      <c r="H14" s="547"/>
      <c r="I14" s="547"/>
      <c r="J14" s="549"/>
      <c r="K14" s="549"/>
      <c r="L14" s="549"/>
      <c r="M14" s="547"/>
    </row>
    <row r="15" spans="1:13" ht="13">
      <c r="A15" s="547"/>
      <c r="B15" s="553" t="s">
        <v>5622</v>
      </c>
      <c r="C15" s="547"/>
      <c r="D15" s="547"/>
      <c r="E15" s="547"/>
      <c r="F15" s="547"/>
      <c r="G15" s="547"/>
      <c r="H15" s="547"/>
      <c r="I15" s="547"/>
      <c r="J15" s="547"/>
      <c r="K15" s="547"/>
      <c r="L15" s="547"/>
      <c r="M15" s="547"/>
    </row>
    <row r="16" spans="1:13">
      <c r="A16" s="547"/>
      <c r="B16" s="547"/>
      <c r="C16" s="547"/>
      <c r="D16" s="547"/>
      <c r="E16" s="547"/>
      <c r="F16" s="547"/>
      <c r="G16" s="547"/>
      <c r="H16" s="547"/>
      <c r="I16" s="547"/>
      <c r="J16" s="547"/>
      <c r="K16" s="547"/>
      <c r="L16" s="547"/>
      <c r="M16" s="547"/>
    </row>
    <row r="17" spans="1:13" ht="13">
      <c r="A17" s="547"/>
      <c r="B17" s="1610" t="s">
        <v>865</v>
      </c>
      <c r="C17" s="1610"/>
      <c r="D17" s="1610"/>
      <c r="E17" s="1610"/>
      <c r="F17" s="553"/>
      <c r="G17" s="547"/>
      <c r="H17" s="547"/>
      <c r="I17" s="547"/>
      <c r="J17" s="553"/>
      <c r="K17" s="554"/>
      <c r="L17" s="554"/>
      <c r="M17" s="547"/>
    </row>
    <row r="18" spans="1:13" ht="13">
      <c r="A18" s="547"/>
      <c r="B18" s="1609" t="s">
        <v>5623</v>
      </c>
      <c r="C18" s="1609"/>
      <c r="D18" s="1609"/>
      <c r="E18" s="1609"/>
      <c r="F18" s="553"/>
      <c r="G18" s="554"/>
      <c r="H18" s="547"/>
      <c r="I18" s="547"/>
      <c r="J18" s="556"/>
      <c r="K18" s="554"/>
      <c r="L18" s="554"/>
      <c r="M18" s="547"/>
    </row>
    <row r="19" spans="1:13" ht="13">
      <c r="A19" s="547"/>
      <c r="B19" s="1609" t="s">
        <v>5624</v>
      </c>
      <c r="C19" s="1609"/>
      <c r="D19" s="1609"/>
      <c r="E19" s="1609"/>
      <c r="F19" s="553"/>
      <c r="G19" s="554"/>
      <c r="H19" s="547"/>
      <c r="I19" s="547"/>
      <c r="J19" s="553"/>
      <c r="K19" s="554"/>
      <c r="L19" s="554"/>
      <c r="M19" s="547"/>
    </row>
    <row r="20" spans="1:13" ht="13">
      <c r="A20" s="547"/>
      <c r="B20" s="1609" t="s">
        <v>5625</v>
      </c>
      <c r="C20" s="1609"/>
      <c r="D20" s="1609"/>
      <c r="E20" s="1609"/>
      <c r="F20" s="553"/>
      <c r="G20" s="554"/>
      <c r="H20" s="547"/>
      <c r="I20" s="547"/>
      <c r="J20" s="556"/>
      <c r="K20" s="554"/>
      <c r="L20" s="554"/>
      <c r="M20" s="547"/>
    </row>
    <row r="21" spans="1:13" ht="13">
      <c r="A21" s="547"/>
      <c r="B21" s="1610"/>
      <c r="C21" s="1610"/>
      <c r="D21" s="1610"/>
      <c r="E21" s="1610"/>
      <c r="F21" s="1609"/>
      <c r="G21" s="1609"/>
      <c r="H21" s="547"/>
      <c r="I21" s="547"/>
      <c r="J21" s="553"/>
      <c r="K21" s="1609"/>
      <c r="L21" s="1609"/>
      <c r="M21" s="547"/>
    </row>
    <row r="22" spans="1:13">
      <c r="A22" s="547"/>
      <c r="B22" s="547"/>
      <c r="C22" s="547"/>
      <c r="D22" s="547"/>
      <c r="E22" s="547"/>
      <c r="F22" s="547"/>
      <c r="G22" s="547"/>
      <c r="H22" s="547"/>
      <c r="I22" s="547"/>
      <c r="J22" s="547"/>
      <c r="K22" s="547"/>
      <c r="L22" s="547"/>
      <c r="M22" s="547"/>
    </row>
    <row r="23" spans="1:13">
      <c r="A23" s="547"/>
      <c r="B23" s="547"/>
      <c r="C23" s="547"/>
      <c r="D23" s="547"/>
      <c r="E23" s="547"/>
      <c r="F23" s="547"/>
      <c r="G23" s="547"/>
      <c r="H23" s="547"/>
      <c r="I23" s="547"/>
      <c r="J23" s="547"/>
      <c r="K23" s="547"/>
      <c r="L23" s="547"/>
      <c r="M23" s="547"/>
    </row>
    <row r="24" spans="1:13" ht="13">
      <c r="A24" s="547"/>
      <c r="B24" s="1612" t="s">
        <v>5626</v>
      </c>
      <c r="C24" s="1612"/>
      <c r="D24" s="1612"/>
      <c r="E24" s="1612"/>
      <c r="F24" s="546"/>
      <c r="G24" s="557"/>
      <c r="H24" s="557"/>
      <c r="I24" s="557"/>
      <c r="J24" s="557"/>
      <c r="K24" s="557"/>
      <c r="L24" s="557"/>
      <c r="M24" s="547"/>
    </row>
    <row r="25" spans="1:13" ht="13">
      <c r="A25" s="547"/>
      <c r="B25" s="1612" t="s">
        <v>5627</v>
      </c>
      <c r="C25" s="1612"/>
      <c r="D25" s="1612"/>
      <c r="E25" s="1612"/>
      <c r="F25" s="558" t="s">
        <v>5628</v>
      </c>
      <c r="G25" s="557"/>
      <c r="H25" s="557"/>
      <c r="I25" s="557"/>
      <c r="J25" s="557"/>
      <c r="K25" s="557"/>
      <c r="L25" s="557"/>
      <c r="M25" s="547"/>
    </row>
    <row r="26" spans="1:13">
      <c r="A26" s="547"/>
      <c r="B26" s="547"/>
      <c r="C26" s="547"/>
      <c r="D26" s="547"/>
      <c r="E26" s="547"/>
      <c r="F26" s="547"/>
      <c r="G26" s="547"/>
      <c r="H26" s="547"/>
      <c r="I26" s="547"/>
      <c r="J26" s="547"/>
      <c r="K26" s="547"/>
      <c r="L26" s="547"/>
      <c r="M26" s="547"/>
    </row>
    <row r="27" spans="1:13">
      <c r="A27" s="547"/>
      <c r="B27" s="559"/>
      <c r="C27" s="559"/>
      <c r="D27" s="559"/>
      <c r="E27" s="559"/>
      <c r="F27" s="559"/>
      <c r="G27" s="559"/>
      <c r="H27" s="559"/>
      <c r="I27" s="559"/>
      <c r="J27" s="559"/>
      <c r="K27" s="559"/>
      <c r="L27" s="559"/>
      <c r="M27" s="559"/>
    </row>
    <row r="28" spans="1:13" ht="13">
      <c r="A28" s="547"/>
      <c r="B28" s="560" t="s">
        <v>121</v>
      </c>
      <c r="C28" s="561"/>
      <c r="D28" s="561"/>
      <c r="E28" s="561"/>
      <c r="F28" s="561"/>
      <c r="G28" s="561"/>
      <c r="H28" s="1613"/>
      <c r="I28" s="1613"/>
      <c r="J28" s="562"/>
      <c r="K28" s="563"/>
      <c r="L28" s="564" t="s">
        <v>5629</v>
      </c>
      <c r="M28" s="565"/>
    </row>
    <row r="29" spans="1:13">
      <c r="A29" s="547"/>
      <c r="B29" s="559"/>
      <c r="C29" s="559"/>
      <c r="D29" s="559"/>
      <c r="E29" s="559"/>
      <c r="F29" s="559"/>
      <c r="G29" s="559"/>
      <c r="H29" s="559"/>
      <c r="I29" s="559"/>
      <c r="J29" s="566"/>
      <c r="K29" s="559"/>
      <c r="L29" s="559"/>
      <c r="M29" s="559"/>
    </row>
    <row r="30" spans="1:13">
      <c r="A30" s="547"/>
      <c r="B30" s="547"/>
      <c r="C30" s="547"/>
      <c r="D30" s="547"/>
      <c r="E30" s="547"/>
      <c r="F30" s="547"/>
      <c r="G30" s="547"/>
      <c r="H30" s="547"/>
      <c r="I30" s="547"/>
      <c r="J30" s="567"/>
      <c r="K30" s="547"/>
      <c r="L30" s="568"/>
      <c r="M30" s="547"/>
    </row>
    <row r="31" spans="1:13" ht="13">
      <c r="A31" s="547"/>
      <c r="B31" s="553" t="s">
        <v>5630</v>
      </c>
      <c r="C31" s="569"/>
      <c r="D31" s="581"/>
      <c r="E31" s="570"/>
      <c r="F31" s="569"/>
      <c r="G31" s="569"/>
      <c r="H31" s="569"/>
      <c r="I31" s="570"/>
      <c r="J31" s="536"/>
      <c r="K31" s="537"/>
      <c r="L31" s="537"/>
      <c r="M31" s="537"/>
    </row>
    <row r="32" spans="1:13">
      <c r="A32" s="547"/>
      <c r="B32" s="547"/>
      <c r="C32" s="569"/>
      <c r="D32" s="569"/>
      <c r="E32" s="569"/>
      <c r="F32" s="569"/>
      <c r="G32" s="569"/>
      <c r="H32" s="569"/>
      <c r="I32" s="570"/>
      <c r="J32" s="536"/>
      <c r="K32" s="537"/>
      <c r="L32" s="538"/>
      <c r="M32" s="554"/>
    </row>
    <row r="33" spans="1:13" ht="13">
      <c r="A33" s="547"/>
      <c r="B33" s="553" t="s">
        <v>5631</v>
      </c>
      <c r="C33" s="569"/>
      <c r="D33" s="569"/>
      <c r="E33" s="569"/>
      <c r="F33" s="569"/>
      <c r="G33" s="569"/>
      <c r="H33" s="569"/>
      <c r="I33" s="570"/>
      <c r="J33" s="536"/>
      <c r="K33" s="537"/>
      <c r="L33" s="538"/>
      <c r="M33" s="554"/>
    </row>
    <row r="34" spans="1:13" ht="13">
      <c r="A34" s="547"/>
      <c r="B34" s="553"/>
      <c r="C34" s="569"/>
      <c r="E34" s="571" t="s">
        <v>5629</v>
      </c>
      <c r="F34" s="571" t="s">
        <v>5556</v>
      </c>
      <c r="G34" s="571" t="s">
        <v>5557</v>
      </c>
      <c r="H34" s="571" t="s">
        <v>859</v>
      </c>
      <c r="I34" s="570"/>
      <c r="J34" s="536"/>
      <c r="K34" s="537"/>
      <c r="L34" s="538"/>
      <c r="M34" s="554"/>
    </row>
    <row r="35" spans="1:13">
      <c r="A35" s="547"/>
      <c r="B35" s="569" t="s">
        <v>5632</v>
      </c>
      <c r="C35" s="569"/>
      <c r="E35" s="580"/>
      <c r="F35" s="572" t="s">
        <v>5633</v>
      </c>
      <c r="G35" s="572" t="s">
        <v>5633</v>
      </c>
      <c r="H35" s="573">
        <f>E35</f>
        <v>0</v>
      </c>
      <c r="I35" s="570"/>
      <c r="J35" s="536"/>
      <c r="K35" s="537"/>
      <c r="L35" s="538"/>
      <c r="M35" s="554"/>
    </row>
    <row r="36" spans="1:13">
      <c r="A36" s="547"/>
      <c r="B36" s="569" t="s">
        <v>5634</v>
      </c>
      <c r="C36" s="569"/>
      <c r="E36" s="580"/>
      <c r="F36" s="573">
        <f>E36*5%</f>
        <v>0</v>
      </c>
      <c r="G36" s="573">
        <f>(E36+F36)*9.5%</f>
        <v>0</v>
      </c>
      <c r="H36" s="573">
        <f>E36+F36+G36</f>
        <v>0</v>
      </c>
      <c r="I36" s="570"/>
      <c r="J36" s="536"/>
      <c r="K36" s="537"/>
      <c r="L36" s="538"/>
      <c r="M36" s="554"/>
    </row>
    <row r="37" spans="1:13">
      <c r="A37" s="547"/>
      <c r="B37" s="569" t="s">
        <v>5635</v>
      </c>
      <c r="C37" s="569"/>
      <c r="E37" s="580"/>
      <c r="F37" s="573">
        <f>E37*5%</f>
        <v>0</v>
      </c>
      <c r="G37" s="573">
        <f>(E37+F37)*9.5%</f>
        <v>0</v>
      </c>
      <c r="H37" s="573">
        <f>E37+F37+G37</f>
        <v>0</v>
      </c>
      <c r="I37" s="570"/>
      <c r="J37" s="536"/>
      <c r="K37" s="537"/>
      <c r="L37" s="538"/>
      <c r="M37" s="554"/>
    </row>
    <row r="38" spans="1:13" ht="13">
      <c r="A38" s="547"/>
      <c r="B38" s="553"/>
      <c r="C38" s="569"/>
      <c r="D38" s="569"/>
      <c r="E38" s="569"/>
      <c r="F38" s="569"/>
      <c r="G38" s="569"/>
      <c r="H38" s="569"/>
      <c r="I38" s="570"/>
      <c r="J38" s="536"/>
      <c r="K38" s="537"/>
      <c r="L38" s="538"/>
      <c r="M38" s="554"/>
    </row>
    <row r="39" spans="1:13">
      <c r="A39" s="547"/>
      <c r="B39" s="569"/>
      <c r="C39" s="569"/>
      <c r="D39" s="569"/>
      <c r="E39" s="569"/>
      <c r="F39" s="569"/>
      <c r="G39" s="569"/>
      <c r="H39" s="569"/>
      <c r="I39" s="570"/>
      <c r="J39" s="536"/>
      <c r="K39" s="537"/>
      <c r="L39" s="538"/>
      <c r="M39" s="554"/>
    </row>
    <row r="40" spans="1:13">
      <c r="A40" s="547"/>
      <c r="B40" s="794" t="s">
        <v>5636</v>
      </c>
      <c r="C40" s="794"/>
      <c r="D40" s="794"/>
      <c r="E40" s="794"/>
      <c r="F40" s="569"/>
      <c r="G40" s="569"/>
      <c r="H40" s="569"/>
      <c r="I40" s="570"/>
      <c r="J40" s="539"/>
      <c r="K40" s="539"/>
      <c r="L40" s="540"/>
      <c r="M40" s="574"/>
    </row>
    <row r="41" spans="1:13">
      <c r="A41" s="547"/>
      <c r="B41" s="575"/>
      <c r="C41" s="575"/>
      <c r="D41" s="575"/>
      <c r="E41" s="575"/>
      <c r="F41" s="575"/>
      <c r="G41" s="575"/>
      <c r="H41" s="575"/>
      <c r="I41" s="575"/>
      <c r="J41" s="541"/>
      <c r="K41" s="546"/>
      <c r="L41" s="546"/>
      <c r="M41" s="546"/>
    </row>
    <row r="42" spans="1:13" ht="13">
      <c r="A42" s="547"/>
      <c r="B42" s="576" t="s">
        <v>5637</v>
      </c>
      <c r="C42" s="554"/>
      <c r="D42" s="554"/>
      <c r="E42" s="1614"/>
      <c r="F42" s="1614"/>
      <c r="G42" s="547"/>
      <c r="H42" s="547"/>
      <c r="I42" s="547"/>
      <c r="J42" s="547"/>
      <c r="K42" s="546"/>
      <c r="L42" s="542" t="s">
        <v>113</v>
      </c>
      <c r="M42" s="577"/>
    </row>
    <row r="43" spans="1:13" ht="13">
      <c r="A43" s="547"/>
      <c r="B43" s="576" t="s">
        <v>5638</v>
      </c>
      <c r="C43" s="554"/>
      <c r="D43" s="554"/>
      <c r="E43" s="1611"/>
      <c r="F43" s="1611"/>
      <c r="G43" s="547"/>
      <c r="H43" s="547"/>
      <c r="I43" s="547"/>
      <c r="J43" s="547"/>
      <c r="K43" s="543"/>
      <c r="L43" s="544">
        <f>E35+E36+E37</f>
        <v>0</v>
      </c>
      <c r="M43" s="578"/>
    </row>
    <row r="44" spans="1:13" ht="13">
      <c r="A44" s="547"/>
      <c r="B44" s="547"/>
      <c r="C44" s="547"/>
      <c r="D44" s="547"/>
      <c r="E44" s="547"/>
      <c r="F44" s="547"/>
      <c r="G44" s="547"/>
      <c r="H44" s="547"/>
      <c r="I44" s="547"/>
      <c r="J44" s="541"/>
      <c r="K44" s="543" t="s">
        <v>5556</v>
      </c>
      <c r="L44" s="544">
        <f>F36+F37</f>
        <v>0</v>
      </c>
      <c r="M44" s="579"/>
    </row>
    <row r="45" spans="1:13" ht="13">
      <c r="A45" s="547"/>
      <c r="B45" s="547"/>
      <c r="C45" s="547"/>
      <c r="D45" s="547"/>
      <c r="E45" s="547"/>
      <c r="F45" s="547"/>
      <c r="G45" s="547"/>
      <c r="H45" s="547"/>
      <c r="I45" s="547"/>
      <c r="J45" s="541"/>
      <c r="K45" s="543" t="s">
        <v>5557</v>
      </c>
      <c r="L45" s="544">
        <f>G36+G37</f>
        <v>0</v>
      </c>
      <c r="M45" s="579"/>
    </row>
    <row r="46" spans="1:13" ht="13.5" thickBot="1">
      <c r="A46" s="547"/>
      <c r="B46" s="547"/>
      <c r="C46" s="547"/>
      <c r="D46" s="547"/>
      <c r="E46" s="547"/>
      <c r="F46" s="547"/>
      <c r="G46" s="547"/>
      <c r="H46" s="547"/>
      <c r="I46" s="547"/>
      <c r="J46" s="547"/>
      <c r="K46" s="543" t="s">
        <v>155</v>
      </c>
      <c r="L46" s="545">
        <f>L43+TPS+L45</f>
        <v>0</v>
      </c>
      <c r="M46" s="578"/>
    </row>
    <row r="49" s="476" customFormat="1"/>
    <row r="50" s="476" customFormat="1"/>
    <row r="51" s="476" customFormat="1"/>
    <row r="52" s="476" customFormat="1"/>
    <row r="53" s="476" customFormat="1"/>
    <row r="54" s="476" customFormat="1"/>
    <row r="55" s="476" customFormat="1"/>
    <row r="56" s="476" customFormat="1"/>
    <row r="57" s="476" customFormat="1"/>
    <row r="58" s="476" customFormat="1"/>
    <row r="59" s="476" customFormat="1"/>
    <row r="60" s="476" customFormat="1"/>
    <row r="61" s="476" customFormat="1"/>
    <row r="62" s="476" customFormat="1"/>
    <row r="63" s="476" customFormat="1"/>
    <row r="64" s="476" customFormat="1"/>
    <row r="65" s="476" customFormat="1"/>
    <row r="66" s="476" customFormat="1"/>
    <row r="67" s="476" customFormat="1"/>
    <row r="68" s="476" customFormat="1"/>
    <row r="69" s="476" customFormat="1"/>
    <row r="70" s="476" customFormat="1"/>
    <row r="71" s="476" customFormat="1"/>
    <row r="72" s="476" customFormat="1"/>
    <row r="73" s="476" customFormat="1"/>
    <row r="74" s="476" customFormat="1"/>
    <row r="75" s="476" customFormat="1"/>
    <row r="76" s="476" customFormat="1"/>
    <row r="77" s="476" customFormat="1"/>
    <row r="78" s="476" customFormat="1"/>
    <row r="79" s="476" customFormat="1"/>
    <row r="80" s="476" customFormat="1"/>
    <row r="81" s="476" customFormat="1"/>
    <row r="82" s="476" customFormat="1"/>
    <row r="83" s="476" customFormat="1"/>
    <row r="84" s="476" customFormat="1"/>
    <row r="85" s="476" customFormat="1"/>
    <row r="86" s="476" customFormat="1"/>
    <row r="87" s="476" customFormat="1"/>
    <row r="88" s="476" customFormat="1"/>
    <row r="89" s="476" customFormat="1"/>
    <row r="90" s="476" customFormat="1"/>
    <row r="91" s="476" customFormat="1"/>
    <row r="92" s="476" customFormat="1"/>
    <row r="93" s="476" customFormat="1"/>
    <row r="94" s="476" customFormat="1"/>
    <row r="95" s="476" customFormat="1"/>
    <row r="96" s="476" customFormat="1"/>
    <row r="97" s="476" customFormat="1"/>
    <row r="98" s="476" customFormat="1"/>
    <row r="99" s="476" customFormat="1"/>
    <row r="100" s="476" customFormat="1"/>
    <row r="101" s="476" customFormat="1"/>
    <row r="102" s="476" customFormat="1"/>
    <row r="103" s="476" customFormat="1"/>
    <row r="104" s="476" customFormat="1"/>
    <row r="105" s="476" customFormat="1"/>
    <row r="106" s="476" customFormat="1"/>
    <row r="107" s="476" customFormat="1"/>
    <row r="108" s="476" customFormat="1"/>
    <row r="109" s="476" customFormat="1"/>
    <row r="110" s="476" customFormat="1"/>
    <row r="111" s="476" customFormat="1"/>
    <row r="112" s="476" customFormat="1"/>
    <row r="113" s="476" customFormat="1"/>
    <row r="114" s="476" customFormat="1"/>
    <row r="115" s="476" customFormat="1"/>
    <row r="116" s="476" customFormat="1"/>
    <row r="117" s="476" customFormat="1"/>
    <row r="118" s="476" customFormat="1"/>
    <row r="119" s="476" customFormat="1"/>
    <row r="120" s="476" customFormat="1"/>
    <row r="121" s="476" customFormat="1"/>
    <row r="122" s="476" customFormat="1"/>
    <row r="123" s="476" customFormat="1"/>
    <row r="124" s="476" customFormat="1"/>
    <row r="125" s="476" customFormat="1"/>
    <row r="126" s="476" customFormat="1"/>
    <row r="127" s="476" customFormat="1"/>
    <row r="128" s="476" customFormat="1"/>
    <row r="129" s="476" customFormat="1"/>
    <row r="130" s="476" customFormat="1"/>
    <row r="131" s="476" customFormat="1"/>
    <row r="132" s="476" customFormat="1"/>
    <row r="133" s="476" customFormat="1"/>
    <row r="134" s="476" customFormat="1"/>
    <row r="135" s="476" customFormat="1"/>
    <row r="136" s="476" customFormat="1"/>
    <row r="137" s="476" customFormat="1"/>
    <row r="138" s="476" customFormat="1"/>
    <row r="139" s="476" customFormat="1"/>
    <row r="140" s="476" customFormat="1"/>
    <row r="141" s="476" customFormat="1"/>
    <row r="142" s="476" customFormat="1"/>
    <row r="143" s="476" customFormat="1"/>
    <row r="144" s="476" customFormat="1"/>
    <row r="145" s="476" customFormat="1"/>
    <row r="146" s="476" customFormat="1"/>
    <row r="147" s="476" customFormat="1"/>
    <row r="148" s="476" customFormat="1"/>
    <row r="149" s="476" customFormat="1"/>
    <row r="150" s="476" customFormat="1"/>
    <row r="151" s="476" customFormat="1"/>
    <row r="152" s="476" customFormat="1"/>
    <row r="153" s="476" customFormat="1"/>
    <row r="154" s="476" customFormat="1"/>
    <row r="155" s="476" customFormat="1"/>
    <row r="156" s="476" customFormat="1"/>
    <row r="157" s="476" customFormat="1"/>
    <row r="158" s="476" customFormat="1"/>
    <row r="159" s="476" customFormat="1"/>
    <row r="160" s="476" customFormat="1"/>
    <row r="161" s="476" customFormat="1"/>
    <row r="162" s="476" customFormat="1"/>
    <row r="163" s="476" customFormat="1"/>
    <row r="164" s="476" customFormat="1"/>
    <row r="165" s="476" customFormat="1"/>
    <row r="166" s="476" customFormat="1"/>
    <row r="167" s="476" customFormat="1"/>
    <row r="168" s="476" customFormat="1"/>
    <row r="169" s="476" customFormat="1"/>
    <row r="170" s="476" customFormat="1"/>
    <row r="171" s="476" customFormat="1"/>
    <row r="172" s="476" customFormat="1"/>
    <row r="173" s="476" customFormat="1"/>
    <row r="174" s="476" customFormat="1"/>
    <row r="175" s="476" customFormat="1"/>
    <row r="176" s="476" customFormat="1"/>
    <row r="177" s="476" customFormat="1"/>
    <row r="178" s="476" customFormat="1"/>
    <row r="179" s="476" customFormat="1"/>
    <row r="180" s="476" customFormat="1"/>
    <row r="181" s="476" customFormat="1"/>
    <row r="182" s="476" customFormat="1"/>
    <row r="183" s="476" customFormat="1"/>
    <row r="184" s="476" customFormat="1"/>
    <row r="185" s="476" customFormat="1"/>
    <row r="186" s="476" customFormat="1"/>
    <row r="187" s="476" customFormat="1"/>
    <row r="188" s="476" customFormat="1"/>
    <row r="189" s="476" customFormat="1"/>
    <row r="190" s="476" customFormat="1"/>
    <row r="191" s="476" customFormat="1"/>
    <row r="192" s="476" customFormat="1"/>
    <row r="193" s="476" customFormat="1"/>
    <row r="194" s="476" customFormat="1"/>
    <row r="195" s="476" customFormat="1"/>
    <row r="196" s="476" customFormat="1"/>
    <row r="197" s="476" customFormat="1"/>
    <row r="198" s="476" customFormat="1"/>
    <row r="199" s="476" customFormat="1"/>
    <row r="200" s="476" customFormat="1"/>
    <row r="201" s="476" customFormat="1"/>
    <row r="202" s="476" customFormat="1"/>
    <row r="203" s="476" customFormat="1"/>
    <row r="204" s="476" customFormat="1"/>
    <row r="205" s="476" customFormat="1"/>
    <row r="206" s="476" customFormat="1"/>
    <row r="207" s="476" customFormat="1"/>
    <row r="208" s="476" customFormat="1"/>
    <row r="209" s="476" customFormat="1"/>
    <row r="210" s="476" customFormat="1"/>
    <row r="211" s="476" customFormat="1"/>
    <row r="212" s="476" customFormat="1"/>
    <row r="213" s="476" customFormat="1"/>
    <row r="214" s="476" customFormat="1"/>
    <row r="215" s="476" customFormat="1"/>
    <row r="216" s="476" customFormat="1"/>
    <row r="217" s="476" customFormat="1"/>
    <row r="218" s="476" customFormat="1"/>
    <row r="219" s="476" customFormat="1"/>
    <row r="220" s="476" customFormat="1"/>
    <row r="221" s="476" customFormat="1"/>
    <row r="222" s="476" customFormat="1"/>
    <row r="223" s="476" customFormat="1"/>
    <row r="224" s="476" customFormat="1"/>
    <row r="225" s="476" customFormat="1"/>
    <row r="226" s="476" customFormat="1"/>
    <row r="227" s="476" customFormat="1"/>
    <row r="228" s="476" customFormat="1"/>
    <row r="229" s="476" customFormat="1"/>
    <row r="230" s="476" customFormat="1"/>
    <row r="231" s="476" customFormat="1"/>
    <row r="232" s="476" customFormat="1"/>
    <row r="233" s="476" customFormat="1"/>
    <row r="234" s="476" customFormat="1"/>
    <row r="235" s="476" customFormat="1"/>
    <row r="236" s="476" customFormat="1"/>
    <row r="237" s="476" customFormat="1"/>
    <row r="238" s="476" customFormat="1"/>
    <row r="239" s="476" customFormat="1"/>
    <row r="240" s="476" customFormat="1"/>
    <row r="241" s="476" customFormat="1"/>
    <row r="242" s="476" customFormat="1"/>
    <row r="243" s="476" customFormat="1"/>
    <row r="244" s="476" customFormat="1"/>
    <row r="245" s="476" customFormat="1"/>
    <row r="246" s="476" customFormat="1"/>
    <row r="247" s="476" customFormat="1"/>
    <row r="248" s="476" customFormat="1"/>
    <row r="249" s="476" customFormat="1"/>
    <row r="250" s="476" customFormat="1"/>
    <row r="251" s="476" customFormat="1"/>
    <row r="252" s="476" customFormat="1"/>
    <row r="253" s="476" customFormat="1"/>
    <row r="254" s="476" customFormat="1"/>
    <row r="255" s="476" customFormat="1"/>
    <row r="256" s="476" customFormat="1"/>
    <row r="257" s="476" customFormat="1"/>
    <row r="258" s="476" customFormat="1"/>
    <row r="259" s="476" customFormat="1"/>
    <row r="260" s="476" customFormat="1"/>
    <row r="261" s="476" customFormat="1"/>
    <row r="262" s="476" customFormat="1"/>
    <row r="263" s="476" customFormat="1"/>
    <row r="264" s="476" customFormat="1"/>
    <row r="265" s="476" customFormat="1"/>
    <row r="266" s="476" customFormat="1"/>
    <row r="267" s="476" customFormat="1"/>
    <row r="268" s="476" customFormat="1"/>
    <row r="269" s="476" customFormat="1"/>
    <row r="270" s="476" customFormat="1"/>
    <row r="271" s="476" customFormat="1"/>
    <row r="272" s="476" customFormat="1"/>
    <row r="273" s="476" customFormat="1"/>
    <row r="274" s="476" customFormat="1"/>
    <row r="275" s="476" customFormat="1"/>
    <row r="276" s="476" customFormat="1"/>
    <row r="277" s="476" customFormat="1"/>
    <row r="278" s="476" customFormat="1"/>
    <row r="279" s="476" customFormat="1"/>
    <row r="280" s="476" customFormat="1"/>
    <row r="281" s="476" customFormat="1"/>
    <row r="282" s="476" customFormat="1"/>
    <row r="283" s="476" customFormat="1"/>
    <row r="284" s="476" customFormat="1"/>
    <row r="285" s="476" customFormat="1"/>
    <row r="286" s="476" customFormat="1"/>
    <row r="287" s="476" customFormat="1"/>
    <row r="288" s="476" customFormat="1"/>
    <row r="289" s="476" customFormat="1"/>
    <row r="290" s="476" customFormat="1"/>
    <row r="291" s="476" customFormat="1"/>
    <row r="292" s="476" customFormat="1"/>
    <row r="293" s="476" customFormat="1"/>
    <row r="294" s="476" customFormat="1"/>
    <row r="295" s="476" customFormat="1"/>
    <row r="296" s="476" customFormat="1"/>
    <row r="297" s="476" customFormat="1"/>
    <row r="298" s="476" customFormat="1"/>
    <row r="299" s="476" customFormat="1"/>
    <row r="300" s="476" customFormat="1"/>
    <row r="301" s="476" customFormat="1"/>
    <row r="302" s="476" customFormat="1"/>
    <row r="303" s="476" customFormat="1"/>
    <row r="304" s="476" customFormat="1"/>
    <row r="305" s="476" customFormat="1"/>
    <row r="306" s="476" customFormat="1"/>
    <row r="307" s="476" customFormat="1"/>
    <row r="308" s="476" customFormat="1"/>
    <row r="309" s="476" customFormat="1"/>
    <row r="310" s="476" customFormat="1"/>
    <row r="311" s="476" customFormat="1"/>
  </sheetData>
  <sheetProtection password="B1AF" sheet="1"/>
  <mergeCells count="19">
    <mergeCell ref="B6:D6"/>
    <mergeCell ref="B9:D9"/>
    <mergeCell ref="B10:D10"/>
    <mergeCell ref="F10:G10"/>
    <mergeCell ref="B11:D11"/>
    <mergeCell ref="B12:D12"/>
    <mergeCell ref="B13:D13"/>
    <mergeCell ref="B17:E17"/>
    <mergeCell ref="B18:E18"/>
    <mergeCell ref="B19:E19"/>
    <mergeCell ref="B20:E20"/>
    <mergeCell ref="B21:E21"/>
    <mergeCell ref="E43:F43"/>
    <mergeCell ref="F21:G21"/>
    <mergeCell ref="K21:L21"/>
    <mergeCell ref="B24:E24"/>
    <mergeCell ref="B25:E25"/>
    <mergeCell ref="H28:I28"/>
    <mergeCell ref="E42:F42"/>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8AAC-4FB0-4E06-BD7D-04DC4AA1DAD5}">
  <sheetPr codeName="Feuil13"/>
  <dimension ref="B1:BR935"/>
  <sheetViews>
    <sheetView showGridLines="0" workbookViewId="0">
      <selection activeCell="C30" sqref="C30"/>
    </sheetView>
  </sheetViews>
  <sheetFormatPr baseColWidth="10" defaultRowHeight="12.5"/>
  <cols>
    <col min="1" max="2" width="2.7265625" customWidth="1"/>
    <col min="3" max="3" width="61.1796875" customWidth="1"/>
    <col min="12" max="12" width="16.81640625" customWidth="1"/>
    <col min="15" max="70" width="11.453125" style="476" customWidth="1"/>
  </cols>
  <sheetData>
    <row r="1" spans="2:16" ht="13.5" customHeight="1"/>
    <row r="2" spans="2:16" ht="26.25" customHeight="1">
      <c r="B2" s="417" t="s">
        <v>5543</v>
      </c>
    </row>
    <row r="3" spans="2:16" ht="18" customHeight="1">
      <c r="B3" s="418" t="s">
        <v>5524</v>
      </c>
    </row>
    <row r="4" spans="2:16" ht="18" customHeight="1"/>
    <row r="5" spans="2:16" ht="18" customHeight="1">
      <c r="C5" s="1619" t="s">
        <v>921</v>
      </c>
      <c r="D5" s="1619" t="s">
        <v>106</v>
      </c>
      <c r="E5" s="1619" t="s">
        <v>5531</v>
      </c>
      <c r="F5" s="1619" t="s">
        <v>5532</v>
      </c>
      <c r="G5" s="1619" t="s">
        <v>5533</v>
      </c>
      <c r="H5" s="1622" t="s">
        <v>5534</v>
      </c>
      <c r="I5" s="1622"/>
      <c r="J5" s="1622"/>
      <c r="K5" s="1622"/>
      <c r="L5" s="1619" t="s">
        <v>5539</v>
      </c>
      <c r="M5" s="1619" t="s">
        <v>5535</v>
      </c>
    </row>
    <row r="6" spans="2:16" ht="18" customHeight="1">
      <c r="C6" s="1620"/>
      <c r="D6" s="1620"/>
      <c r="E6" s="1620"/>
      <c r="F6" s="1620"/>
      <c r="G6" s="1620"/>
      <c r="H6" s="488" t="s">
        <v>5536</v>
      </c>
      <c r="I6" s="488" t="s">
        <v>5537</v>
      </c>
      <c r="J6" s="488" t="s">
        <v>5540</v>
      </c>
      <c r="K6" s="488" t="s">
        <v>5538</v>
      </c>
      <c r="L6" s="1620"/>
      <c r="M6" s="1620"/>
    </row>
    <row r="7" spans="2:16">
      <c r="C7" s="848" t="s">
        <v>293</v>
      </c>
      <c r="D7" s="849" t="s">
        <v>241</v>
      </c>
      <c r="E7" s="850">
        <v>1000</v>
      </c>
      <c r="F7" s="851">
        <v>277.77999999999997</v>
      </c>
      <c r="G7" s="850">
        <v>948055.52</v>
      </c>
      <c r="H7" s="852"/>
      <c r="I7" s="852"/>
      <c r="J7" s="852"/>
      <c r="K7" s="852"/>
      <c r="L7" s="852"/>
      <c r="M7" s="852"/>
      <c r="P7" s="598"/>
    </row>
    <row r="8" spans="2:16">
      <c r="C8" s="848" t="s">
        <v>320</v>
      </c>
      <c r="D8" s="849" t="s">
        <v>282</v>
      </c>
      <c r="E8" s="851">
        <v>35.67</v>
      </c>
      <c r="F8" s="851">
        <v>9.91</v>
      </c>
      <c r="G8" s="850">
        <v>33817.14</v>
      </c>
      <c r="H8" s="853">
        <v>2497</v>
      </c>
      <c r="I8" s="854">
        <v>0</v>
      </c>
      <c r="J8" s="854">
        <v>0</v>
      </c>
      <c r="K8" s="855">
        <v>2497</v>
      </c>
      <c r="L8" s="854">
        <v>0</v>
      </c>
      <c r="M8" s="854">
        <v>70.003</v>
      </c>
      <c r="P8" s="598"/>
    </row>
    <row r="9" spans="2:16">
      <c r="C9" s="848" t="s">
        <v>340</v>
      </c>
      <c r="D9" s="849" t="s">
        <v>281</v>
      </c>
      <c r="E9" s="851">
        <v>38.32</v>
      </c>
      <c r="F9" s="851">
        <v>10.64</v>
      </c>
      <c r="G9" s="850">
        <v>36361.42</v>
      </c>
      <c r="H9" s="853">
        <v>1878</v>
      </c>
      <c r="I9" s="854">
        <v>3.6999999999999998E-2</v>
      </c>
      <c r="J9" s="854">
        <v>3.4000000000000002E-2</v>
      </c>
      <c r="K9" s="855">
        <v>1889.32</v>
      </c>
      <c r="L9" s="854">
        <v>11.317</v>
      </c>
      <c r="M9" s="854">
        <v>49.304000000000002</v>
      </c>
      <c r="P9" s="598"/>
    </row>
    <row r="10" spans="2:16">
      <c r="C10" s="848" t="s">
        <v>5541</v>
      </c>
      <c r="D10" s="849" t="s">
        <v>282</v>
      </c>
      <c r="E10" s="851">
        <v>23.41</v>
      </c>
      <c r="F10" s="851">
        <v>6.5</v>
      </c>
      <c r="G10" s="850">
        <v>22193.98</v>
      </c>
      <c r="H10" s="853">
        <v>1519</v>
      </c>
      <c r="I10" s="854">
        <v>0</v>
      </c>
      <c r="J10" s="854">
        <v>0</v>
      </c>
      <c r="K10" s="855">
        <v>1519</v>
      </c>
      <c r="L10" s="854">
        <v>0</v>
      </c>
      <c r="M10" s="854">
        <v>64.887</v>
      </c>
      <c r="P10" s="598"/>
    </row>
    <row r="11" spans="2:16">
      <c r="C11" s="848" t="s">
        <v>283</v>
      </c>
      <c r="D11" s="849" t="s">
        <v>282</v>
      </c>
      <c r="E11" s="851">
        <v>38.299999999999997</v>
      </c>
      <c r="F11" s="851">
        <v>10.64</v>
      </c>
      <c r="G11" s="850">
        <v>36310.53</v>
      </c>
      <c r="H11" s="853">
        <v>2663</v>
      </c>
      <c r="I11" s="854">
        <v>0.13300000000000001</v>
      </c>
      <c r="J11" s="854">
        <v>0.4</v>
      </c>
      <c r="K11" s="855">
        <v>2789.7930000000001</v>
      </c>
      <c r="L11" s="855">
        <v>2789.7930000000001</v>
      </c>
      <c r="M11" s="854">
        <v>72.840999999999994</v>
      </c>
      <c r="P11" s="598"/>
    </row>
    <row r="12" spans="2:16">
      <c r="C12" s="848" t="s">
        <v>279</v>
      </c>
      <c r="D12" s="849" t="s">
        <v>107</v>
      </c>
      <c r="E12" s="851">
        <v>3.6</v>
      </c>
      <c r="F12" s="851">
        <v>1</v>
      </c>
      <c r="G12" s="850">
        <v>3413</v>
      </c>
      <c r="H12" s="856">
        <v>2</v>
      </c>
      <c r="I12" s="854">
        <v>0</v>
      </c>
      <c r="J12" s="854">
        <v>0</v>
      </c>
      <c r="K12" s="854">
        <v>2.04</v>
      </c>
      <c r="L12" s="854">
        <v>2.04</v>
      </c>
      <c r="M12" s="854">
        <v>0.56699999999999995</v>
      </c>
      <c r="P12" s="598"/>
    </row>
    <row r="13" spans="2:16">
      <c r="C13" s="848" t="s">
        <v>108</v>
      </c>
      <c r="D13" s="849" t="s">
        <v>281</v>
      </c>
      <c r="E13" s="851">
        <v>37.89</v>
      </c>
      <c r="F13" s="851">
        <v>10.53</v>
      </c>
      <c r="G13" s="850">
        <v>35921.94</v>
      </c>
      <c r="H13" s="853">
        <v>1878</v>
      </c>
      <c r="I13" s="854">
        <v>3.6999999999999998E-2</v>
      </c>
      <c r="J13" s="854">
        <v>3.4000000000000002E-2</v>
      </c>
      <c r="K13" s="855">
        <v>1889.32</v>
      </c>
      <c r="L13" s="855">
        <v>1889.32</v>
      </c>
      <c r="M13" s="854">
        <v>49.863</v>
      </c>
      <c r="P13" s="598"/>
    </row>
    <row r="14" spans="2:16">
      <c r="C14" s="848" t="s">
        <v>109</v>
      </c>
      <c r="D14" s="849" t="s">
        <v>282</v>
      </c>
      <c r="E14" s="851">
        <v>25.31</v>
      </c>
      <c r="F14" s="851">
        <v>7.03</v>
      </c>
      <c r="G14" s="850">
        <v>23995.29</v>
      </c>
      <c r="H14" s="853">
        <v>1510</v>
      </c>
      <c r="I14" s="854">
        <v>2.4E-2</v>
      </c>
      <c r="J14" s="854">
        <v>0.108</v>
      </c>
      <c r="K14" s="855">
        <v>1543.9839999999999</v>
      </c>
      <c r="L14" s="855">
        <v>1543.9839999999999</v>
      </c>
      <c r="M14" s="854">
        <v>61.003</v>
      </c>
      <c r="P14" s="598"/>
    </row>
    <row r="15" spans="2:16">
      <c r="C15" s="848" t="s">
        <v>294</v>
      </c>
      <c r="D15" s="849" t="s">
        <v>295</v>
      </c>
      <c r="E15" s="851">
        <v>1.05</v>
      </c>
      <c r="F15" s="851">
        <v>0.28999999999999998</v>
      </c>
      <c r="G15" s="850">
        <v>1000</v>
      </c>
      <c r="H15" s="852"/>
      <c r="I15" s="1621"/>
      <c r="J15" s="1621"/>
      <c r="K15" s="852"/>
      <c r="L15" s="852"/>
      <c r="M15" s="857"/>
      <c r="P15" s="598"/>
    </row>
    <row r="16" spans="2:16">
      <c r="C16" s="489"/>
      <c r="D16" s="490"/>
      <c r="E16" s="491"/>
      <c r="F16" s="491"/>
      <c r="G16" s="492"/>
      <c r="H16" s="493"/>
      <c r="I16" s="493"/>
      <c r="J16" s="493"/>
      <c r="K16" s="493"/>
      <c r="L16" s="493"/>
      <c r="M16" s="494"/>
      <c r="P16" s="598"/>
    </row>
    <row r="17" spans="3:16" ht="51" customHeight="1">
      <c r="C17" s="1618" t="s">
        <v>5542</v>
      </c>
      <c r="D17" s="1618"/>
      <c r="E17" s="1618"/>
      <c r="F17" s="1618"/>
      <c r="G17" s="1618"/>
      <c r="H17" s="1618"/>
      <c r="I17" s="1618"/>
      <c r="J17" s="1618"/>
      <c r="K17" s="1618"/>
      <c r="L17" s="1618"/>
      <c r="M17" s="1618"/>
      <c r="N17" s="603"/>
      <c r="P17" s="598"/>
    </row>
    <row r="18" spans="3:16" s="476" customFormat="1">
      <c r="P18" s="598"/>
    </row>
    <row r="19" spans="3:16" s="476" customFormat="1"/>
    <row r="20" spans="3:16" s="476" customFormat="1"/>
    <row r="21" spans="3:16" s="476" customFormat="1"/>
    <row r="22" spans="3:16" s="476" customFormat="1"/>
    <row r="23" spans="3:16" s="476" customFormat="1"/>
    <row r="24" spans="3:16" s="476" customFormat="1"/>
    <row r="25" spans="3:16" s="476" customFormat="1"/>
    <row r="26" spans="3:16" s="476" customFormat="1"/>
    <row r="27" spans="3:16" s="476" customFormat="1"/>
    <row r="28" spans="3:16" s="476" customFormat="1"/>
    <row r="29" spans="3:16" s="476" customFormat="1"/>
    <row r="30" spans="3:16" s="476" customFormat="1"/>
    <row r="31" spans="3:16" s="476" customFormat="1"/>
    <row r="32" spans="3:16" s="476" customFormat="1"/>
    <row r="33" s="476" customFormat="1"/>
    <row r="34" s="476" customFormat="1"/>
    <row r="35" s="476" customFormat="1"/>
    <row r="36" s="476" customFormat="1"/>
    <row r="37" s="476" customFormat="1"/>
    <row r="38" s="476" customFormat="1"/>
    <row r="39" s="476" customFormat="1"/>
    <row r="40" s="476" customFormat="1"/>
    <row r="41" s="476" customFormat="1"/>
    <row r="42" s="476" customFormat="1"/>
    <row r="43" s="476" customFormat="1"/>
    <row r="44" s="476" customFormat="1"/>
    <row r="45" s="476" customFormat="1"/>
    <row r="46" s="476" customFormat="1"/>
    <row r="47" s="476" customFormat="1"/>
    <row r="48" s="476" customFormat="1"/>
    <row r="49" s="476" customFormat="1"/>
    <row r="50" s="476" customFormat="1"/>
    <row r="51" s="476" customFormat="1"/>
    <row r="52" s="476" customFormat="1"/>
    <row r="53" s="476" customFormat="1"/>
    <row r="54" s="476" customFormat="1"/>
    <row r="55" s="476" customFormat="1"/>
    <row r="56" s="476" customFormat="1"/>
    <row r="57" s="476" customFormat="1"/>
    <row r="58" s="476" customFormat="1"/>
    <row r="59" s="476" customFormat="1"/>
    <row r="60" s="476" customFormat="1"/>
    <row r="61" s="476" customFormat="1"/>
    <row r="62" s="476" customFormat="1"/>
    <row r="63" s="476" customFormat="1"/>
    <row r="64" s="476" customFormat="1"/>
    <row r="65" s="476" customFormat="1"/>
    <row r="66" s="476" customFormat="1"/>
    <row r="67" s="476" customFormat="1"/>
    <row r="68" s="476" customFormat="1"/>
    <row r="69" s="476" customFormat="1"/>
    <row r="70" s="476" customFormat="1"/>
    <row r="71" s="476" customFormat="1"/>
    <row r="72" s="476" customFormat="1"/>
    <row r="73" s="476" customFormat="1"/>
    <row r="74" s="476" customFormat="1"/>
    <row r="75" s="476" customFormat="1"/>
    <row r="76" s="476" customFormat="1"/>
    <row r="77" s="476" customFormat="1"/>
    <row r="78" s="476" customFormat="1"/>
    <row r="79" s="476" customFormat="1"/>
    <row r="80" s="476" customFormat="1"/>
    <row r="81" s="476" customFormat="1"/>
    <row r="82" s="476" customFormat="1"/>
    <row r="83" s="476" customFormat="1"/>
    <row r="84" s="476" customFormat="1"/>
    <row r="85" s="476" customFormat="1"/>
    <row r="86" s="476" customFormat="1"/>
    <row r="87" s="476" customFormat="1"/>
    <row r="88" s="476" customFormat="1"/>
    <row r="89" s="476" customFormat="1"/>
    <row r="90" s="476" customFormat="1"/>
    <row r="91" s="476" customFormat="1"/>
    <row r="92" s="476" customFormat="1"/>
    <row r="93" s="476" customFormat="1"/>
    <row r="94" s="476" customFormat="1"/>
    <row r="95" s="476" customFormat="1"/>
    <row r="96" s="476" customFormat="1"/>
    <row r="97" s="476" customFormat="1"/>
    <row r="98" s="476" customFormat="1"/>
    <row r="99" s="476" customFormat="1"/>
    <row r="100" s="476" customFormat="1"/>
    <row r="101" s="476" customFormat="1"/>
    <row r="102" s="476" customFormat="1"/>
    <row r="103" s="476" customFormat="1"/>
    <row r="104" s="476" customFormat="1"/>
    <row r="105" s="476" customFormat="1"/>
    <row r="106" s="476" customFormat="1"/>
    <row r="107" s="476" customFormat="1"/>
    <row r="108" s="476" customFormat="1"/>
    <row r="109" s="476" customFormat="1"/>
    <row r="110" s="476" customFormat="1"/>
    <row r="111" s="476" customFormat="1"/>
    <row r="112" s="476" customFormat="1"/>
    <row r="113" s="476" customFormat="1"/>
    <row r="114" s="476" customFormat="1"/>
    <row r="115" s="476" customFormat="1"/>
    <row r="116" s="476" customFormat="1"/>
    <row r="117" s="476" customFormat="1"/>
    <row r="118" s="476" customFormat="1"/>
    <row r="119" s="476" customFormat="1"/>
    <row r="120" s="476" customFormat="1"/>
    <row r="121" s="476" customFormat="1"/>
    <row r="122" s="476" customFormat="1"/>
    <row r="123" s="476" customFormat="1"/>
    <row r="124" s="476" customFormat="1"/>
    <row r="125" s="476" customFormat="1"/>
    <row r="126" s="476" customFormat="1"/>
    <row r="127" s="476" customFormat="1"/>
    <row r="128" s="476" customFormat="1"/>
    <row r="129" s="476" customFormat="1"/>
    <row r="130" s="476" customFormat="1"/>
    <row r="131" s="476" customFormat="1"/>
    <row r="132" s="476" customFormat="1"/>
    <row r="133" s="476" customFormat="1"/>
    <row r="134" s="476" customFormat="1"/>
    <row r="135" s="476" customFormat="1"/>
    <row r="136" s="476" customFormat="1"/>
    <row r="137" s="476" customFormat="1"/>
    <row r="138" s="476" customFormat="1"/>
    <row r="139" s="476" customFormat="1"/>
    <row r="140" s="476" customFormat="1"/>
    <row r="141" s="476" customFormat="1"/>
    <row r="142" s="476" customFormat="1"/>
    <row r="143" s="476" customFormat="1"/>
    <row r="144" s="476" customFormat="1"/>
    <row r="145" s="476" customFormat="1"/>
    <row r="146" s="476" customFormat="1"/>
    <row r="147" s="476" customFormat="1"/>
    <row r="148" s="476" customFormat="1"/>
    <row r="149" s="476" customFormat="1"/>
    <row r="150" s="476" customFormat="1"/>
    <row r="151" s="476" customFormat="1"/>
    <row r="152" s="476" customFormat="1"/>
    <row r="153" s="476" customFormat="1"/>
    <row r="154" s="476" customFormat="1"/>
    <row r="155" s="476" customFormat="1"/>
    <row r="156" s="476" customFormat="1"/>
    <row r="157" s="476" customFormat="1"/>
    <row r="158" s="476" customFormat="1"/>
    <row r="159" s="476" customFormat="1"/>
    <row r="160" s="476" customFormat="1"/>
    <row r="161" s="476" customFormat="1"/>
    <row r="162" s="476" customFormat="1"/>
    <row r="163" s="476" customFormat="1"/>
    <row r="164" s="476" customFormat="1"/>
    <row r="165" s="476" customFormat="1"/>
    <row r="166" s="476" customFormat="1"/>
    <row r="167" s="476" customFormat="1"/>
    <row r="168" s="476" customFormat="1"/>
    <row r="169" s="476" customFormat="1"/>
    <row r="170" s="476" customFormat="1"/>
    <row r="171" s="476" customFormat="1"/>
    <row r="172" s="476" customFormat="1"/>
    <row r="173" s="476" customFormat="1"/>
    <row r="174" s="476" customFormat="1"/>
    <row r="175" s="476" customFormat="1"/>
    <row r="176" s="476" customFormat="1"/>
    <row r="177" s="476" customFormat="1"/>
    <row r="178" s="476" customFormat="1"/>
    <row r="179" s="476" customFormat="1"/>
    <row r="180" s="476" customFormat="1"/>
    <row r="181" s="476" customFormat="1"/>
    <row r="182" s="476" customFormat="1"/>
    <row r="183" s="476" customFormat="1"/>
    <row r="184" s="476" customFormat="1"/>
    <row r="185" s="476" customFormat="1"/>
    <row r="186" s="476" customFormat="1"/>
    <row r="187" s="476" customFormat="1"/>
    <row r="188" s="476" customFormat="1"/>
    <row r="189" s="476" customFormat="1"/>
    <row r="190" s="476" customFormat="1"/>
    <row r="191" s="476" customFormat="1"/>
    <row r="192" s="476" customFormat="1"/>
    <row r="193" s="476" customFormat="1"/>
    <row r="194" s="476" customFormat="1"/>
    <row r="195" s="476" customFormat="1"/>
    <row r="196" s="476" customFormat="1"/>
    <row r="197" s="476" customFormat="1"/>
    <row r="198" s="476" customFormat="1"/>
    <row r="199" s="476" customFormat="1"/>
    <row r="200" s="476" customFormat="1"/>
    <row r="201" s="476" customFormat="1"/>
    <row r="202" s="476" customFormat="1"/>
    <row r="203" s="476" customFormat="1"/>
    <row r="204" s="476" customFormat="1"/>
    <row r="205" s="476" customFormat="1"/>
    <row r="206" s="476" customFormat="1"/>
    <row r="207" s="476" customFormat="1"/>
    <row r="208" s="476" customFormat="1"/>
    <row r="209" s="476" customFormat="1"/>
    <row r="210" s="476" customFormat="1"/>
    <row r="211" s="476" customFormat="1"/>
    <row r="212" s="476" customFormat="1"/>
    <row r="213" s="476" customFormat="1"/>
    <row r="214" s="476" customFormat="1"/>
    <row r="215" s="476" customFormat="1"/>
    <row r="216" s="476" customFormat="1"/>
    <row r="217" s="476" customFormat="1"/>
    <row r="218" s="476" customFormat="1"/>
    <row r="219" s="476" customFormat="1"/>
    <row r="220" s="476" customFormat="1"/>
    <row r="221" s="476" customFormat="1"/>
    <row r="222" s="476" customFormat="1"/>
    <row r="223" s="476" customFormat="1"/>
    <row r="224" s="476" customFormat="1"/>
    <row r="225" s="476" customFormat="1"/>
    <row r="226" s="476" customFormat="1"/>
    <row r="227" s="476" customFormat="1"/>
    <row r="228" s="476" customFormat="1"/>
    <row r="229" s="476" customFormat="1"/>
    <row r="230" s="476" customFormat="1"/>
    <row r="231" s="476" customFormat="1"/>
    <row r="232" s="476" customFormat="1"/>
    <row r="233" s="476" customFormat="1"/>
    <row r="234" s="476" customFormat="1"/>
    <row r="235" s="476" customFormat="1"/>
    <row r="236" s="476" customFormat="1"/>
    <row r="237" s="476" customFormat="1"/>
    <row r="238" s="476" customFormat="1"/>
    <row r="239" s="476" customFormat="1"/>
    <row r="240" s="476" customFormat="1"/>
    <row r="241" s="476" customFormat="1"/>
    <row r="242" s="476" customFormat="1"/>
    <row r="243" s="476" customFormat="1"/>
    <row r="244" s="476" customFormat="1"/>
    <row r="245" s="476" customFormat="1"/>
    <row r="246" s="476" customFormat="1"/>
    <row r="247" s="476" customFormat="1"/>
    <row r="248" s="476" customFormat="1"/>
    <row r="249" s="476" customFormat="1"/>
    <row r="250" s="476" customFormat="1"/>
    <row r="251" s="476" customFormat="1"/>
    <row r="252" s="476" customFormat="1"/>
    <row r="253" s="476" customFormat="1"/>
    <row r="254" s="476" customFormat="1"/>
    <row r="255" s="476" customFormat="1"/>
    <row r="256" s="476" customFormat="1"/>
    <row r="257" s="476" customFormat="1"/>
    <row r="258" s="476" customFormat="1"/>
    <row r="259" s="476" customFormat="1"/>
    <row r="260" s="476" customFormat="1"/>
    <row r="261" s="476" customFormat="1"/>
    <row r="262" s="476" customFormat="1"/>
    <row r="263" s="476" customFormat="1"/>
    <row r="264" s="476" customFormat="1"/>
    <row r="265" s="476" customFormat="1"/>
    <row r="266" s="476" customFormat="1"/>
    <row r="267" s="476" customFormat="1"/>
    <row r="268" s="476" customFormat="1"/>
    <row r="269" s="476" customFormat="1"/>
    <row r="270" s="476" customFormat="1"/>
    <row r="271" s="476" customFormat="1"/>
    <row r="272" s="476" customFormat="1"/>
    <row r="273" s="476" customFormat="1"/>
    <row r="274" s="476" customFormat="1"/>
    <row r="275" s="476" customFormat="1"/>
    <row r="276" s="476" customFormat="1"/>
    <row r="277" s="476" customFormat="1"/>
    <row r="278" s="476" customFormat="1"/>
    <row r="279" s="476" customFormat="1"/>
    <row r="280" s="476" customFormat="1"/>
    <row r="281" s="476" customFormat="1"/>
    <row r="282" s="476" customFormat="1"/>
    <row r="283" s="476" customFormat="1"/>
    <row r="284" s="476" customFormat="1"/>
    <row r="285" s="476" customFormat="1"/>
    <row r="286" s="476" customFormat="1"/>
    <row r="287" s="476" customFormat="1"/>
    <row r="288" s="476" customFormat="1"/>
    <row r="289" s="476" customFormat="1"/>
    <row r="290" s="476" customFormat="1"/>
    <row r="291" s="476" customFormat="1"/>
    <row r="292" s="476" customFormat="1"/>
    <row r="293" s="476" customFormat="1"/>
    <row r="294" s="476" customFormat="1"/>
    <row r="295" s="476" customFormat="1"/>
    <row r="296" s="476" customFormat="1"/>
    <row r="297" s="476" customFormat="1"/>
    <row r="298" s="476" customFormat="1"/>
    <row r="299" s="476" customFormat="1"/>
    <row r="300" s="476" customFormat="1"/>
    <row r="301" s="476" customFormat="1"/>
    <row r="302" s="476" customFormat="1"/>
    <row r="303" s="476" customFormat="1"/>
    <row r="304" s="476" customFormat="1"/>
    <row r="305" s="476" customFormat="1"/>
    <row r="306" s="476" customFormat="1"/>
    <row r="307" s="476" customFormat="1"/>
    <row r="308" s="476" customFormat="1"/>
    <row r="309" s="476" customFormat="1"/>
    <row r="310" s="476" customFormat="1"/>
    <row r="311" s="476" customFormat="1"/>
    <row r="312" s="476" customFormat="1"/>
    <row r="313" s="476" customFormat="1"/>
    <row r="314" s="476" customFormat="1"/>
    <row r="315" s="476" customFormat="1"/>
    <row r="316" s="476" customFormat="1"/>
    <row r="317" s="476" customFormat="1"/>
    <row r="318" s="476" customFormat="1"/>
    <row r="319" s="476" customFormat="1"/>
    <row r="320" s="476" customFormat="1"/>
    <row r="321" s="476" customFormat="1"/>
    <row r="322" s="476" customFormat="1"/>
    <row r="323" s="476" customFormat="1"/>
    <row r="324" s="476" customFormat="1"/>
    <row r="325" s="476" customFormat="1"/>
    <row r="326" s="476" customFormat="1"/>
    <row r="327" s="476" customFormat="1"/>
    <row r="328" s="476" customFormat="1"/>
    <row r="329" s="476" customFormat="1"/>
    <row r="330" s="476" customFormat="1"/>
    <row r="331" s="476" customFormat="1"/>
    <row r="332" s="476" customFormat="1"/>
    <row r="333" s="476" customFormat="1"/>
    <row r="334" s="476" customFormat="1"/>
    <row r="335" s="476" customFormat="1"/>
    <row r="336" s="476" customFormat="1"/>
    <row r="337" s="476" customFormat="1"/>
    <row r="338" s="476" customFormat="1"/>
    <row r="339" s="476" customFormat="1"/>
    <row r="340" s="476" customFormat="1"/>
    <row r="341" s="476" customFormat="1"/>
    <row r="342" s="476" customFormat="1"/>
    <row r="343" s="476" customFormat="1"/>
    <row r="344" s="476" customFormat="1"/>
    <row r="345" s="476" customFormat="1"/>
    <row r="346" s="476" customFormat="1"/>
    <row r="347" s="476" customFormat="1"/>
    <row r="348" s="476" customFormat="1"/>
    <row r="349" s="476" customFormat="1"/>
    <row r="350" s="476" customFormat="1"/>
    <row r="351" s="476" customFormat="1"/>
    <row r="352" s="476" customFormat="1"/>
    <row r="353" s="476" customFormat="1"/>
    <row r="354" s="476" customFormat="1"/>
    <row r="355" s="476" customFormat="1"/>
    <row r="356" s="476" customFormat="1"/>
    <row r="357" s="476" customFormat="1"/>
    <row r="358" s="476" customFormat="1"/>
    <row r="359" s="476" customFormat="1"/>
    <row r="360" s="476" customFormat="1"/>
    <row r="361" s="476" customFormat="1"/>
    <row r="362" s="476" customFormat="1"/>
    <row r="363" s="476" customFormat="1"/>
    <row r="364" s="476" customFormat="1"/>
    <row r="365" s="476" customFormat="1"/>
    <row r="366" s="476" customFormat="1"/>
    <row r="367" s="476" customFormat="1"/>
    <row r="368" s="476" customFormat="1"/>
    <row r="369" s="476" customFormat="1"/>
    <row r="370" s="476" customFormat="1"/>
    <row r="371" s="476" customFormat="1"/>
    <row r="372" s="476" customFormat="1"/>
    <row r="373" s="476" customFormat="1"/>
    <row r="374" s="476" customFormat="1"/>
    <row r="375" s="476" customFormat="1"/>
    <row r="376" s="476" customFormat="1"/>
    <row r="377" s="476" customFormat="1"/>
    <row r="378" s="476" customFormat="1"/>
    <row r="379" s="476" customFormat="1"/>
    <row r="380" s="476" customFormat="1"/>
    <row r="381" s="476" customFormat="1"/>
    <row r="382" s="476" customFormat="1"/>
    <row r="383" s="476" customFormat="1"/>
    <row r="384" s="476" customFormat="1"/>
    <row r="385" s="476" customFormat="1"/>
    <row r="386" s="476" customFormat="1"/>
    <row r="387" s="476" customFormat="1"/>
    <row r="388" s="476" customFormat="1"/>
    <row r="389" s="476" customFormat="1"/>
    <row r="390" s="476" customFormat="1"/>
    <row r="391" s="476" customFormat="1"/>
    <row r="392" s="476" customFormat="1"/>
    <row r="393" s="476" customFormat="1"/>
    <row r="394" s="476" customFormat="1"/>
    <row r="395" s="476" customFormat="1"/>
    <row r="396" s="476" customFormat="1"/>
    <row r="397" s="476" customFormat="1"/>
    <row r="398" s="476" customFormat="1"/>
    <row r="399" s="476" customFormat="1"/>
    <row r="400" s="476" customFormat="1"/>
    <row r="401" s="476" customFormat="1"/>
    <row r="402" s="476" customFormat="1"/>
    <row r="403" s="476" customFormat="1"/>
    <row r="404" s="476" customFormat="1"/>
    <row r="405" s="476" customFormat="1"/>
    <row r="406" s="476" customFormat="1"/>
    <row r="407" s="476" customFormat="1"/>
    <row r="408" s="476" customFormat="1"/>
    <row r="409" s="476" customFormat="1"/>
    <row r="410" s="476" customFormat="1"/>
    <row r="411" s="476" customFormat="1"/>
    <row r="412" s="476" customFormat="1"/>
    <row r="413" s="476" customFormat="1"/>
    <row r="414" s="476" customFormat="1"/>
    <row r="415" s="476" customFormat="1"/>
    <row r="416" s="476" customFormat="1"/>
    <row r="417" s="476" customFormat="1"/>
    <row r="418" s="476" customFormat="1"/>
    <row r="419" s="476" customFormat="1"/>
    <row r="420" s="476" customFormat="1"/>
    <row r="421" s="476" customFormat="1"/>
    <row r="422" s="476" customFormat="1"/>
    <row r="423" s="476" customFormat="1"/>
    <row r="424" s="476" customFormat="1"/>
    <row r="425" s="476" customFormat="1"/>
    <row r="426" s="476" customFormat="1"/>
    <row r="427" s="476" customFormat="1"/>
    <row r="428" s="476" customFormat="1"/>
    <row r="429" s="476" customFormat="1"/>
    <row r="430" s="476" customFormat="1"/>
    <row r="431" s="476" customFormat="1"/>
    <row r="432" s="476" customFormat="1"/>
    <row r="433" s="476" customFormat="1"/>
    <row r="434" s="476" customFormat="1"/>
    <row r="435" s="476" customFormat="1"/>
    <row r="436" s="476" customFormat="1"/>
    <row r="437" s="476" customFormat="1"/>
    <row r="438" s="476" customFormat="1"/>
    <row r="439" s="476" customFormat="1"/>
    <row r="440" s="476" customFormat="1"/>
    <row r="441" s="476" customFormat="1"/>
    <row r="442" s="476" customFormat="1"/>
    <row r="443" s="476" customFormat="1"/>
    <row r="444" s="476" customFormat="1"/>
    <row r="445" s="476" customFormat="1"/>
    <row r="446" s="476" customFormat="1"/>
    <row r="447" s="476" customFormat="1"/>
    <row r="448" s="476" customFormat="1"/>
    <row r="449" s="476" customFormat="1"/>
    <row r="450" s="476" customFormat="1"/>
    <row r="451" s="476" customFormat="1"/>
    <row r="452" s="476" customFormat="1"/>
    <row r="453" s="476" customFormat="1"/>
    <row r="454" s="476" customFormat="1"/>
    <row r="455" s="476" customFormat="1"/>
    <row r="456" s="476" customFormat="1"/>
    <row r="457" s="476" customFormat="1"/>
    <row r="458" s="476" customFormat="1"/>
    <row r="459" s="476" customFormat="1"/>
    <row r="460" s="476" customFormat="1"/>
    <row r="461" s="476" customFormat="1"/>
    <row r="462" s="476" customFormat="1"/>
    <row r="463" s="476" customFormat="1"/>
    <row r="464" s="476" customFormat="1"/>
    <row r="465" s="476" customFormat="1"/>
    <row r="466" s="476" customFormat="1"/>
    <row r="467" s="476" customFormat="1"/>
    <row r="468" s="476" customFormat="1"/>
    <row r="469" s="476" customFormat="1"/>
    <row r="470" s="476" customFormat="1"/>
    <row r="471" s="476" customFormat="1"/>
    <row r="472" s="476" customFormat="1"/>
    <row r="473" s="476" customFormat="1"/>
    <row r="474" s="476" customFormat="1"/>
    <row r="475" s="476" customFormat="1"/>
    <row r="476" s="476" customFormat="1"/>
    <row r="477" s="476" customFormat="1"/>
    <row r="478" s="476" customFormat="1"/>
    <row r="479" s="476" customFormat="1"/>
    <row r="480" s="476" customFormat="1"/>
    <row r="481" s="476" customFormat="1"/>
    <row r="482" s="476" customFormat="1"/>
    <row r="483" s="476" customFormat="1"/>
    <row r="484" s="476" customFormat="1"/>
    <row r="485" s="476" customFormat="1"/>
    <row r="486" s="476" customFormat="1"/>
    <row r="487" s="476" customFormat="1"/>
    <row r="488" s="476" customFormat="1"/>
    <row r="489" s="476" customFormat="1"/>
    <row r="490" s="476" customFormat="1"/>
    <row r="491" s="476" customFormat="1"/>
    <row r="492" s="476" customFormat="1"/>
    <row r="493" s="476" customFormat="1"/>
    <row r="494" s="476" customFormat="1"/>
    <row r="495" s="476" customFormat="1"/>
    <row r="496" s="476" customFormat="1"/>
    <row r="497" s="476" customFormat="1"/>
    <row r="498" s="476" customFormat="1"/>
    <row r="499" s="476" customFormat="1"/>
    <row r="500" s="476" customFormat="1"/>
    <row r="501" s="476" customFormat="1"/>
    <row r="502" s="476" customFormat="1"/>
    <row r="503" s="476" customFormat="1"/>
    <row r="504" s="476" customFormat="1"/>
    <row r="505" s="476" customFormat="1"/>
    <row r="506" s="476" customFormat="1"/>
    <row r="507" s="476" customFormat="1"/>
    <row r="508" s="476" customFormat="1"/>
    <row r="509" s="476" customFormat="1"/>
    <row r="510" s="476" customFormat="1"/>
    <row r="511" s="476" customFormat="1"/>
    <row r="512" s="476" customFormat="1"/>
    <row r="513" s="476" customFormat="1"/>
    <row r="514" s="476" customFormat="1"/>
    <row r="515" s="476" customFormat="1"/>
    <row r="516" s="476" customFormat="1"/>
    <row r="517" s="476" customFormat="1"/>
    <row r="518" s="476" customFormat="1"/>
    <row r="519" s="476" customFormat="1"/>
    <row r="520" s="476" customFormat="1"/>
    <row r="521" s="476" customFormat="1"/>
    <row r="522" s="476" customFormat="1"/>
    <row r="523" s="476" customFormat="1"/>
    <row r="524" s="476" customFormat="1"/>
    <row r="525" s="476" customFormat="1"/>
    <row r="526" s="476" customFormat="1"/>
    <row r="527" s="476" customFormat="1"/>
    <row r="528" s="476" customFormat="1"/>
    <row r="529" s="476" customFormat="1"/>
    <row r="530" s="476" customFormat="1"/>
    <row r="531" s="476" customFormat="1"/>
    <row r="532" s="476" customFormat="1"/>
    <row r="533" s="476" customFormat="1"/>
    <row r="534" s="476" customFormat="1"/>
    <row r="535" s="476" customFormat="1"/>
    <row r="536" s="476" customFormat="1"/>
    <row r="537" s="476" customFormat="1"/>
    <row r="538" s="476" customFormat="1"/>
    <row r="539" s="476" customFormat="1"/>
    <row r="540" s="476" customFormat="1"/>
    <row r="541" s="476" customFormat="1"/>
    <row r="542" s="476" customFormat="1"/>
    <row r="543" s="476" customFormat="1"/>
    <row r="544" s="476" customFormat="1"/>
    <row r="545" s="476" customFormat="1"/>
    <row r="546" s="476" customFormat="1"/>
    <row r="547" s="476" customFormat="1"/>
    <row r="548" s="476" customFormat="1"/>
    <row r="549" s="476" customFormat="1"/>
    <row r="550" s="476" customFormat="1"/>
    <row r="551" s="476" customFormat="1"/>
    <row r="552" s="476" customFormat="1"/>
    <row r="553" s="476" customFormat="1"/>
    <row r="554" s="476" customFormat="1"/>
    <row r="555" s="476" customFormat="1"/>
    <row r="556" s="476" customFormat="1"/>
    <row r="557" s="476" customFormat="1"/>
    <row r="558" s="476" customFormat="1"/>
    <row r="559" s="476" customFormat="1"/>
    <row r="560" s="476" customFormat="1"/>
    <row r="561" s="476" customFormat="1"/>
    <row r="562" s="476" customFormat="1"/>
    <row r="563" s="476" customFormat="1"/>
    <row r="564" s="476" customFormat="1"/>
    <row r="565" s="476" customFormat="1"/>
    <row r="566" s="476" customFormat="1"/>
    <row r="567" s="476" customFormat="1"/>
    <row r="568" s="476" customFormat="1"/>
    <row r="569" s="476" customFormat="1"/>
    <row r="570" s="476" customFormat="1"/>
    <row r="571" s="476" customFormat="1"/>
    <row r="572" s="476" customFormat="1"/>
    <row r="573" s="476" customFormat="1"/>
    <row r="574" s="476" customFormat="1"/>
    <row r="575" s="476" customFormat="1"/>
    <row r="576" s="476" customFormat="1"/>
    <row r="577" s="476" customFormat="1"/>
    <row r="578" s="476" customFormat="1"/>
    <row r="579" s="476" customFormat="1"/>
    <row r="580" s="476" customFormat="1"/>
    <row r="581" s="476" customFormat="1"/>
    <row r="582" s="476" customFormat="1"/>
    <row r="583" s="476" customFormat="1"/>
    <row r="584" s="476" customFormat="1"/>
    <row r="585" s="476" customFormat="1"/>
    <row r="586" s="476" customFormat="1"/>
    <row r="587" s="476" customFormat="1"/>
    <row r="588" s="476" customFormat="1"/>
    <row r="589" s="476" customFormat="1"/>
    <row r="590" s="476" customFormat="1"/>
    <row r="591" s="476" customFormat="1"/>
    <row r="592" s="476" customFormat="1"/>
    <row r="593" s="476" customFormat="1"/>
    <row r="594" s="476" customFormat="1"/>
    <row r="595" s="476" customFormat="1"/>
    <row r="596" s="476" customFormat="1"/>
    <row r="597" s="476" customFormat="1"/>
    <row r="598" s="476" customFormat="1"/>
    <row r="599" s="476" customFormat="1"/>
    <row r="600" s="476" customFormat="1"/>
    <row r="601" s="476" customFormat="1"/>
    <row r="602" s="476" customFormat="1"/>
    <row r="603" s="476" customFormat="1"/>
    <row r="604" s="476" customFormat="1"/>
    <row r="605" s="476" customFormat="1"/>
    <row r="606" s="476" customFormat="1"/>
    <row r="607" s="476" customFormat="1"/>
    <row r="608" s="476" customFormat="1"/>
    <row r="609" s="476" customFormat="1"/>
    <row r="610" s="476" customFormat="1"/>
    <row r="611" s="476" customFormat="1"/>
    <row r="612" s="476" customFormat="1"/>
    <row r="613" s="476" customFormat="1"/>
    <row r="614" s="476" customFormat="1"/>
    <row r="615" s="476" customFormat="1"/>
    <row r="616" s="476" customFormat="1"/>
    <row r="617" s="476" customFormat="1"/>
    <row r="618" s="476" customFormat="1"/>
    <row r="619" s="476" customFormat="1"/>
    <row r="620" s="476" customFormat="1"/>
    <row r="621" s="476" customFormat="1"/>
    <row r="622" s="476" customFormat="1"/>
    <row r="623" s="476" customFormat="1"/>
    <row r="624" s="476" customFormat="1"/>
    <row r="625" s="476" customFormat="1"/>
    <row r="626" s="476" customFormat="1"/>
    <row r="627" s="476" customFormat="1"/>
    <row r="628" s="476" customFormat="1"/>
    <row r="629" s="476" customFormat="1"/>
    <row r="630" s="476" customFormat="1"/>
    <row r="631" s="476" customFormat="1"/>
    <row r="632" s="476" customFormat="1"/>
    <row r="633" s="476" customFormat="1"/>
    <row r="634" s="476" customFormat="1"/>
    <row r="635" s="476" customFormat="1"/>
    <row r="636" s="476" customFormat="1"/>
    <row r="637" s="476" customFormat="1"/>
    <row r="638" s="476" customFormat="1"/>
    <row r="639" s="476" customFormat="1"/>
    <row r="640" s="476" customFormat="1"/>
    <row r="641" s="476" customFormat="1"/>
    <row r="642" s="476" customFormat="1"/>
    <row r="643" s="476" customFormat="1"/>
    <row r="644" s="476" customFormat="1"/>
    <row r="645" s="476" customFormat="1"/>
    <row r="646" s="476" customFormat="1"/>
    <row r="647" s="476" customFormat="1"/>
    <row r="648" s="476" customFormat="1"/>
    <row r="649" s="476" customFormat="1"/>
    <row r="650" s="476" customFormat="1"/>
    <row r="651" s="476" customFormat="1"/>
    <row r="652" s="476" customFormat="1"/>
    <row r="653" s="476" customFormat="1"/>
    <row r="654" s="476" customFormat="1"/>
    <row r="655" s="476" customFormat="1"/>
    <row r="656" s="476" customFormat="1"/>
    <row r="657" s="476" customFormat="1"/>
    <row r="658" s="476" customFormat="1"/>
    <row r="659" s="476" customFormat="1"/>
    <row r="660" s="476" customFormat="1"/>
    <row r="661" s="476" customFormat="1"/>
    <row r="662" s="476" customFormat="1"/>
    <row r="663" s="476" customFormat="1"/>
    <row r="664" s="476" customFormat="1"/>
    <row r="665" s="476" customFormat="1"/>
    <row r="666" s="476" customFormat="1"/>
    <row r="667" s="476" customFormat="1"/>
    <row r="668" s="476" customFormat="1"/>
    <row r="669" s="476" customFormat="1"/>
    <row r="670" s="476" customFormat="1"/>
    <row r="671" s="476" customFormat="1"/>
    <row r="672" s="476" customFormat="1"/>
    <row r="673" s="476" customFormat="1"/>
    <row r="674" s="476" customFormat="1"/>
    <row r="675" s="476" customFormat="1"/>
    <row r="676" s="476" customFormat="1"/>
    <row r="677" s="476" customFormat="1"/>
    <row r="678" s="476" customFormat="1"/>
    <row r="679" s="476" customFormat="1"/>
    <row r="680" s="476" customFormat="1"/>
    <row r="681" s="476" customFormat="1"/>
    <row r="682" s="476" customFormat="1"/>
    <row r="683" s="476" customFormat="1"/>
    <row r="684" s="476" customFormat="1"/>
    <row r="685" s="476" customFormat="1"/>
    <row r="686" s="476" customFormat="1"/>
    <row r="687" s="476" customFormat="1"/>
    <row r="688" s="476" customFormat="1"/>
    <row r="689" s="476" customFormat="1"/>
    <row r="690" s="476" customFormat="1"/>
    <row r="691" s="476" customFormat="1"/>
    <row r="692" s="476" customFormat="1"/>
    <row r="693" s="476" customFormat="1"/>
    <row r="694" s="476" customFormat="1"/>
    <row r="695" s="476" customFormat="1"/>
    <row r="696" s="476" customFormat="1"/>
    <row r="697" s="476" customFormat="1"/>
    <row r="698" s="476" customFormat="1"/>
    <row r="699" s="476" customFormat="1"/>
    <row r="700" s="476" customFormat="1"/>
    <row r="701" s="476" customFormat="1"/>
    <row r="702" s="476" customFormat="1"/>
    <row r="703" s="476" customFormat="1"/>
    <row r="704" s="476" customFormat="1"/>
    <row r="705" s="476" customFormat="1"/>
    <row r="706" s="476" customFormat="1"/>
    <row r="707" s="476" customFormat="1"/>
    <row r="708" s="476" customFormat="1"/>
    <row r="709" s="476" customFormat="1"/>
    <row r="710" s="476" customFormat="1"/>
    <row r="711" s="476" customFormat="1"/>
    <row r="712" s="476" customFormat="1"/>
    <row r="713" s="476" customFormat="1"/>
    <row r="714" s="476" customFormat="1"/>
    <row r="715" s="476" customFormat="1"/>
    <row r="716" s="476" customFormat="1"/>
    <row r="717" s="476" customFormat="1"/>
    <row r="718" s="476" customFormat="1"/>
    <row r="719" s="476" customFormat="1"/>
    <row r="720" s="476" customFormat="1"/>
    <row r="721" s="476" customFormat="1"/>
    <row r="722" s="476" customFormat="1"/>
    <row r="723" s="476" customFormat="1"/>
    <row r="724" s="476" customFormat="1"/>
    <row r="725" s="476" customFormat="1"/>
    <row r="726" s="476" customFormat="1"/>
    <row r="727" s="476" customFormat="1"/>
    <row r="728" s="476" customFormat="1"/>
    <row r="729" s="476" customFormat="1"/>
    <row r="730" s="476" customFormat="1"/>
    <row r="731" s="476" customFormat="1"/>
    <row r="732" s="476" customFormat="1"/>
    <row r="733" s="476" customFormat="1"/>
    <row r="734" s="476" customFormat="1"/>
    <row r="735" s="476" customFormat="1"/>
    <row r="736" s="476" customFormat="1"/>
    <row r="737" s="476" customFormat="1"/>
    <row r="738" s="476" customFormat="1"/>
    <row r="739" s="476" customFormat="1"/>
    <row r="740" s="476" customFormat="1"/>
    <row r="741" s="476" customFormat="1"/>
    <row r="742" s="476" customFormat="1"/>
    <row r="743" s="476" customFormat="1"/>
    <row r="744" s="476" customFormat="1"/>
    <row r="745" s="476" customFormat="1"/>
    <row r="746" s="476" customFormat="1"/>
    <row r="747" s="476" customFormat="1"/>
    <row r="748" s="476" customFormat="1"/>
    <row r="749" s="476" customFormat="1"/>
    <row r="750" s="476" customFormat="1"/>
    <row r="751" s="476" customFormat="1"/>
    <row r="752" s="476" customFormat="1"/>
    <row r="753" s="476" customFormat="1"/>
    <row r="754" s="476" customFormat="1"/>
    <row r="755" s="476" customFormat="1"/>
    <row r="756" s="476" customFormat="1"/>
    <row r="757" s="476" customFormat="1"/>
    <row r="758" s="476" customFormat="1"/>
    <row r="759" s="476" customFormat="1"/>
    <row r="760" s="476" customFormat="1"/>
    <row r="761" s="476" customFormat="1"/>
    <row r="762" s="476" customFormat="1"/>
    <row r="763" s="476" customFormat="1"/>
    <row r="764" s="476" customFormat="1"/>
    <row r="765" s="476" customFormat="1"/>
    <row r="766" s="476" customFormat="1"/>
    <row r="767" s="476" customFormat="1"/>
    <row r="768" s="476" customFormat="1"/>
    <row r="769" s="476" customFormat="1"/>
    <row r="770" s="476" customFormat="1"/>
    <row r="771" s="476" customFormat="1"/>
    <row r="772" s="476" customFormat="1"/>
    <row r="773" s="476" customFormat="1"/>
    <row r="774" s="476" customFormat="1"/>
    <row r="775" s="476" customFormat="1"/>
    <row r="776" s="476" customFormat="1"/>
    <row r="777" s="476" customFormat="1"/>
    <row r="778" s="476" customFormat="1"/>
    <row r="779" s="476" customFormat="1"/>
    <row r="780" s="476" customFormat="1"/>
    <row r="781" s="476" customFormat="1"/>
    <row r="782" s="476" customFormat="1"/>
    <row r="783" s="476" customFormat="1"/>
    <row r="784" s="476" customFormat="1"/>
    <row r="785" s="476" customFormat="1"/>
    <row r="786" s="476" customFormat="1"/>
    <row r="787" s="476" customFormat="1"/>
    <row r="788" s="476" customFormat="1"/>
    <row r="789" s="476" customFormat="1"/>
    <row r="790" s="476" customFormat="1"/>
    <row r="791" s="476" customFormat="1"/>
    <row r="792" s="476" customFormat="1"/>
    <row r="793" s="476" customFormat="1"/>
    <row r="794" s="476" customFormat="1"/>
    <row r="795" s="476" customFormat="1"/>
    <row r="796" s="476" customFormat="1"/>
    <row r="797" s="476" customFormat="1"/>
    <row r="798" s="476" customFormat="1"/>
    <row r="799" s="476" customFormat="1"/>
    <row r="800" s="476" customFormat="1"/>
    <row r="801" s="476" customFormat="1"/>
    <row r="802" s="476" customFormat="1"/>
    <row r="803" s="476" customFormat="1"/>
    <row r="804" s="476" customFormat="1"/>
    <row r="805" s="476" customFormat="1"/>
    <row r="806" s="476" customFormat="1"/>
    <row r="807" s="476" customFormat="1"/>
    <row r="808" s="476" customFormat="1"/>
    <row r="809" s="476" customFormat="1"/>
    <row r="810" s="476" customFormat="1"/>
    <row r="811" s="476" customFormat="1"/>
    <row r="812" s="476" customFormat="1"/>
    <row r="813" s="476" customFormat="1"/>
    <row r="814" s="476" customFormat="1"/>
    <row r="815" s="476" customFormat="1"/>
    <row r="816" s="476" customFormat="1"/>
    <row r="817" s="476" customFormat="1"/>
    <row r="818" s="476" customFormat="1"/>
    <row r="819" s="476" customFormat="1"/>
    <row r="820" s="476" customFormat="1"/>
    <row r="821" s="476" customFormat="1"/>
    <row r="822" s="476" customFormat="1"/>
    <row r="823" s="476" customFormat="1"/>
    <row r="824" s="476" customFormat="1"/>
    <row r="825" s="476" customFormat="1"/>
    <row r="826" s="476" customFormat="1"/>
    <row r="827" s="476" customFormat="1"/>
    <row r="828" s="476" customFormat="1"/>
    <row r="829" s="476" customFormat="1"/>
    <row r="830" s="476" customFormat="1"/>
    <row r="831" s="476" customFormat="1"/>
    <row r="832" s="476" customFormat="1"/>
    <row r="833" s="476" customFormat="1"/>
    <row r="834" s="476" customFormat="1"/>
    <row r="835" s="476" customFormat="1"/>
    <row r="836" s="476" customFormat="1"/>
    <row r="837" s="476" customFormat="1"/>
    <row r="838" s="476" customFormat="1"/>
    <row r="839" s="476" customFormat="1"/>
    <row r="840" s="476" customFormat="1"/>
    <row r="841" s="476" customFormat="1"/>
    <row r="842" s="476" customFormat="1"/>
    <row r="843" s="476" customFormat="1"/>
    <row r="844" s="476" customFormat="1"/>
    <row r="845" s="476" customFormat="1"/>
    <row r="846" s="476" customFormat="1"/>
    <row r="847" s="476" customFormat="1"/>
    <row r="848" s="476" customFormat="1"/>
    <row r="849" s="476" customFormat="1"/>
    <row r="850" s="476" customFormat="1"/>
    <row r="851" s="476" customFormat="1"/>
    <row r="852" s="476" customFormat="1"/>
    <row r="853" s="476" customFormat="1"/>
    <row r="854" s="476" customFormat="1"/>
    <row r="855" s="476" customFormat="1"/>
    <row r="856" s="476" customFormat="1"/>
    <row r="857" s="476" customFormat="1"/>
    <row r="858" s="476" customFormat="1"/>
    <row r="859" s="476" customFormat="1"/>
    <row r="860" s="476" customFormat="1"/>
    <row r="861" s="476" customFormat="1"/>
    <row r="862" s="476" customFormat="1"/>
    <row r="863" s="476" customFormat="1"/>
    <row r="864" s="476" customFormat="1"/>
    <row r="865" s="476" customFormat="1"/>
    <row r="866" s="476" customFormat="1"/>
    <row r="867" s="476" customFormat="1"/>
    <row r="868" s="476" customFormat="1"/>
    <row r="869" s="476" customFormat="1"/>
    <row r="870" s="476" customFormat="1"/>
    <row r="871" s="476" customFormat="1"/>
    <row r="872" s="476" customFormat="1"/>
    <row r="873" s="476" customFormat="1"/>
    <row r="874" s="476" customFormat="1"/>
    <row r="875" s="476" customFormat="1"/>
    <row r="876" s="476" customFormat="1"/>
    <row r="877" s="476" customFormat="1"/>
    <row r="878" s="476" customFormat="1"/>
    <row r="879" s="476" customFormat="1"/>
    <row r="880" s="476" customFormat="1"/>
    <row r="881" s="476" customFormat="1"/>
    <row r="882" s="476" customFormat="1"/>
    <row r="883" s="476" customFormat="1"/>
    <row r="884" s="476" customFormat="1"/>
    <row r="885" s="476" customFormat="1"/>
    <row r="886" s="476" customFormat="1"/>
    <row r="887" s="476" customFormat="1"/>
    <row r="888" s="476" customFormat="1"/>
    <row r="889" s="476" customFormat="1"/>
    <row r="890" s="476" customFormat="1"/>
    <row r="891" s="476" customFormat="1"/>
    <row r="892" s="476" customFormat="1"/>
    <row r="893" s="476" customFormat="1"/>
    <row r="894" s="476" customFormat="1"/>
    <row r="895" s="476" customFormat="1"/>
    <row r="896" s="476" customFormat="1"/>
    <row r="897" s="476" customFormat="1"/>
    <row r="898" s="476" customFormat="1"/>
    <row r="899" s="476" customFormat="1"/>
    <row r="900" s="476" customFormat="1"/>
    <row r="901" s="476" customFormat="1"/>
    <row r="902" s="476" customFormat="1"/>
    <row r="903" s="476" customFormat="1"/>
    <row r="904" s="476" customFormat="1"/>
    <row r="905" s="476" customFormat="1"/>
    <row r="906" s="476" customFormat="1"/>
    <row r="907" s="476" customFormat="1"/>
    <row r="908" s="476" customFormat="1"/>
    <row r="909" s="476" customFormat="1"/>
    <row r="910" s="476" customFormat="1"/>
    <row r="911" s="476" customFormat="1"/>
    <row r="912" s="476" customFormat="1"/>
    <row r="913" s="476" customFormat="1"/>
    <row r="914" s="476" customFormat="1"/>
    <row r="915" s="476" customFormat="1"/>
    <row r="916" s="476" customFormat="1"/>
    <row r="917" s="476" customFormat="1"/>
    <row r="918" s="476" customFormat="1"/>
    <row r="919" s="476" customFormat="1"/>
    <row r="920" s="476" customFormat="1"/>
    <row r="921" s="476" customFormat="1"/>
    <row r="922" s="476" customFormat="1"/>
    <row r="923" s="476" customFormat="1"/>
    <row r="924" s="476" customFormat="1"/>
    <row r="925" s="476" customFormat="1"/>
    <row r="926" s="476" customFormat="1"/>
    <row r="927" s="476" customFormat="1"/>
    <row r="928" s="476" customFormat="1"/>
    <row r="929" s="476" customFormat="1"/>
    <row r="930" s="476" customFormat="1"/>
    <row r="931" s="476" customFormat="1"/>
    <row r="932" s="476" customFormat="1"/>
    <row r="933" s="476" customFormat="1"/>
    <row r="934" s="476" customFormat="1"/>
    <row r="935" s="476" customFormat="1"/>
  </sheetData>
  <sheetProtection password="B1AF" sheet="1"/>
  <mergeCells count="10">
    <mergeCell ref="C17:M17"/>
    <mergeCell ref="L5:L6"/>
    <mergeCell ref="M5:M6"/>
    <mergeCell ref="I15:J15"/>
    <mergeCell ref="C5:C6"/>
    <mergeCell ref="D5:D6"/>
    <mergeCell ref="E5:E6"/>
    <mergeCell ref="F5:F6"/>
    <mergeCell ref="G5:G6"/>
    <mergeCell ref="H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A7CA-03C1-4D31-90E2-5680683EDC40}">
  <sheetPr codeName="Feuil1">
    <tabColor rgb="FF00B0F0"/>
    <pageSetUpPr autoPageBreaks="0" fitToPage="1"/>
  </sheetPr>
  <dimension ref="A1:BV1210"/>
  <sheetViews>
    <sheetView showGridLines="0" tabSelected="1" zoomScale="90" zoomScaleNormal="90" workbookViewId="0">
      <selection activeCell="AX192" sqref="AX192"/>
    </sheetView>
  </sheetViews>
  <sheetFormatPr baseColWidth="10" defaultColWidth="11.453125" defaultRowHeight="12.5"/>
  <cols>
    <col min="1" max="2" width="2.26953125" customWidth="1"/>
    <col min="3" max="3" width="3.453125" customWidth="1"/>
    <col min="4" max="4" width="0.7265625" customWidth="1"/>
    <col min="5" max="5" width="3.7265625" customWidth="1"/>
    <col min="6" max="7" width="3.453125" customWidth="1"/>
    <col min="8" max="8" width="7.54296875" customWidth="1"/>
    <col min="9" max="11" width="3.453125" customWidth="1"/>
    <col min="12" max="12" width="3.7265625" customWidth="1"/>
    <col min="13" max="18" width="3.453125" customWidth="1"/>
    <col min="19" max="19" width="3.26953125" customWidth="1"/>
    <col min="20" max="22" width="3.453125" customWidth="1"/>
    <col min="23" max="23" width="2.54296875" customWidth="1"/>
    <col min="24" max="24" width="0.453125" customWidth="1"/>
    <col min="25" max="25" width="2.7265625" customWidth="1"/>
    <col min="26" max="27" width="3.453125" customWidth="1"/>
    <col min="28" max="28" width="3" customWidth="1"/>
    <col min="29" max="30" width="3.453125" customWidth="1"/>
    <col min="31" max="31" width="2.7265625" customWidth="1"/>
    <col min="32" max="33" width="3.453125" customWidth="1"/>
    <col min="34" max="34" width="0.453125" customWidth="1"/>
    <col min="35" max="35" width="3.54296875" customWidth="1"/>
    <col min="36" max="43" width="3.453125" customWidth="1"/>
    <col min="44" max="44" width="4.453125" customWidth="1"/>
    <col min="45" max="45" width="2.453125" customWidth="1"/>
    <col min="46" max="46" width="3.453125" customWidth="1"/>
    <col min="47" max="54" width="3.453125" style="476" customWidth="1"/>
    <col min="55" max="72" width="11.453125" style="476"/>
  </cols>
  <sheetData>
    <row r="1" spans="1:72" ht="13.5" customHeight="1"/>
    <row r="2" spans="1:72" ht="26.25" customHeight="1">
      <c r="B2" s="417" t="s">
        <v>5523</v>
      </c>
    </row>
    <row r="3" spans="1:72" ht="18" customHeight="1">
      <c r="B3" s="418" t="s">
        <v>5524</v>
      </c>
    </row>
    <row r="4" spans="1:72" ht="18" customHeight="1"/>
    <row r="5" spans="1:72" ht="18" customHeight="1">
      <c r="K5" s="604"/>
      <c r="L5" s="605"/>
    </row>
    <row r="6" spans="1:72" s="277" customFormat="1" ht="24" customHeight="1">
      <c r="C6" s="606" t="s">
        <v>5639</v>
      </c>
      <c r="D6" s="606"/>
      <c r="E6" s="606"/>
      <c r="F6" s="606"/>
      <c r="G6" s="606"/>
      <c r="H6" s="606"/>
      <c r="I6" s="606"/>
      <c r="J6" s="606"/>
      <c r="K6" s="606"/>
      <c r="L6" s="606"/>
      <c r="M6" s="606"/>
      <c r="N6" s="606"/>
      <c r="O6" s="606"/>
      <c r="P6" s="606"/>
      <c r="Q6" s="606"/>
      <c r="R6" s="606"/>
      <c r="S6" s="606"/>
      <c r="T6" s="606"/>
      <c r="U6" s="606"/>
      <c r="V6" s="606"/>
      <c r="W6" s="606"/>
      <c r="X6" s="606"/>
      <c r="Y6" s="606"/>
      <c r="Z6" s="606"/>
      <c r="AA6" s="606"/>
      <c r="AB6" s="606"/>
      <c r="AC6" s="606"/>
      <c r="AD6" s="606"/>
      <c r="AE6" s="606"/>
      <c r="AF6" s="606"/>
      <c r="AG6" s="606"/>
      <c r="AH6" s="606"/>
      <c r="AI6" s="606"/>
      <c r="AJ6" s="606"/>
      <c r="AK6" s="606"/>
      <c r="AL6" s="606"/>
      <c r="AM6" s="606"/>
      <c r="AN6" s="606"/>
      <c r="AO6" s="606"/>
      <c r="AP6" s="606"/>
      <c r="AQ6" s="606"/>
      <c r="AR6" s="606"/>
      <c r="AS6" s="607" t="s">
        <v>5528</v>
      </c>
      <c r="AU6" s="608"/>
      <c r="AV6" s="608"/>
      <c r="AW6" s="608"/>
      <c r="AX6" s="608"/>
      <c r="AY6" s="608"/>
      <c r="AZ6" s="608"/>
      <c r="BA6" s="608"/>
      <c r="BB6" s="608"/>
      <c r="BC6" s="608"/>
      <c r="BD6" s="608"/>
      <c r="BE6" s="608"/>
      <c r="BF6" s="608"/>
      <c r="BG6" s="608"/>
      <c r="BH6" s="608"/>
      <c r="BI6" s="608"/>
      <c r="BJ6" s="608"/>
      <c r="BK6" s="608"/>
      <c r="BL6" s="608"/>
      <c r="BM6" s="608"/>
      <c r="BN6" s="608"/>
      <c r="BO6" s="608"/>
      <c r="BP6" s="608"/>
      <c r="BQ6" s="608"/>
      <c r="BR6" s="608"/>
      <c r="BS6" s="608"/>
      <c r="BT6" s="608"/>
    </row>
    <row r="7" spans="1:72" ht="0.75" customHeight="1" thickBot="1">
      <c r="A7" s="1"/>
      <c r="B7" s="1"/>
      <c r="C7" s="1053" t="s">
        <v>159</v>
      </c>
      <c r="D7" s="1054"/>
      <c r="E7" s="1054"/>
      <c r="F7" s="1054"/>
      <c r="G7" s="1054"/>
      <c r="H7" s="1054"/>
      <c r="I7" s="1054"/>
      <c r="J7" s="1054"/>
      <c r="K7" s="1054"/>
      <c r="L7" s="1054"/>
      <c r="M7" s="1054"/>
      <c r="N7" s="1054"/>
      <c r="O7" s="1054"/>
      <c r="P7" s="1054"/>
      <c r="Q7" s="1054"/>
      <c r="R7" s="1054"/>
      <c r="S7" s="1054"/>
      <c r="T7" s="1054"/>
      <c r="U7" s="1054"/>
      <c r="V7" s="1054"/>
      <c r="W7" s="1054"/>
      <c r="X7" s="1054"/>
      <c r="Y7" s="1054"/>
      <c r="Z7" s="1054"/>
      <c r="AA7" s="1054"/>
      <c r="AB7" s="1054"/>
      <c r="AC7" s="1054"/>
      <c r="AD7" s="1054"/>
      <c r="AE7" s="1054"/>
      <c r="AF7" s="1054"/>
      <c r="AG7" s="1054"/>
      <c r="AH7" s="1054"/>
      <c r="AI7" s="1054"/>
      <c r="AJ7" s="1054"/>
      <c r="AK7" s="1054"/>
      <c r="AL7" s="1054"/>
      <c r="AM7" s="1054"/>
      <c r="AN7" s="1054"/>
      <c r="AO7" s="1054"/>
      <c r="AP7" s="1054"/>
      <c r="AQ7" s="1054"/>
      <c r="AR7" s="1054"/>
      <c r="AS7" s="1054"/>
      <c r="AT7" s="609"/>
    </row>
    <row r="8" spans="1:72" ht="12" hidden="1" customHeight="1" thickBot="1">
      <c r="A8" s="12"/>
      <c r="B8" s="12"/>
      <c r="C8" s="910" t="s">
        <v>880</v>
      </c>
      <c r="D8" s="1306" t="s">
        <v>145</v>
      </c>
      <c r="E8" s="1307"/>
      <c r="F8" s="1307"/>
      <c r="G8" s="1307"/>
      <c r="H8" s="1307"/>
      <c r="I8" s="1307"/>
      <c r="J8" s="1307"/>
      <c r="K8" s="1307"/>
      <c r="L8" s="1307"/>
      <c r="M8" s="1307"/>
      <c r="N8" s="1307"/>
      <c r="O8" s="1307"/>
      <c r="P8" s="1307"/>
      <c r="Q8" s="1307"/>
      <c r="R8" s="1307"/>
      <c r="S8" s="1307"/>
      <c r="T8" s="1307"/>
      <c r="U8" s="1307"/>
      <c r="V8" s="1308"/>
      <c r="W8" s="1306" t="s">
        <v>146</v>
      </c>
      <c r="X8" s="1307"/>
      <c r="Y8" s="1307"/>
      <c r="Z8" s="1307"/>
      <c r="AA8" s="1307"/>
      <c r="AB8" s="1307"/>
      <c r="AC8" s="1307"/>
      <c r="AD8" s="1307"/>
      <c r="AE8" s="1307"/>
      <c r="AF8" s="1307"/>
      <c r="AG8" s="1307"/>
      <c r="AH8" s="1307"/>
      <c r="AI8" s="1307"/>
      <c r="AJ8" s="1307"/>
      <c r="AK8" s="1307"/>
      <c r="AL8" s="1307"/>
      <c r="AM8" s="1307"/>
      <c r="AN8" s="1307"/>
      <c r="AO8" s="1307"/>
      <c r="AP8" s="1307"/>
      <c r="AQ8" s="1307"/>
      <c r="AR8" s="1307"/>
      <c r="AS8" s="1308"/>
      <c r="AT8" s="609"/>
      <c r="AU8" s="582"/>
    </row>
    <row r="9" spans="1:72" ht="15.75" hidden="1" customHeight="1">
      <c r="A9" s="12"/>
      <c r="B9" s="12"/>
      <c r="C9" s="911"/>
      <c r="D9" s="1300"/>
      <c r="E9" s="1301"/>
      <c r="F9" s="1301"/>
      <c r="G9" s="1301"/>
      <c r="H9" s="1301"/>
      <c r="I9" s="1301"/>
      <c r="J9" s="1301"/>
      <c r="K9" s="1301"/>
      <c r="L9" s="1301"/>
      <c r="M9" s="1301"/>
      <c r="N9" s="1301"/>
      <c r="O9" s="1301"/>
      <c r="P9" s="1301"/>
      <c r="Q9" s="1301"/>
      <c r="R9" s="1301"/>
      <c r="S9" s="1301"/>
      <c r="T9" s="1301"/>
      <c r="U9" s="1301"/>
      <c r="V9" s="1302"/>
      <c r="W9" s="1300"/>
      <c r="X9" s="1301"/>
      <c r="Y9" s="1301"/>
      <c r="Z9" s="1301"/>
      <c r="AA9" s="1301"/>
      <c r="AB9" s="1301"/>
      <c r="AC9" s="1301"/>
      <c r="AD9" s="1301"/>
      <c r="AE9" s="1301"/>
      <c r="AF9" s="1301"/>
      <c r="AG9" s="1301"/>
      <c r="AH9" s="1301"/>
      <c r="AI9" s="1301"/>
      <c r="AJ9" s="1301"/>
      <c r="AK9" s="1301"/>
      <c r="AL9" s="1301"/>
      <c r="AM9" s="1301"/>
      <c r="AN9" s="1301"/>
      <c r="AO9" s="1301"/>
      <c r="AP9" s="1301"/>
      <c r="AQ9" s="1301"/>
      <c r="AR9" s="1301"/>
      <c r="AS9" s="1302"/>
    </row>
    <row r="10" spans="1:72" ht="14.25" hidden="1" customHeight="1">
      <c r="A10" s="12"/>
      <c r="B10" s="12"/>
      <c r="C10" s="911"/>
      <c r="D10" s="1300"/>
      <c r="E10" s="1301"/>
      <c r="F10" s="1301"/>
      <c r="G10" s="1301"/>
      <c r="H10" s="1301"/>
      <c r="I10" s="1301"/>
      <c r="J10" s="1301"/>
      <c r="K10" s="1301"/>
      <c r="L10" s="1301"/>
      <c r="M10" s="1301"/>
      <c r="N10" s="1301"/>
      <c r="O10" s="1301"/>
      <c r="P10" s="1301"/>
      <c r="Q10" s="1301"/>
      <c r="R10" s="1301"/>
      <c r="S10" s="1301"/>
      <c r="T10" s="1301"/>
      <c r="U10" s="1301"/>
      <c r="V10" s="1302"/>
      <c r="W10" s="1300"/>
      <c r="X10" s="1301"/>
      <c r="Y10" s="1301"/>
      <c r="Z10" s="1301"/>
      <c r="AA10" s="1301"/>
      <c r="AB10" s="1301"/>
      <c r="AC10" s="1301"/>
      <c r="AD10" s="1301"/>
      <c r="AE10" s="1301"/>
      <c r="AF10" s="1301"/>
      <c r="AG10" s="1301"/>
      <c r="AH10" s="1301"/>
      <c r="AI10" s="1301"/>
      <c r="AJ10" s="1301"/>
      <c r="AK10" s="1301"/>
      <c r="AL10" s="1301"/>
      <c r="AM10" s="1301"/>
      <c r="AN10" s="1301"/>
      <c r="AO10" s="1301"/>
      <c r="AP10" s="1301"/>
      <c r="AQ10" s="1301"/>
      <c r="AR10" s="1301"/>
      <c r="AS10" s="1302"/>
      <c r="AU10" s="582"/>
    </row>
    <row r="11" spans="1:72" ht="15.75" hidden="1" customHeight="1">
      <c r="A11" s="12"/>
      <c r="B11" s="12"/>
      <c r="C11" s="911"/>
      <c r="D11" s="1300"/>
      <c r="E11" s="1301"/>
      <c r="F11" s="1301"/>
      <c r="G11" s="1301"/>
      <c r="H11" s="1301"/>
      <c r="I11" s="1301"/>
      <c r="J11" s="1301"/>
      <c r="K11" s="1301"/>
      <c r="L11" s="1301"/>
      <c r="M11" s="1301"/>
      <c r="N11" s="1301"/>
      <c r="O11" s="1301"/>
      <c r="P11" s="1301"/>
      <c r="Q11" s="1301"/>
      <c r="R11" s="1301"/>
      <c r="S11" s="1301"/>
      <c r="T11" s="1301"/>
      <c r="U11" s="1301"/>
      <c r="V11" s="1302"/>
      <c r="W11" s="1300"/>
      <c r="X11" s="1301"/>
      <c r="Y11" s="1301"/>
      <c r="Z11" s="1301"/>
      <c r="AA11" s="1301"/>
      <c r="AB11" s="1301"/>
      <c r="AC11" s="1301"/>
      <c r="AD11" s="1301"/>
      <c r="AE11" s="1301"/>
      <c r="AF11" s="1301"/>
      <c r="AG11" s="1301"/>
      <c r="AH11" s="1301"/>
      <c r="AI11" s="1301"/>
      <c r="AJ11" s="1301"/>
      <c r="AK11" s="1301"/>
      <c r="AL11" s="1301"/>
      <c r="AM11" s="1301"/>
      <c r="AN11" s="1301"/>
      <c r="AO11" s="1301"/>
      <c r="AP11" s="1301"/>
      <c r="AQ11" s="1301"/>
      <c r="AR11" s="1301"/>
      <c r="AS11" s="1302"/>
      <c r="AU11" s="582"/>
      <c r="AZ11" s="583"/>
    </row>
    <row r="12" spans="1:72" ht="30" hidden="1" customHeight="1" thickBot="1">
      <c r="A12" s="12"/>
      <c r="B12" s="12"/>
      <c r="C12" s="911"/>
      <c r="D12" s="1303"/>
      <c r="E12" s="1304"/>
      <c r="F12" s="1304"/>
      <c r="G12" s="1304"/>
      <c r="H12" s="1304"/>
      <c r="I12" s="1304"/>
      <c r="J12" s="1304"/>
      <c r="K12" s="1304"/>
      <c r="L12" s="1304"/>
      <c r="M12" s="1304"/>
      <c r="N12" s="1304"/>
      <c r="O12" s="1304"/>
      <c r="P12" s="1304"/>
      <c r="Q12" s="1304"/>
      <c r="R12" s="1304"/>
      <c r="S12" s="1304"/>
      <c r="T12" s="1304"/>
      <c r="U12" s="1304"/>
      <c r="V12" s="1305"/>
      <c r="W12" s="1303"/>
      <c r="X12" s="1304"/>
      <c r="Y12" s="1304"/>
      <c r="Z12" s="1304"/>
      <c r="AA12" s="1304"/>
      <c r="AB12" s="1304"/>
      <c r="AC12" s="1304"/>
      <c r="AD12" s="1304"/>
      <c r="AE12" s="1304"/>
      <c r="AF12" s="1304"/>
      <c r="AG12" s="1304"/>
      <c r="AH12" s="1304"/>
      <c r="AI12" s="1304"/>
      <c r="AJ12" s="1304"/>
      <c r="AK12" s="1304"/>
      <c r="AL12" s="1304"/>
      <c r="AM12" s="1304"/>
      <c r="AN12" s="1304"/>
      <c r="AO12" s="1304"/>
      <c r="AP12" s="1304"/>
      <c r="AQ12" s="1304"/>
      <c r="AR12" s="1304"/>
      <c r="AS12" s="1305"/>
    </row>
    <row r="13" spans="1:72" ht="3" customHeight="1">
      <c r="A13" s="1"/>
      <c r="B13" s="1"/>
      <c r="C13" s="1064" t="s">
        <v>5374</v>
      </c>
      <c r="D13" s="419"/>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34"/>
    </row>
    <row r="14" spans="1:72" ht="12.75" customHeight="1">
      <c r="A14" s="1"/>
      <c r="B14" s="1"/>
      <c r="C14" s="1065"/>
      <c r="D14" s="421" t="s">
        <v>140</v>
      </c>
      <c r="E14" s="422" t="s">
        <v>909</v>
      </c>
      <c r="F14" s="423"/>
      <c r="G14" s="423"/>
      <c r="H14" s="423"/>
      <c r="I14" s="1045"/>
      <c r="J14" s="1046"/>
      <c r="K14" s="1046"/>
      <c r="L14" s="1046"/>
      <c r="M14" s="1046"/>
      <c r="N14" s="1046"/>
      <c r="O14" s="1046"/>
      <c r="P14" s="1046"/>
      <c r="Q14" s="1046"/>
      <c r="R14" s="1046"/>
      <c r="S14" s="1046"/>
      <c r="T14" s="1046"/>
      <c r="U14" s="1046"/>
      <c r="V14" s="1046"/>
      <c r="W14" s="1046"/>
      <c r="X14" s="1046"/>
      <c r="Y14" s="1046"/>
      <c r="Z14" s="1046"/>
      <c r="AA14" s="1046"/>
      <c r="AB14" s="1046"/>
      <c r="AC14" s="1046"/>
      <c r="AD14" s="1046"/>
      <c r="AE14" s="1047"/>
      <c r="AF14" s="427"/>
      <c r="AG14" s="423"/>
      <c r="AH14" s="423"/>
      <c r="AI14" s="423"/>
      <c r="AJ14" s="428"/>
      <c r="AK14" s="428"/>
      <c r="AL14" s="429"/>
      <c r="AM14" s="1077"/>
      <c r="AN14" s="1077"/>
      <c r="AO14" s="1077"/>
      <c r="AP14" s="1077"/>
      <c r="AQ14" s="1077"/>
      <c r="AR14" s="1077"/>
      <c r="AS14" s="435"/>
    </row>
    <row r="15" spans="1:72" ht="3" customHeight="1">
      <c r="A15" s="1"/>
      <c r="B15" s="1"/>
      <c r="C15" s="1065"/>
      <c r="D15" s="421"/>
      <c r="E15" s="422"/>
      <c r="F15" s="423"/>
      <c r="G15" s="423"/>
      <c r="H15" s="423"/>
      <c r="I15" s="428"/>
      <c r="J15" s="428"/>
      <c r="K15" s="428"/>
      <c r="L15" s="428"/>
      <c r="M15" s="428"/>
      <c r="N15" s="428"/>
      <c r="O15" s="428"/>
      <c r="P15" s="428"/>
      <c r="Q15" s="428"/>
      <c r="R15" s="428"/>
      <c r="S15" s="428"/>
      <c r="T15" s="428"/>
      <c r="U15" s="428"/>
      <c r="V15" s="428"/>
      <c r="W15" s="428"/>
      <c r="X15" s="428"/>
      <c r="Y15" s="428"/>
      <c r="Z15" s="428"/>
      <c r="AA15" s="428"/>
      <c r="AB15" s="428"/>
      <c r="AC15" s="428"/>
      <c r="AD15" s="428"/>
      <c r="AE15" s="430"/>
      <c r="AF15" s="610"/>
      <c r="AG15" s="610"/>
      <c r="AH15" s="610"/>
      <c r="AI15" s="610"/>
      <c r="AJ15" s="610"/>
      <c r="AK15" s="610"/>
      <c r="AL15" s="610"/>
      <c r="AM15" s="610"/>
      <c r="AN15" s="610"/>
      <c r="AO15" s="610"/>
      <c r="AP15" s="610"/>
      <c r="AQ15" s="610"/>
      <c r="AR15" s="610"/>
      <c r="AS15" s="435"/>
    </row>
    <row r="16" spans="1:72" ht="12.75" customHeight="1">
      <c r="A16" s="1"/>
      <c r="B16" s="1"/>
      <c r="C16" s="1065"/>
      <c r="D16" s="421"/>
      <c r="E16" s="422" t="s">
        <v>100</v>
      </c>
      <c r="F16" s="423"/>
      <c r="G16" s="423"/>
      <c r="H16" s="423"/>
      <c r="I16" s="1045"/>
      <c r="J16" s="1046"/>
      <c r="K16" s="1046"/>
      <c r="L16" s="1046"/>
      <c r="M16" s="1046"/>
      <c r="N16" s="1046"/>
      <c r="O16" s="1046"/>
      <c r="P16" s="1046"/>
      <c r="Q16" s="1046"/>
      <c r="R16" s="1046"/>
      <c r="S16" s="1046"/>
      <c r="T16" s="1046"/>
      <c r="U16" s="1046"/>
      <c r="V16" s="1046"/>
      <c r="W16" s="1046"/>
      <c r="X16" s="1046"/>
      <c r="Y16" s="1046"/>
      <c r="Z16" s="1046"/>
      <c r="AA16" s="1046"/>
      <c r="AB16" s="1046"/>
      <c r="AC16" s="1046"/>
      <c r="AD16" s="1046"/>
      <c r="AE16" s="1047"/>
      <c r="AF16" s="427" t="s">
        <v>214</v>
      </c>
      <c r="AG16" s="423"/>
      <c r="AH16" s="423"/>
      <c r="AI16" s="423"/>
      <c r="AJ16" s="428"/>
      <c r="AK16" s="428"/>
      <c r="AL16" s="429"/>
      <c r="AM16" s="1055"/>
      <c r="AN16" s="1056"/>
      <c r="AO16" s="1056"/>
      <c r="AP16" s="1056"/>
      <c r="AQ16" s="1056"/>
      <c r="AR16" s="1057"/>
      <c r="AS16" s="435"/>
    </row>
    <row r="17" spans="1:55" ht="3" customHeight="1">
      <c r="A17" s="1"/>
      <c r="B17" s="1"/>
      <c r="C17" s="1065"/>
      <c r="D17" s="421"/>
      <c r="E17" s="422"/>
      <c r="F17" s="423"/>
      <c r="G17" s="423"/>
      <c r="H17" s="423"/>
      <c r="I17" s="432"/>
      <c r="J17" s="432"/>
      <c r="K17" s="432"/>
      <c r="L17" s="432"/>
      <c r="M17" s="432"/>
      <c r="N17" s="432"/>
      <c r="O17" s="432"/>
      <c r="P17" s="432"/>
      <c r="Q17" s="432"/>
      <c r="R17" s="432"/>
      <c r="S17" s="432"/>
      <c r="T17" s="432"/>
      <c r="U17" s="432"/>
      <c r="V17" s="432"/>
      <c r="W17" s="432"/>
      <c r="X17" s="432"/>
      <c r="Y17" s="432"/>
      <c r="Z17" s="423"/>
      <c r="AA17" s="423"/>
      <c r="AB17" s="423"/>
      <c r="AC17" s="423"/>
      <c r="AD17" s="436"/>
      <c r="AE17" s="430"/>
      <c r="AF17" s="430"/>
      <c r="AG17" s="430"/>
      <c r="AH17" s="430"/>
      <c r="AI17" s="430"/>
      <c r="AJ17" s="431"/>
      <c r="AK17" s="431"/>
      <c r="AL17" s="431"/>
      <c r="AM17" s="431"/>
      <c r="AN17" s="431"/>
      <c r="AO17" s="431"/>
      <c r="AP17" s="431"/>
      <c r="AQ17" s="423"/>
      <c r="AR17" s="423"/>
      <c r="AS17" s="435"/>
    </row>
    <row r="18" spans="1:55" ht="12.75" customHeight="1">
      <c r="A18" s="1"/>
      <c r="B18" s="1"/>
      <c r="C18" s="1065"/>
      <c r="D18" s="424"/>
      <c r="E18" s="422" t="s">
        <v>160</v>
      </c>
      <c r="F18" s="423"/>
      <c r="G18" s="423"/>
      <c r="H18" s="423"/>
      <c r="I18" s="1045"/>
      <c r="J18" s="1046"/>
      <c r="K18" s="1046"/>
      <c r="L18" s="1046"/>
      <c r="M18" s="1046"/>
      <c r="N18" s="1046"/>
      <c r="O18" s="1046"/>
      <c r="P18" s="1046"/>
      <c r="Q18" s="1046"/>
      <c r="R18" s="1046"/>
      <c r="S18" s="1046"/>
      <c r="T18" s="1046"/>
      <c r="U18" s="1046"/>
      <c r="V18" s="1047"/>
      <c r="W18" s="423"/>
      <c r="X18" s="423"/>
      <c r="Y18" s="423"/>
      <c r="Z18" s="433" t="s">
        <v>102</v>
      </c>
      <c r="AA18" s="1084"/>
      <c r="AB18" s="1085"/>
      <c r="AC18" s="1085"/>
      <c r="AD18" s="1085"/>
      <c r="AE18" s="1086"/>
      <c r="AF18" s="427"/>
      <c r="AG18" s="423"/>
      <c r="AH18" s="423"/>
      <c r="AI18" s="423"/>
      <c r="AJ18" s="428"/>
      <c r="AK18" s="428"/>
      <c r="AL18" s="429"/>
      <c r="AM18" s="429"/>
      <c r="AN18" s="429"/>
      <c r="AO18" s="429"/>
      <c r="AP18" s="429"/>
      <c r="AQ18" s="429"/>
      <c r="AR18" s="429"/>
      <c r="AS18" s="435"/>
    </row>
    <row r="19" spans="1:55" ht="3" customHeight="1">
      <c r="A19" s="1"/>
      <c r="B19" s="1"/>
      <c r="C19" s="1065"/>
      <c r="D19" s="424"/>
      <c r="E19" s="423"/>
      <c r="F19" s="423"/>
      <c r="G19" s="423"/>
      <c r="H19" s="423"/>
      <c r="I19" s="428"/>
      <c r="J19" s="428"/>
      <c r="K19" s="428"/>
      <c r="L19" s="428"/>
      <c r="M19" s="428"/>
      <c r="N19" s="428"/>
      <c r="O19" s="428"/>
      <c r="P19" s="428"/>
      <c r="Q19" s="428"/>
      <c r="R19" s="428"/>
      <c r="S19" s="428"/>
      <c r="T19" s="428"/>
      <c r="U19" s="428"/>
      <c r="V19" s="423"/>
      <c r="W19" s="423"/>
      <c r="X19" s="423"/>
      <c r="Y19" s="423"/>
      <c r="Z19" s="429"/>
      <c r="AA19" s="611"/>
      <c r="AB19" s="611"/>
      <c r="AC19" s="611"/>
      <c r="AD19" s="611"/>
      <c r="AE19" s="611"/>
      <c r="AF19" s="432"/>
      <c r="AG19" s="423"/>
      <c r="AH19" s="423"/>
      <c r="AI19" s="423"/>
      <c r="AJ19" s="428"/>
      <c r="AK19" s="428"/>
      <c r="AL19" s="429"/>
      <c r="AM19" s="612"/>
      <c r="AN19" s="612"/>
      <c r="AO19" s="612"/>
      <c r="AP19" s="612"/>
      <c r="AQ19" s="612"/>
      <c r="AR19" s="612"/>
      <c r="AS19" s="435"/>
    </row>
    <row r="20" spans="1:55" ht="13.15" customHeight="1">
      <c r="A20" s="1"/>
      <c r="B20" s="1"/>
      <c r="C20" s="1065"/>
      <c r="D20" s="424"/>
      <c r="E20" s="1090" t="s">
        <v>5375</v>
      </c>
      <c r="F20" s="1091"/>
      <c r="G20" s="1091"/>
      <c r="H20" s="1091"/>
      <c r="I20" s="1091"/>
      <c r="J20" s="1091"/>
      <c r="K20" s="1091"/>
      <c r="L20" s="1091"/>
      <c r="M20" s="1091"/>
      <c r="N20" s="1091"/>
      <c r="O20" s="1091"/>
      <c r="P20" s="1091"/>
      <c r="Q20" s="1091"/>
      <c r="R20" s="1091"/>
      <c r="S20" s="1091"/>
      <c r="T20" s="1091"/>
      <c r="U20" s="1091"/>
      <c r="V20" s="1092"/>
      <c r="W20" s="423"/>
      <c r="X20" s="423"/>
      <c r="Y20" s="423"/>
      <c r="Z20" s="429"/>
      <c r="AA20" s="611"/>
      <c r="AB20" s="611"/>
      <c r="AC20" s="611"/>
      <c r="AD20" s="611"/>
      <c r="AE20" s="613"/>
      <c r="AF20" s="432"/>
      <c r="AG20" s="423"/>
      <c r="AH20" s="423"/>
      <c r="AI20" s="423"/>
      <c r="AJ20" s="428"/>
      <c r="AK20" s="428"/>
      <c r="AL20" s="429"/>
      <c r="AM20" s="612"/>
      <c r="AN20" s="612"/>
      <c r="AO20" s="612"/>
      <c r="AP20" s="612"/>
      <c r="AQ20" s="612"/>
      <c r="AR20" s="612"/>
      <c r="AS20" s="435"/>
      <c r="BC20" s="583"/>
    </row>
    <row r="21" spans="1:55" ht="47.25" customHeight="1">
      <c r="A21" s="1"/>
      <c r="B21" s="1"/>
      <c r="C21" s="1065"/>
      <c r="D21" s="424"/>
      <c r="E21" s="990"/>
      <c r="F21" s="991"/>
      <c r="G21" s="991"/>
      <c r="H21" s="991"/>
      <c r="I21" s="991"/>
      <c r="J21" s="991"/>
      <c r="K21" s="991"/>
      <c r="L21" s="991"/>
      <c r="M21" s="991"/>
      <c r="N21" s="991"/>
      <c r="O21" s="991"/>
      <c r="P21" s="991"/>
      <c r="Q21" s="991"/>
      <c r="R21" s="991"/>
      <c r="S21" s="991"/>
      <c r="T21" s="991"/>
      <c r="U21" s="991"/>
      <c r="V21" s="991"/>
      <c r="W21" s="991"/>
      <c r="X21" s="991"/>
      <c r="Y21" s="991"/>
      <c r="Z21" s="991"/>
      <c r="AA21" s="991"/>
      <c r="AB21" s="991"/>
      <c r="AC21" s="991"/>
      <c r="AD21" s="991"/>
      <c r="AE21" s="991"/>
      <c r="AF21" s="991"/>
      <c r="AG21" s="991"/>
      <c r="AH21" s="991"/>
      <c r="AI21" s="991"/>
      <c r="AJ21" s="991"/>
      <c r="AK21" s="991"/>
      <c r="AL21" s="991"/>
      <c r="AM21" s="991"/>
      <c r="AN21" s="991"/>
      <c r="AO21" s="991"/>
      <c r="AP21" s="991"/>
      <c r="AQ21" s="991"/>
      <c r="AR21" s="992"/>
      <c r="AS21" s="435"/>
      <c r="BC21" s="583"/>
    </row>
    <row r="22" spans="1:55" ht="5.25" customHeight="1" thickBot="1">
      <c r="A22" s="1"/>
      <c r="B22" s="1"/>
      <c r="C22" s="1066"/>
      <c r="D22" s="425"/>
      <c r="E22" s="1076"/>
      <c r="F22" s="1076"/>
      <c r="G22" s="1076"/>
      <c r="H22" s="1076"/>
      <c r="I22" s="1076"/>
      <c r="J22" s="1076"/>
      <c r="K22" s="1076"/>
      <c r="L22" s="1076"/>
      <c r="M22" s="1076"/>
      <c r="N22" s="1076"/>
      <c r="O22" s="1076"/>
      <c r="P22" s="1076"/>
      <c r="Q22" s="1076"/>
      <c r="R22" s="1076"/>
      <c r="S22" s="1076"/>
      <c r="T22" s="1076"/>
      <c r="U22" s="1076"/>
      <c r="V22" s="1076"/>
      <c r="W22" s="1076"/>
      <c r="X22" s="1076"/>
      <c r="Y22" s="1076"/>
      <c r="Z22" s="1076"/>
      <c r="AA22" s="1076"/>
      <c r="AB22" s="1076"/>
      <c r="AC22" s="1076"/>
      <c r="AD22" s="1076"/>
      <c r="AE22" s="1076"/>
      <c r="AF22" s="1076"/>
      <c r="AG22" s="1076"/>
      <c r="AH22" s="1076"/>
      <c r="AI22" s="1076"/>
      <c r="AJ22" s="1076"/>
      <c r="AK22" s="1076"/>
      <c r="AL22" s="1076"/>
      <c r="AM22" s="1076"/>
      <c r="AN22" s="1076"/>
      <c r="AO22" s="1076"/>
      <c r="AP22" s="1076"/>
      <c r="AQ22" s="1076"/>
      <c r="AR22" s="1076"/>
      <c r="AS22" s="426"/>
    </row>
    <row r="23" spans="1:55" ht="3" customHeight="1">
      <c r="A23" s="1"/>
      <c r="B23" s="1"/>
      <c r="C23" s="878" t="s">
        <v>915</v>
      </c>
      <c r="D23" s="423"/>
      <c r="E23" s="422"/>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35"/>
    </row>
    <row r="24" spans="1:55" ht="12.75" customHeight="1">
      <c r="A24" s="1"/>
      <c r="B24" s="1"/>
      <c r="C24" s="1037"/>
      <c r="D24" s="423"/>
      <c r="E24" s="422" t="s">
        <v>166</v>
      </c>
      <c r="F24" s="423"/>
      <c r="G24" s="610"/>
      <c r="H24" s="610"/>
      <c r="I24" s="1078" t="s">
        <v>173</v>
      </c>
      <c r="J24" s="1079"/>
      <c r="K24" s="1080"/>
      <c r="L24" s="610"/>
      <c r="M24" s="433" t="s">
        <v>167</v>
      </c>
      <c r="N24" s="1039" t="s">
        <v>5657</v>
      </c>
      <c r="O24" s="1040"/>
      <c r="P24" s="1040"/>
      <c r="Q24" s="1040"/>
      <c r="R24" s="1040"/>
      <c r="S24" s="1040"/>
      <c r="T24" s="1040"/>
      <c r="U24" s="1040"/>
      <c r="V24" s="1040"/>
      <c r="W24" s="1040"/>
      <c r="X24" s="1040"/>
      <c r="Y24" s="1040"/>
      <c r="Z24" s="1040"/>
      <c r="AA24" s="1041"/>
      <c r="AB24" s="422" t="s">
        <v>171</v>
      </c>
      <c r="AC24" s="610"/>
      <c r="AD24" s="1087"/>
      <c r="AE24" s="1088"/>
      <c r="AF24" s="1088"/>
      <c r="AG24" s="1088"/>
      <c r="AH24" s="1088"/>
      <c r="AI24" s="1088"/>
      <c r="AJ24" s="1088"/>
      <c r="AK24" s="1088"/>
      <c r="AL24" s="1088"/>
      <c r="AM24" s="1088"/>
      <c r="AN24" s="1088"/>
      <c r="AO24" s="1088"/>
      <c r="AP24" s="1089"/>
      <c r="AQ24" s="614"/>
      <c r="AR24" s="610"/>
      <c r="AS24" s="435"/>
    </row>
    <row r="25" spans="1:55" ht="3.75" customHeight="1">
      <c r="A25" s="1"/>
      <c r="B25" s="1"/>
      <c r="C25" s="1037"/>
      <c r="D25" s="423"/>
      <c r="E25" s="422"/>
      <c r="F25" s="423"/>
      <c r="G25" s="423"/>
      <c r="H25" s="423"/>
      <c r="I25" s="423"/>
      <c r="J25" s="423"/>
      <c r="K25" s="423"/>
      <c r="L25" s="423"/>
      <c r="M25" s="442"/>
      <c r="N25" s="442"/>
      <c r="O25" s="442"/>
      <c r="P25" s="442"/>
      <c r="Q25" s="442"/>
      <c r="R25" s="442"/>
      <c r="S25" s="442"/>
      <c r="T25" s="442"/>
      <c r="U25" s="442"/>
      <c r="V25" s="442"/>
      <c r="W25" s="442"/>
      <c r="X25" s="442"/>
      <c r="Y25" s="442"/>
      <c r="Z25" s="442"/>
      <c r="AA25" s="442"/>
      <c r="AB25" s="442"/>
      <c r="AC25" s="442"/>
      <c r="AD25" s="442"/>
      <c r="AE25" s="427"/>
      <c r="AF25" s="423"/>
      <c r="AG25" s="423"/>
      <c r="AH25" s="423"/>
      <c r="AI25" s="423"/>
      <c r="AJ25" s="615"/>
      <c r="AK25" s="615"/>
      <c r="AL25" s="615"/>
      <c r="AM25" s="615"/>
      <c r="AN25" s="615"/>
      <c r="AO25" s="615"/>
      <c r="AP25" s="615"/>
      <c r="AQ25" s="616"/>
      <c r="AR25" s="617"/>
      <c r="AS25" s="435"/>
    </row>
    <row r="26" spans="1:55" ht="12.75" customHeight="1">
      <c r="A26" s="1"/>
      <c r="B26" s="1"/>
      <c r="C26" s="1037"/>
      <c r="D26" s="610"/>
      <c r="E26" s="422" t="s">
        <v>98</v>
      </c>
      <c r="F26" s="423"/>
      <c r="G26" s="423"/>
      <c r="H26" s="423"/>
      <c r="I26" s="1045"/>
      <c r="J26" s="1062"/>
      <c r="K26" s="1062"/>
      <c r="L26" s="1062"/>
      <c r="M26" s="1062"/>
      <c r="N26" s="1062"/>
      <c r="O26" s="1062"/>
      <c r="P26" s="1062"/>
      <c r="Q26" s="1062"/>
      <c r="R26" s="1062"/>
      <c r="S26" s="1062"/>
      <c r="T26" s="1062"/>
      <c r="U26" s="1062"/>
      <c r="V26" s="1062"/>
      <c r="W26" s="1062"/>
      <c r="X26" s="1062"/>
      <c r="Y26" s="1062"/>
      <c r="Z26" s="1062"/>
      <c r="AA26" s="1063"/>
      <c r="AB26" s="422" t="s">
        <v>172</v>
      </c>
      <c r="AC26" s="618"/>
      <c r="AD26" s="1061"/>
      <c r="AE26" s="1062"/>
      <c r="AF26" s="1062"/>
      <c r="AG26" s="1062"/>
      <c r="AH26" s="1062"/>
      <c r="AI26" s="1062"/>
      <c r="AJ26" s="1062"/>
      <c r="AK26" s="1062"/>
      <c r="AL26" s="1062"/>
      <c r="AM26" s="1062"/>
      <c r="AN26" s="1062"/>
      <c r="AO26" s="1062"/>
      <c r="AP26" s="1063"/>
      <c r="AQ26" s="614"/>
      <c r="AR26" s="610"/>
      <c r="AS26" s="435"/>
    </row>
    <row r="27" spans="1:55" ht="3" customHeight="1">
      <c r="A27" s="1"/>
      <c r="B27" s="1"/>
      <c r="C27" s="1037"/>
      <c r="D27" s="423"/>
      <c r="E27" s="437"/>
      <c r="F27" s="438"/>
      <c r="G27" s="438"/>
      <c r="H27" s="438"/>
      <c r="I27" s="441"/>
      <c r="J27" s="441"/>
      <c r="K27" s="441"/>
      <c r="L27" s="441"/>
      <c r="M27" s="441"/>
      <c r="N27" s="441"/>
      <c r="O27" s="441"/>
      <c r="P27" s="441"/>
      <c r="Q27" s="441"/>
      <c r="R27" s="441"/>
      <c r="S27" s="441"/>
      <c r="T27" s="441"/>
      <c r="U27" s="441"/>
      <c r="V27" s="441"/>
      <c r="W27" s="441"/>
      <c r="X27" s="441"/>
      <c r="Y27" s="441"/>
      <c r="Z27" s="438"/>
      <c r="AA27" s="438"/>
      <c r="AB27" s="438"/>
      <c r="AC27" s="438"/>
      <c r="AD27" s="438"/>
      <c r="AE27" s="437"/>
      <c r="AF27" s="423"/>
      <c r="AG27" s="423"/>
      <c r="AH27" s="423"/>
      <c r="AI27" s="423"/>
      <c r="AJ27" s="423"/>
      <c r="AK27" s="423"/>
      <c r="AL27" s="423"/>
      <c r="AM27" s="423"/>
      <c r="AN27" s="423"/>
      <c r="AO27" s="423"/>
      <c r="AP27" s="423"/>
      <c r="AQ27" s="423"/>
      <c r="AR27" s="610"/>
      <c r="AS27" s="435"/>
    </row>
    <row r="28" spans="1:55" ht="12.75" customHeight="1">
      <c r="A28" s="1"/>
      <c r="B28" s="1"/>
      <c r="C28" s="1037"/>
      <c r="D28" s="423"/>
      <c r="E28" s="422" t="s">
        <v>909</v>
      </c>
      <c r="F28" s="423"/>
      <c r="G28" s="423"/>
      <c r="H28" s="423"/>
      <c r="I28" s="1039"/>
      <c r="J28" s="1040"/>
      <c r="K28" s="1040"/>
      <c r="L28" s="1040"/>
      <c r="M28" s="1040"/>
      <c r="N28" s="1040"/>
      <c r="O28" s="1040"/>
      <c r="P28" s="1040"/>
      <c r="Q28" s="1040"/>
      <c r="R28" s="1040"/>
      <c r="S28" s="1040"/>
      <c r="T28" s="1040"/>
      <c r="U28" s="1040"/>
      <c r="V28" s="1040"/>
      <c r="W28" s="1040"/>
      <c r="X28" s="1040"/>
      <c r="Y28" s="1040"/>
      <c r="Z28" s="1040"/>
      <c r="AA28" s="1040"/>
      <c r="AB28" s="1040"/>
      <c r="AC28" s="1040"/>
      <c r="AD28" s="1041"/>
      <c r="AE28" s="427" t="s">
        <v>214</v>
      </c>
      <c r="AF28" s="423"/>
      <c r="AG28" s="423"/>
      <c r="AH28" s="423"/>
      <c r="AI28" s="428"/>
      <c r="AJ28" s="1048"/>
      <c r="AK28" s="1049"/>
      <c r="AL28" s="1049"/>
      <c r="AM28" s="1049"/>
      <c r="AN28" s="1049"/>
      <c r="AO28" s="1049"/>
      <c r="AP28" s="1050"/>
      <c r="AQ28" s="610"/>
      <c r="AR28" s="525" t="s">
        <v>99</v>
      </c>
      <c r="AS28" s="435"/>
    </row>
    <row r="29" spans="1:55" ht="3" customHeight="1">
      <c r="A29" s="1"/>
      <c r="B29" s="1"/>
      <c r="C29" s="1037"/>
      <c r="D29" s="423"/>
      <c r="E29" s="610"/>
      <c r="F29" s="610"/>
      <c r="G29" s="610"/>
      <c r="H29" s="610"/>
      <c r="I29" s="610"/>
      <c r="J29" s="610"/>
      <c r="K29" s="610"/>
      <c r="L29" s="610"/>
      <c r="M29" s="610"/>
      <c r="N29" s="610"/>
      <c r="O29" s="610"/>
      <c r="P29" s="610"/>
      <c r="Q29" s="610"/>
      <c r="R29" s="610"/>
      <c r="S29" s="610"/>
      <c r="T29" s="610"/>
      <c r="U29" s="610"/>
      <c r="V29" s="610"/>
      <c r="W29" s="610"/>
      <c r="X29" s="610"/>
      <c r="Y29" s="610"/>
      <c r="Z29" s="610"/>
      <c r="AA29" s="610"/>
      <c r="AB29" s="610"/>
      <c r="AC29" s="610"/>
      <c r="AD29" s="610"/>
      <c r="AE29" s="610"/>
      <c r="AF29" s="610"/>
      <c r="AG29" s="610"/>
      <c r="AH29" s="610"/>
      <c r="AI29" s="610"/>
      <c r="AJ29" s="610"/>
      <c r="AK29" s="610"/>
      <c r="AL29" s="610"/>
      <c r="AM29" s="610"/>
      <c r="AN29" s="610"/>
      <c r="AO29" s="610"/>
      <c r="AP29" s="610"/>
      <c r="AQ29" s="610"/>
      <c r="AR29" s="610"/>
      <c r="AS29" s="435"/>
    </row>
    <row r="30" spans="1:55" ht="12.75" customHeight="1">
      <c r="A30" s="1"/>
      <c r="B30" s="1"/>
      <c r="C30" s="1037"/>
      <c r="D30" s="423"/>
      <c r="E30" s="422" t="s">
        <v>100</v>
      </c>
      <c r="F30" s="423"/>
      <c r="G30" s="423"/>
      <c r="H30" s="423"/>
      <c r="I30" s="1039"/>
      <c r="J30" s="1040"/>
      <c r="K30" s="1040"/>
      <c r="L30" s="1040"/>
      <c r="M30" s="1040"/>
      <c r="N30" s="1040"/>
      <c r="O30" s="1040"/>
      <c r="P30" s="1040"/>
      <c r="Q30" s="1040"/>
      <c r="R30" s="1040"/>
      <c r="S30" s="1040"/>
      <c r="T30" s="1040"/>
      <c r="U30" s="1040"/>
      <c r="V30" s="1040"/>
      <c r="W30" s="1040"/>
      <c r="X30" s="1040"/>
      <c r="Y30" s="1040"/>
      <c r="Z30" s="1040"/>
      <c r="AA30" s="1040"/>
      <c r="AB30" s="1040"/>
      <c r="AC30" s="1040"/>
      <c r="AD30" s="1041"/>
      <c r="AE30" s="427" t="s">
        <v>101</v>
      </c>
      <c r="AF30" s="423"/>
      <c r="AG30" s="423"/>
      <c r="AH30" s="423"/>
      <c r="AI30" s="423"/>
      <c r="AJ30" s="1048"/>
      <c r="AK30" s="1049"/>
      <c r="AL30" s="1049"/>
      <c r="AM30" s="1049"/>
      <c r="AN30" s="1049"/>
      <c r="AO30" s="1049"/>
      <c r="AP30" s="1050"/>
      <c r="AQ30" s="423"/>
      <c r="AR30" s="4"/>
      <c r="AS30" s="435"/>
    </row>
    <row r="31" spans="1:55" ht="3" customHeight="1">
      <c r="A31" s="1"/>
      <c r="B31" s="1"/>
      <c r="C31" s="1037"/>
      <c r="D31" s="423"/>
      <c r="E31" s="422"/>
      <c r="F31" s="423"/>
      <c r="G31" s="423"/>
      <c r="H31" s="423"/>
      <c r="I31" s="442"/>
      <c r="J31" s="442"/>
      <c r="K31" s="442"/>
      <c r="L31" s="442"/>
      <c r="M31" s="442"/>
      <c r="N31" s="442"/>
      <c r="O31" s="442"/>
      <c r="P31" s="442"/>
      <c r="Q31" s="442"/>
      <c r="R31" s="442"/>
      <c r="S31" s="442"/>
      <c r="T31" s="442"/>
      <c r="U31" s="442"/>
      <c r="V31" s="442"/>
      <c r="W31" s="442"/>
      <c r="X31" s="442"/>
      <c r="Y31" s="442"/>
      <c r="Z31" s="442"/>
      <c r="AA31" s="442"/>
      <c r="AB31" s="442"/>
      <c r="AC31" s="442"/>
      <c r="AD31" s="442"/>
      <c r="AE31" s="427"/>
      <c r="AF31" s="423"/>
      <c r="AG31" s="423"/>
      <c r="AH31" s="423"/>
      <c r="AI31" s="423"/>
      <c r="AJ31" s="615"/>
      <c r="AK31" s="615"/>
      <c r="AL31" s="615"/>
      <c r="AM31" s="615"/>
      <c r="AN31" s="615"/>
      <c r="AO31" s="615"/>
      <c r="AP31" s="615"/>
      <c r="AQ31" s="423"/>
      <c r="AR31" s="523"/>
      <c r="AS31" s="435"/>
    </row>
    <row r="32" spans="1:55" ht="12.75" customHeight="1">
      <c r="A32" s="1"/>
      <c r="B32" s="1"/>
      <c r="C32" s="1037"/>
      <c r="D32" s="423"/>
      <c r="E32" s="422" t="s">
        <v>160</v>
      </c>
      <c r="F32" s="423"/>
      <c r="G32" s="423"/>
      <c r="H32" s="423"/>
      <c r="I32" s="1045"/>
      <c r="J32" s="1046"/>
      <c r="K32" s="1046"/>
      <c r="L32" s="1046"/>
      <c r="M32" s="1046"/>
      <c r="N32" s="1046"/>
      <c r="O32" s="1046"/>
      <c r="P32" s="1046"/>
      <c r="Q32" s="1046"/>
      <c r="R32" s="1046"/>
      <c r="S32" s="1046"/>
      <c r="T32" s="1046"/>
      <c r="U32" s="1046"/>
      <c r="V32" s="1047"/>
      <c r="W32" s="423"/>
      <c r="X32" s="423"/>
      <c r="Y32" s="423"/>
      <c r="Z32" s="433" t="s">
        <v>102</v>
      </c>
      <c r="AA32" s="1067"/>
      <c r="AB32" s="1068"/>
      <c r="AC32" s="1068"/>
      <c r="AD32" s="1069"/>
      <c r="AE32" s="427" t="s">
        <v>219</v>
      </c>
      <c r="AF32" s="423"/>
      <c r="AG32" s="423"/>
      <c r="AH32" s="423"/>
      <c r="AI32" s="423"/>
      <c r="AJ32" s="1048"/>
      <c r="AK32" s="1049"/>
      <c r="AL32" s="1049"/>
      <c r="AM32" s="1049"/>
      <c r="AN32" s="1049"/>
      <c r="AO32" s="1049"/>
      <c r="AP32" s="1050"/>
      <c r="AQ32" s="423"/>
      <c r="AR32" s="423"/>
      <c r="AS32" s="435"/>
    </row>
    <row r="33" spans="1:46" ht="3" customHeight="1">
      <c r="A33" s="1"/>
      <c r="B33" s="1"/>
      <c r="C33" s="1037"/>
      <c r="D33" s="423"/>
      <c r="E33" s="422"/>
      <c r="F33" s="423"/>
      <c r="G33" s="423"/>
      <c r="H33" s="423"/>
      <c r="I33" s="442"/>
      <c r="J33" s="442"/>
      <c r="K33" s="442"/>
      <c r="L33" s="442"/>
      <c r="M33" s="442"/>
      <c r="N33" s="442"/>
      <c r="O33" s="442"/>
      <c r="P33" s="442"/>
      <c r="Q33" s="442"/>
      <c r="R33" s="442"/>
      <c r="S33" s="442"/>
      <c r="T33" s="442"/>
      <c r="U33" s="422"/>
      <c r="V33" s="423"/>
      <c r="W33" s="423"/>
      <c r="X33" s="423"/>
      <c r="Y33" s="423"/>
      <c r="Z33" s="615"/>
      <c r="AA33" s="615"/>
      <c r="AB33" s="615"/>
      <c r="AC33" s="615"/>
      <c r="AD33" s="615"/>
      <c r="AE33" s="427"/>
      <c r="AF33" s="423"/>
      <c r="AG33" s="423"/>
      <c r="AH33" s="423"/>
      <c r="AI33" s="423"/>
      <c r="AJ33" s="615"/>
      <c r="AK33" s="615"/>
      <c r="AL33" s="615"/>
      <c r="AM33" s="615"/>
      <c r="AN33" s="615"/>
      <c r="AO33" s="615"/>
      <c r="AP33" s="615"/>
      <c r="AQ33" s="423"/>
      <c r="AR33" s="423"/>
      <c r="AS33" s="435"/>
    </row>
    <row r="34" spans="1:46" ht="12.75" customHeight="1">
      <c r="A34" s="1"/>
      <c r="B34" s="1"/>
      <c r="C34" s="1037"/>
      <c r="D34" s="423"/>
      <c r="E34" s="610"/>
      <c r="F34" s="423"/>
      <c r="G34" s="423"/>
      <c r="H34" s="423"/>
      <c r="I34" s="442"/>
      <c r="J34" s="442"/>
      <c r="K34" s="442"/>
      <c r="L34" s="442"/>
      <c r="M34" s="442"/>
      <c r="N34" s="442"/>
      <c r="O34" s="442"/>
      <c r="P34" s="442"/>
      <c r="Q34" s="442"/>
      <c r="R34" s="442"/>
      <c r="S34" s="442"/>
      <c r="T34" s="442"/>
      <c r="U34" s="422"/>
      <c r="V34" s="423"/>
      <c r="W34" s="423"/>
      <c r="X34" s="423"/>
      <c r="Y34" s="423"/>
      <c r="Z34" s="615"/>
      <c r="AA34" s="615"/>
      <c r="AB34" s="615"/>
      <c r="AC34" s="615"/>
      <c r="AD34" s="615"/>
      <c r="AE34" s="610"/>
      <c r="AF34" s="423"/>
      <c r="AG34" s="423"/>
      <c r="AH34" s="423"/>
      <c r="AI34" s="423"/>
      <c r="AJ34" s="615"/>
      <c r="AK34" s="615"/>
      <c r="AL34" s="615"/>
      <c r="AM34" s="615"/>
      <c r="AN34" s="615"/>
      <c r="AO34" s="615"/>
      <c r="AP34" s="433"/>
      <c r="AQ34" s="423"/>
      <c r="AR34" s="423"/>
      <c r="AS34" s="435"/>
    </row>
    <row r="35" spans="1:46" ht="3" customHeight="1" thickBot="1">
      <c r="A35" s="1"/>
      <c r="B35" s="1"/>
      <c r="C35" s="1038"/>
      <c r="D35" s="439"/>
      <c r="E35" s="440"/>
      <c r="F35" s="440"/>
      <c r="G35" s="440"/>
      <c r="H35" s="440"/>
      <c r="I35" s="440"/>
      <c r="J35" s="440"/>
      <c r="K35" s="440"/>
      <c r="L35" s="440"/>
      <c r="M35" s="440"/>
      <c r="N35" s="440"/>
      <c r="O35" s="440"/>
      <c r="P35" s="440"/>
      <c r="Q35" s="440"/>
      <c r="R35" s="443"/>
      <c r="S35" s="440"/>
      <c r="T35" s="440"/>
      <c r="U35" s="440"/>
      <c r="V35" s="440"/>
      <c r="W35" s="440"/>
      <c r="X35" s="440"/>
      <c r="Y35" s="438"/>
      <c r="Z35" s="440"/>
      <c r="AA35" s="440"/>
      <c r="AB35" s="440"/>
      <c r="AC35" s="440"/>
      <c r="AD35" s="440"/>
      <c r="AE35" s="444"/>
      <c r="AF35" s="439"/>
      <c r="AG35" s="439"/>
      <c r="AH35" s="439"/>
      <c r="AI35" s="439"/>
      <c r="AJ35" s="439"/>
      <c r="AK35" s="439"/>
      <c r="AL35" s="439"/>
      <c r="AM35" s="439"/>
      <c r="AN35" s="439"/>
      <c r="AO35" s="439"/>
      <c r="AP35" s="439"/>
      <c r="AQ35" s="439"/>
      <c r="AR35" s="439"/>
      <c r="AS35" s="426"/>
    </row>
    <row r="36" spans="1:46" ht="3" customHeight="1">
      <c r="A36" s="1"/>
      <c r="B36" s="1"/>
      <c r="C36" s="878" t="s">
        <v>916</v>
      </c>
      <c r="D36" s="423"/>
      <c r="E36" s="447"/>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c r="AJ36" s="420"/>
      <c r="AK36" s="420"/>
      <c r="AL36" s="420"/>
      <c r="AM36" s="420"/>
      <c r="AN36" s="420"/>
      <c r="AO36" s="420"/>
      <c r="AP36" s="420"/>
      <c r="AQ36" s="420"/>
      <c r="AR36" s="420"/>
      <c r="AS36" s="434"/>
    </row>
    <row r="37" spans="1:46" ht="13.15" customHeight="1">
      <c r="A37" s="1"/>
      <c r="B37" s="1"/>
      <c r="C37" s="1036"/>
      <c r="D37" s="445"/>
      <c r="E37" s="446"/>
      <c r="F37" s="445"/>
      <c r="G37" s="445"/>
      <c r="H37" s="445"/>
      <c r="I37" s="1081" t="s">
        <v>5658</v>
      </c>
      <c r="J37" s="1082"/>
      <c r="K37" s="1082"/>
      <c r="L37" s="1027"/>
      <c r="M37" s="1027"/>
      <c r="N37" s="1027"/>
      <c r="O37" s="1027"/>
      <c r="P37" s="1027"/>
      <c r="Q37" s="1027"/>
      <c r="R37" s="1027"/>
      <c r="S37" s="1027"/>
      <c r="T37" s="1027"/>
      <c r="U37" s="1027"/>
      <c r="V37" s="1027"/>
      <c r="W37" s="1027"/>
      <c r="X37" s="1027"/>
      <c r="Y37" s="1027"/>
      <c r="Z37" s="1027"/>
      <c r="AA37" s="1083"/>
      <c r="AB37" s="423"/>
      <c r="AC37" s="423"/>
      <c r="AD37" s="423"/>
      <c r="AE37" s="423"/>
      <c r="AF37" s="423"/>
      <c r="AG37" s="423"/>
      <c r="AH37" s="423"/>
      <c r="AI37" s="423"/>
      <c r="AJ37" s="423"/>
      <c r="AK37" s="423"/>
      <c r="AL37" s="423"/>
      <c r="AM37" s="423"/>
      <c r="AN37" s="423"/>
      <c r="AO37" s="423"/>
      <c r="AP37" s="433"/>
      <c r="AQ37" s="1093"/>
      <c r="AR37" s="1093"/>
      <c r="AS37" s="435"/>
    </row>
    <row r="38" spans="1:46" ht="3" customHeight="1">
      <c r="A38" s="1"/>
      <c r="B38" s="1"/>
      <c r="C38" s="879"/>
      <c r="D38" s="423"/>
      <c r="E38" s="422"/>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423"/>
      <c r="AH38" s="423"/>
      <c r="AI38" s="423"/>
      <c r="AJ38" s="423"/>
      <c r="AK38" s="423"/>
      <c r="AL38" s="423"/>
      <c r="AM38" s="423"/>
      <c r="AN38" s="423"/>
      <c r="AO38" s="423"/>
      <c r="AP38" s="423"/>
      <c r="AQ38" s="1093"/>
      <c r="AR38" s="1093"/>
      <c r="AS38" s="435"/>
    </row>
    <row r="39" spans="1:46" ht="12.75" customHeight="1">
      <c r="A39" s="9"/>
      <c r="B39" s="9"/>
      <c r="C39" s="1037"/>
      <c r="D39" s="423"/>
      <c r="E39" s="422" t="s">
        <v>166</v>
      </c>
      <c r="F39" s="423"/>
      <c r="G39" s="610"/>
      <c r="H39" s="610"/>
      <c r="I39" s="1078" t="s">
        <v>173</v>
      </c>
      <c r="J39" s="1079"/>
      <c r="K39" s="1080"/>
      <c r="L39" s="422"/>
      <c r="M39" s="433" t="s">
        <v>167</v>
      </c>
      <c r="N39" s="1039"/>
      <c r="O39" s="1040"/>
      <c r="P39" s="1040"/>
      <c r="Q39" s="1040"/>
      <c r="R39" s="1040"/>
      <c r="S39" s="1040"/>
      <c r="T39" s="1040"/>
      <c r="U39" s="1040"/>
      <c r="V39" s="1040"/>
      <c r="W39" s="1040"/>
      <c r="X39" s="1040"/>
      <c r="Y39" s="1040"/>
      <c r="Z39" s="1040"/>
      <c r="AA39" s="1041"/>
      <c r="AB39" s="422" t="s">
        <v>171</v>
      </c>
      <c r="AC39" s="610"/>
      <c r="AD39" s="1087"/>
      <c r="AE39" s="1088"/>
      <c r="AF39" s="1088"/>
      <c r="AG39" s="1088"/>
      <c r="AH39" s="1088"/>
      <c r="AI39" s="1088"/>
      <c r="AJ39" s="1088"/>
      <c r="AK39" s="1088"/>
      <c r="AL39" s="1088"/>
      <c r="AM39" s="1088"/>
      <c r="AN39" s="1088"/>
      <c r="AO39" s="1088"/>
      <c r="AP39" s="1089"/>
      <c r="AQ39" s="1093"/>
      <c r="AR39" s="1093"/>
      <c r="AS39" s="435"/>
    </row>
    <row r="40" spans="1:46" ht="3" customHeight="1">
      <c r="A40" s="9"/>
      <c r="B40" s="9"/>
      <c r="C40" s="1037"/>
      <c r="D40" s="423"/>
      <c r="E40" s="422"/>
      <c r="F40" s="423"/>
      <c r="G40" s="423"/>
      <c r="H40" s="423"/>
      <c r="I40" s="423"/>
      <c r="J40" s="423"/>
      <c r="K40" s="423"/>
      <c r="L40" s="423"/>
      <c r="M40" s="442"/>
      <c r="N40" s="442"/>
      <c r="O40" s="442"/>
      <c r="P40" s="442"/>
      <c r="Q40" s="442"/>
      <c r="R40" s="442"/>
      <c r="S40" s="442"/>
      <c r="T40" s="442"/>
      <c r="U40" s="442"/>
      <c r="V40" s="442"/>
      <c r="W40" s="442"/>
      <c r="X40" s="442"/>
      <c r="Y40" s="442"/>
      <c r="Z40" s="442"/>
      <c r="AA40" s="442"/>
      <c r="AB40" s="442"/>
      <c r="AC40" s="442"/>
      <c r="AD40" s="442"/>
      <c r="AE40" s="427"/>
      <c r="AF40" s="423"/>
      <c r="AG40" s="423"/>
      <c r="AH40" s="423"/>
      <c r="AI40" s="423"/>
      <c r="AJ40" s="615"/>
      <c r="AK40" s="615"/>
      <c r="AL40" s="615"/>
      <c r="AM40" s="615"/>
      <c r="AN40" s="615"/>
      <c r="AO40" s="615"/>
      <c r="AP40" s="615"/>
      <c r="AQ40" s="616"/>
      <c r="AR40" s="617"/>
      <c r="AS40" s="435"/>
    </row>
    <row r="41" spans="1:46" ht="12.75" customHeight="1">
      <c r="A41" s="9"/>
      <c r="B41" s="9"/>
      <c r="C41" s="1037"/>
      <c r="D41" s="610"/>
      <c r="E41" s="422" t="s">
        <v>98</v>
      </c>
      <c r="F41" s="423"/>
      <c r="G41" s="423"/>
      <c r="H41" s="423"/>
      <c r="I41" s="1045"/>
      <c r="J41" s="1062"/>
      <c r="K41" s="1062"/>
      <c r="L41" s="1062"/>
      <c r="M41" s="1062"/>
      <c r="N41" s="1062"/>
      <c r="O41" s="1062"/>
      <c r="P41" s="1062"/>
      <c r="Q41" s="1062"/>
      <c r="R41" s="1062"/>
      <c r="S41" s="1062"/>
      <c r="T41" s="1062"/>
      <c r="U41" s="1062"/>
      <c r="V41" s="1062"/>
      <c r="W41" s="1062"/>
      <c r="X41" s="1062"/>
      <c r="Y41" s="1062"/>
      <c r="Z41" s="1062"/>
      <c r="AA41" s="1063"/>
      <c r="AB41" s="422" t="s">
        <v>172</v>
      </c>
      <c r="AC41" s="618"/>
      <c r="AD41" s="1061"/>
      <c r="AE41" s="1062"/>
      <c r="AF41" s="1062"/>
      <c r="AG41" s="1062"/>
      <c r="AH41" s="1062"/>
      <c r="AI41" s="1062"/>
      <c r="AJ41" s="1062"/>
      <c r="AK41" s="1062"/>
      <c r="AL41" s="1062"/>
      <c r="AM41" s="1062"/>
      <c r="AN41" s="1062"/>
      <c r="AO41" s="1062"/>
      <c r="AP41" s="1063"/>
      <c r="AQ41" s="610"/>
      <c r="AR41" s="610"/>
      <c r="AS41" s="435"/>
    </row>
    <row r="42" spans="1:46" ht="3" customHeight="1">
      <c r="A42" s="9"/>
      <c r="B42" s="9"/>
      <c r="C42" s="1037"/>
      <c r="D42" s="423"/>
      <c r="E42" s="437"/>
      <c r="F42" s="438"/>
      <c r="G42" s="438"/>
      <c r="H42" s="438"/>
      <c r="I42" s="441"/>
      <c r="J42" s="441"/>
      <c r="K42" s="441"/>
      <c r="L42" s="441"/>
      <c r="M42" s="441"/>
      <c r="N42" s="441"/>
      <c r="O42" s="441"/>
      <c r="P42" s="441"/>
      <c r="Q42" s="441"/>
      <c r="R42" s="441"/>
      <c r="S42" s="441"/>
      <c r="T42" s="441"/>
      <c r="U42" s="441"/>
      <c r="V42" s="441"/>
      <c r="W42" s="441"/>
      <c r="X42" s="441"/>
      <c r="Y42" s="441"/>
      <c r="Z42" s="438"/>
      <c r="AA42" s="438"/>
      <c r="AB42" s="438"/>
      <c r="AC42" s="438"/>
      <c r="AD42" s="438"/>
      <c r="AE42" s="437"/>
      <c r="AF42" s="423"/>
      <c r="AG42" s="423"/>
      <c r="AH42" s="423"/>
      <c r="AI42" s="423"/>
      <c r="AJ42" s="423"/>
      <c r="AK42" s="423"/>
      <c r="AL42" s="423"/>
      <c r="AM42" s="423"/>
      <c r="AN42" s="423"/>
      <c r="AO42" s="423"/>
      <c r="AP42" s="423"/>
      <c r="AQ42" s="423"/>
      <c r="AR42" s="610"/>
      <c r="AS42" s="435"/>
    </row>
    <row r="43" spans="1:46" ht="12.75" customHeight="1">
      <c r="A43" s="9"/>
      <c r="B43" s="9"/>
      <c r="C43" s="1037"/>
      <c r="D43" s="423"/>
      <c r="E43" s="422" t="s">
        <v>909</v>
      </c>
      <c r="F43" s="423"/>
      <c r="G43" s="423"/>
      <c r="H43" s="423"/>
      <c r="I43" s="1039"/>
      <c r="J43" s="1040"/>
      <c r="K43" s="1040"/>
      <c r="L43" s="1040"/>
      <c r="M43" s="1040"/>
      <c r="N43" s="1040"/>
      <c r="O43" s="1040"/>
      <c r="P43" s="1040"/>
      <c r="Q43" s="1040"/>
      <c r="R43" s="1040"/>
      <c r="S43" s="1040"/>
      <c r="T43" s="1040"/>
      <c r="U43" s="1040"/>
      <c r="V43" s="1040"/>
      <c r="W43" s="1040"/>
      <c r="X43" s="1040"/>
      <c r="Y43" s="1040"/>
      <c r="Z43" s="1040"/>
      <c r="AA43" s="1040"/>
      <c r="AB43" s="1040"/>
      <c r="AC43" s="1040"/>
      <c r="AD43" s="1041"/>
      <c r="AE43" s="427" t="s">
        <v>214</v>
      </c>
      <c r="AF43" s="423"/>
      <c r="AG43" s="423"/>
      <c r="AH43" s="423"/>
      <c r="AI43" s="428"/>
      <c r="AJ43" s="1055"/>
      <c r="AK43" s="1056"/>
      <c r="AL43" s="1056"/>
      <c r="AM43" s="1056"/>
      <c r="AN43" s="1056"/>
      <c r="AO43" s="1056"/>
      <c r="AP43" s="1057"/>
      <c r="AQ43" s="610"/>
      <c r="AR43" s="525" t="s">
        <v>99</v>
      </c>
      <c r="AS43" s="435"/>
      <c r="AT43" s="10"/>
    </row>
    <row r="44" spans="1:46" ht="2.25" customHeight="1">
      <c r="A44" s="1"/>
      <c r="B44" s="1"/>
      <c r="C44" s="1037"/>
      <c r="D44" s="423"/>
      <c r="E44" s="610"/>
      <c r="F44" s="610"/>
      <c r="G44" s="610"/>
      <c r="H44" s="610"/>
      <c r="I44" s="610"/>
      <c r="J44" s="610"/>
      <c r="K44" s="610"/>
      <c r="L44" s="610"/>
      <c r="M44" s="610"/>
      <c r="N44" s="610"/>
      <c r="O44" s="610"/>
      <c r="P44" s="610"/>
      <c r="Q44" s="610"/>
      <c r="R44" s="610"/>
      <c r="S44" s="610"/>
      <c r="T44" s="610"/>
      <c r="U44" s="610"/>
      <c r="V44" s="610"/>
      <c r="W44" s="610"/>
      <c r="X44" s="610"/>
      <c r="Y44" s="610"/>
      <c r="Z44" s="610"/>
      <c r="AA44" s="610"/>
      <c r="AB44" s="610"/>
      <c r="AC44" s="610"/>
      <c r="AD44" s="610"/>
      <c r="AE44" s="610"/>
      <c r="AF44" s="610"/>
      <c r="AG44" s="610"/>
      <c r="AH44" s="610"/>
      <c r="AI44" s="610"/>
      <c r="AJ44" s="610"/>
      <c r="AK44" s="610"/>
      <c r="AL44" s="610"/>
      <c r="AM44" s="610"/>
      <c r="AN44" s="610"/>
      <c r="AO44" s="610"/>
      <c r="AP44" s="610"/>
      <c r="AQ44" s="610"/>
      <c r="AR44" s="610"/>
      <c r="AS44" s="435"/>
    </row>
    <row r="45" spans="1:46" ht="12.75" customHeight="1">
      <c r="A45" s="1"/>
      <c r="B45" s="1"/>
      <c r="C45" s="1037"/>
      <c r="D45" s="423"/>
      <c r="E45" s="422" t="s">
        <v>100</v>
      </c>
      <c r="F45" s="423"/>
      <c r="G45" s="423"/>
      <c r="H45" s="423"/>
      <c r="I45" s="1039"/>
      <c r="J45" s="1040"/>
      <c r="K45" s="1040"/>
      <c r="L45" s="1040"/>
      <c r="M45" s="1040"/>
      <c r="N45" s="1040"/>
      <c r="O45" s="1040"/>
      <c r="P45" s="1040"/>
      <c r="Q45" s="1040"/>
      <c r="R45" s="1040"/>
      <c r="S45" s="1040"/>
      <c r="T45" s="1040"/>
      <c r="U45" s="1040"/>
      <c r="V45" s="1040"/>
      <c r="W45" s="1040"/>
      <c r="X45" s="1040"/>
      <c r="Y45" s="1040"/>
      <c r="Z45" s="1040"/>
      <c r="AA45" s="1040"/>
      <c r="AB45" s="1040"/>
      <c r="AC45" s="1040"/>
      <c r="AD45" s="1041"/>
      <c r="AE45" s="427" t="s">
        <v>101</v>
      </c>
      <c r="AF45" s="423"/>
      <c r="AG45" s="423"/>
      <c r="AH45" s="423"/>
      <c r="AI45" s="423"/>
      <c r="AJ45" s="1055"/>
      <c r="AK45" s="1056"/>
      <c r="AL45" s="1056"/>
      <c r="AM45" s="1056"/>
      <c r="AN45" s="1056"/>
      <c r="AO45" s="1056"/>
      <c r="AP45" s="1057"/>
      <c r="AQ45" s="423"/>
      <c r="AR45" s="4"/>
      <c r="AS45" s="435"/>
      <c r="AT45" s="11"/>
    </row>
    <row r="46" spans="1:46" ht="2.25" customHeight="1">
      <c r="A46" s="9"/>
      <c r="B46" s="9"/>
      <c r="C46" s="1037"/>
      <c r="D46" s="423"/>
      <c r="E46" s="422"/>
      <c r="F46" s="423"/>
      <c r="G46" s="423"/>
      <c r="H46" s="423"/>
      <c r="I46" s="442"/>
      <c r="J46" s="442"/>
      <c r="K46" s="442"/>
      <c r="L46" s="442"/>
      <c r="M46" s="442"/>
      <c r="N46" s="442"/>
      <c r="O46" s="442"/>
      <c r="P46" s="442"/>
      <c r="Q46" s="442"/>
      <c r="R46" s="442"/>
      <c r="S46" s="442"/>
      <c r="T46" s="442"/>
      <c r="U46" s="442"/>
      <c r="V46" s="442"/>
      <c r="W46" s="442"/>
      <c r="X46" s="442"/>
      <c r="Y46" s="442"/>
      <c r="Z46" s="442"/>
      <c r="AA46" s="442"/>
      <c r="AB46" s="442"/>
      <c r="AC46" s="442"/>
      <c r="AD46" s="442"/>
      <c r="AE46" s="427"/>
      <c r="AF46" s="423"/>
      <c r="AG46" s="423"/>
      <c r="AH46" s="423"/>
      <c r="AI46" s="423"/>
      <c r="AJ46" s="615"/>
      <c r="AK46" s="615"/>
      <c r="AL46" s="615"/>
      <c r="AM46" s="615"/>
      <c r="AN46" s="615"/>
      <c r="AO46" s="615"/>
      <c r="AP46" s="615"/>
      <c r="AQ46" s="423"/>
      <c r="AR46" s="523"/>
      <c r="AS46" s="435"/>
    </row>
    <row r="47" spans="1:46" ht="12.75" customHeight="1">
      <c r="A47" s="9"/>
      <c r="B47" s="9"/>
      <c r="C47" s="1037"/>
      <c r="D47" s="423"/>
      <c r="E47" s="422" t="s">
        <v>160</v>
      </c>
      <c r="F47" s="423"/>
      <c r="G47" s="423"/>
      <c r="H47" s="423"/>
      <c r="I47" s="1045"/>
      <c r="J47" s="1046"/>
      <c r="K47" s="1046"/>
      <c r="L47" s="1046"/>
      <c r="M47" s="1046"/>
      <c r="N47" s="1046"/>
      <c r="O47" s="1046"/>
      <c r="P47" s="1046"/>
      <c r="Q47" s="1046"/>
      <c r="R47" s="1046"/>
      <c r="S47" s="1046"/>
      <c r="T47" s="1046"/>
      <c r="U47" s="1046"/>
      <c r="V47" s="1047"/>
      <c r="W47" s="423"/>
      <c r="X47" s="423"/>
      <c r="Y47" s="423"/>
      <c r="Z47" s="433" t="s">
        <v>102</v>
      </c>
      <c r="AA47" s="1067"/>
      <c r="AB47" s="1068"/>
      <c r="AC47" s="1068"/>
      <c r="AD47" s="1069"/>
      <c r="AE47" s="427" t="s">
        <v>219</v>
      </c>
      <c r="AF47" s="423"/>
      <c r="AG47" s="423"/>
      <c r="AH47" s="423"/>
      <c r="AI47" s="423"/>
      <c r="AJ47" s="1048"/>
      <c r="AK47" s="1049"/>
      <c r="AL47" s="1049"/>
      <c r="AM47" s="1049"/>
      <c r="AN47" s="1049"/>
      <c r="AO47" s="1049"/>
      <c r="AP47" s="1050"/>
      <c r="AQ47" s="423"/>
      <c r="AR47" s="423"/>
      <c r="AS47" s="435"/>
    </row>
    <row r="48" spans="1:46" ht="3" customHeight="1" thickBot="1">
      <c r="A48" s="9"/>
      <c r="B48" s="9"/>
      <c r="C48" s="1038"/>
      <c r="D48" s="439"/>
      <c r="E48" s="440"/>
      <c r="F48" s="440"/>
      <c r="G48" s="440"/>
      <c r="H48" s="440"/>
      <c r="I48" s="440"/>
      <c r="J48" s="440"/>
      <c r="K48" s="440"/>
      <c r="L48" s="440"/>
      <c r="M48" s="440"/>
      <c r="N48" s="440"/>
      <c r="O48" s="440"/>
      <c r="P48" s="440"/>
      <c r="Q48" s="440"/>
      <c r="R48" s="443"/>
      <c r="S48" s="440"/>
      <c r="T48" s="440"/>
      <c r="U48" s="440"/>
      <c r="V48" s="440"/>
      <c r="W48" s="440"/>
      <c r="X48" s="440"/>
      <c r="Y48" s="438"/>
      <c r="Z48" s="440"/>
      <c r="AA48" s="440"/>
      <c r="AB48" s="440"/>
      <c r="AC48" s="440"/>
      <c r="AD48" s="440"/>
      <c r="AE48" s="444"/>
      <c r="AF48" s="439"/>
      <c r="AG48" s="439"/>
      <c r="AH48" s="439"/>
      <c r="AI48" s="439"/>
      <c r="AJ48" s="439"/>
      <c r="AK48" s="439"/>
      <c r="AL48" s="439"/>
      <c r="AM48" s="439"/>
      <c r="AN48" s="439"/>
      <c r="AO48" s="439"/>
      <c r="AP48" s="439"/>
      <c r="AQ48" s="439"/>
      <c r="AR48" s="439"/>
      <c r="AS48" s="426"/>
    </row>
    <row r="49" spans="1:46" ht="4.5" customHeight="1">
      <c r="A49" s="1"/>
      <c r="B49" s="1"/>
      <c r="C49" s="878" t="s">
        <v>917</v>
      </c>
      <c r="D49" s="423"/>
      <c r="E49" s="447"/>
      <c r="F49" s="420"/>
      <c r="G49" s="420"/>
      <c r="H49" s="420"/>
      <c r="I49" s="420"/>
      <c r="J49" s="420"/>
      <c r="K49" s="420"/>
      <c r="L49" s="61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c r="AJ49" s="420"/>
      <c r="AK49" s="420"/>
      <c r="AL49" s="420"/>
      <c r="AM49" s="420"/>
      <c r="AN49" s="420"/>
      <c r="AO49" s="420"/>
      <c r="AP49" s="420"/>
      <c r="AQ49" s="420"/>
      <c r="AR49" s="420"/>
      <c r="AS49" s="434"/>
    </row>
    <row r="50" spans="1:46" ht="12.75" customHeight="1">
      <c r="A50" s="9"/>
      <c r="B50" s="9"/>
      <c r="C50" s="1037"/>
      <c r="D50" s="423"/>
      <c r="E50" s="422" t="s">
        <v>166</v>
      </c>
      <c r="F50" s="423"/>
      <c r="G50" s="610"/>
      <c r="H50" s="610"/>
      <c r="I50" s="1098" t="s">
        <v>173</v>
      </c>
      <c r="J50" s="1099"/>
      <c r="K50" s="1100"/>
      <c r="L50" s="448"/>
      <c r="M50" s="433" t="s">
        <v>167</v>
      </c>
      <c r="N50" s="1042"/>
      <c r="O50" s="1043"/>
      <c r="P50" s="1043"/>
      <c r="Q50" s="1043"/>
      <c r="R50" s="1043"/>
      <c r="S50" s="1043"/>
      <c r="T50" s="1043"/>
      <c r="U50" s="1043"/>
      <c r="V50" s="1043"/>
      <c r="W50" s="1043"/>
      <c r="X50" s="1043"/>
      <c r="Y50" s="1043"/>
      <c r="Z50" s="1043"/>
      <c r="AA50" s="1044"/>
      <c r="AB50" s="422" t="s">
        <v>171</v>
      </c>
      <c r="AC50" s="610"/>
      <c r="AD50" s="1106"/>
      <c r="AE50" s="1107"/>
      <c r="AF50" s="1107"/>
      <c r="AG50" s="1107"/>
      <c r="AH50" s="1107"/>
      <c r="AI50" s="1107"/>
      <c r="AJ50" s="1107"/>
      <c r="AK50" s="1107"/>
      <c r="AL50" s="1107"/>
      <c r="AM50" s="1107"/>
      <c r="AN50" s="1107"/>
      <c r="AO50" s="1107"/>
      <c r="AP50" s="1108"/>
      <c r="AQ50" s="610"/>
      <c r="AR50" s="610"/>
      <c r="AS50" s="435"/>
    </row>
    <row r="51" spans="1:46" ht="3" customHeight="1">
      <c r="A51" s="9"/>
      <c r="B51" s="9"/>
      <c r="C51" s="1037"/>
      <c r="D51" s="423"/>
      <c r="E51" s="422"/>
      <c r="F51" s="423"/>
      <c r="G51" s="423"/>
      <c r="H51" s="423"/>
      <c r="I51" s="423"/>
      <c r="J51" s="423"/>
      <c r="K51" s="423"/>
      <c r="L51" s="423"/>
      <c r="M51" s="442"/>
      <c r="N51" s="442"/>
      <c r="O51" s="442"/>
      <c r="P51" s="442"/>
      <c r="Q51" s="442"/>
      <c r="R51" s="442"/>
      <c r="S51" s="442"/>
      <c r="T51" s="442"/>
      <c r="U51" s="442"/>
      <c r="V51" s="442"/>
      <c r="W51" s="442"/>
      <c r="X51" s="442"/>
      <c r="Y51" s="442"/>
      <c r="Z51" s="442"/>
      <c r="AA51" s="442"/>
      <c r="AB51" s="442"/>
      <c r="AC51" s="442"/>
      <c r="AD51" s="442"/>
      <c r="AE51" s="427"/>
      <c r="AF51" s="423"/>
      <c r="AG51" s="423"/>
      <c r="AH51" s="423"/>
      <c r="AI51" s="423"/>
      <c r="AJ51" s="615"/>
      <c r="AK51" s="615"/>
      <c r="AL51" s="615"/>
      <c r="AM51" s="615"/>
      <c r="AN51" s="615"/>
      <c r="AO51" s="615"/>
      <c r="AP51" s="615"/>
      <c r="AQ51" s="610"/>
      <c r="AR51" s="610"/>
      <c r="AS51" s="435"/>
    </row>
    <row r="52" spans="1:46" ht="12.75" customHeight="1">
      <c r="A52" s="9"/>
      <c r="B52" s="9"/>
      <c r="C52" s="1037"/>
      <c r="D52" s="610"/>
      <c r="E52" s="422" t="s">
        <v>98</v>
      </c>
      <c r="F52" s="423"/>
      <c r="G52" s="423"/>
      <c r="H52" s="423"/>
      <c r="I52" s="1094"/>
      <c r="J52" s="1095"/>
      <c r="K52" s="1095"/>
      <c r="L52" s="1095"/>
      <c r="M52" s="1095"/>
      <c r="N52" s="1095"/>
      <c r="O52" s="1095"/>
      <c r="P52" s="1095"/>
      <c r="Q52" s="1095"/>
      <c r="R52" s="1095"/>
      <c r="S52" s="1095"/>
      <c r="T52" s="1095"/>
      <c r="U52" s="1095"/>
      <c r="V52" s="1095"/>
      <c r="W52" s="1095"/>
      <c r="X52" s="1095"/>
      <c r="Y52" s="1095"/>
      <c r="Z52" s="1095"/>
      <c r="AA52" s="1096"/>
      <c r="AB52" s="422" t="s">
        <v>172</v>
      </c>
      <c r="AC52" s="618"/>
      <c r="AD52" s="1097"/>
      <c r="AE52" s="1095"/>
      <c r="AF52" s="1095"/>
      <c r="AG52" s="1095"/>
      <c r="AH52" s="1095"/>
      <c r="AI52" s="1095"/>
      <c r="AJ52" s="1095"/>
      <c r="AK52" s="1095"/>
      <c r="AL52" s="1095"/>
      <c r="AM52" s="1095"/>
      <c r="AN52" s="1095"/>
      <c r="AO52" s="1095"/>
      <c r="AP52" s="1096"/>
      <c r="AQ52" s="610"/>
      <c r="AR52" s="610"/>
      <c r="AS52" s="435"/>
    </row>
    <row r="53" spans="1:46" ht="3" customHeight="1">
      <c r="A53" s="9"/>
      <c r="B53" s="9"/>
      <c r="C53" s="1037"/>
      <c r="D53" s="423"/>
      <c r="E53" s="437"/>
      <c r="F53" s="438"/>
      <c r="G53" s="438"/>
      <c r="H53" s="438"/>
      <c r="I53" s="441"/>
      <c r="J53" s="441"/>
      <c r="K53" s="441"/>
      <c r="L53" s="441"/>
      <c r="M53" s="441"/>
      <c r="N53" s="441"/>
      <c r="O53" s="441"/>
      <c r="P53" s="441"/>
      <c r="Q53" s="441"/>
      <c r="R53" s="441"/>
      <c r="S53" s="441"/>
      <c r="T53" s="441"/>
      <c r="U53" s="441"/>
      <c r="V53" s="441"/>
      <c r="W53" s="441"/>
      <c r="X53" s="441"/>
      <c r="Y53" s="441"/>
      <c r="Z53" s="438"/>
      <c r="AA53" s="438"/>
      <c r="AB53" s="438"/>
      <c r="AC53" s="438"/>
      <c r="AD53" s="438"/>
      <c r="AE53" s="437"/>
      <c r="AF53" s="423"/>
      <c r="AG53" s="423"/>
      <c r="AH53" s="423"/>
      <c r="AI53" s="423"/>
      <c r="AJ53" s="423"/>
      <c r="AK53" s="423"/>
      <c r="AL53" s="423"/>
      <c r="AM53" s="423"/>
      <c r="AN53" s="423"/>
      <c r="AO53" s="423"/>
      <c r="AP53" s="423"/>
      <c r="AQ53" s="423"/>
      <c r="AR53" s="610"/>
      <c r="AS53" s="435"/>
    </row>
    <row r="54" spans="1:46" ht="14.25" customHeight="1">
      <c r="A54" s="9"/>
      <c r="B54" s="9"/>
      <c r="C54" s="1037"/>
      <c r="D54" s="423"/>
      <c r="E54" s="422" t="s">
        <v>909</v>
      </c>
      <c r="F54" s="423"/>
      <c r="G54" s="423"/>
      <c r="H54" s="423"/>
      <c r="I54" s="1042"/>
      <c r="J54" s="1043"/>
      <c r="K54" s="1043"/>
      <c r="L54" s="1043"/>
      <c r="M54" s="1043"/>
      <c r="N54" s="1043"/>
      <c r="O54" s="1043"/>
      <c r="P54" s="1043"/>
      <c r="Q54" s="1043"/>
      <c r="R54" s="1043"/>
      <c r="S54" s="1043"/>
      <c r="T54" s="1043"/>
      <c r="U54" s="1043"/>
      <c r="V54" s="1043"/>
      <c r="W54" s="1043"/>
      <c r="X54" s="1043"/>
      <c r="Y54" s="1043"/>
      <c r="Z54" s="1043"/>
      <c r="AA54" s="1043"/>
      <c r="AB54" s="1043"/>
      <c r="AC54" s="1043"/>
      <c r="AD54" s="1044"/>
      <c r="AE54" s="427" t="s">
        <v>214</v>
      </c>
      <c r="AF54" s="423"/>
      <c r="AG54" s="423"/>
      <c r="AH54" s="423"/>
      <c r="AI54" s="428"/>
      <c r="AJ54" s="1048"/>
      <c r="AK54" s="1049"/>
      <c r="AL54" s="1049"/>
      <c r="AM54" s="1049"/>
      <c r="AN54" s="1049"/>
      <c r="AO54" s="1049"/>
      <c r="AP54" s="1050"/>
      <c r="AQ54" s="610"/>
      <c r="AR54" s="525" t="s">
        <v>99</v>
      </c>
      <c r="AS54" s="435"/>
      <c r="AT54" s="10"/>
    </row>
    <row r="55" spans="1:46" ht="2.25" customHeight="1">
      <c r="A55" s="1"/>
      <c r="B55" s="1"/>
      <c r="C55" s="1037"/>
      <c r="D55" s="423"/>
      <c r="E55" s="610"/>
      <c r="F55" s="610"/>
      <c r="G55" s="610"/>
      <c r="H55" s="610"/>
      <c r="I55" s="610"/>
      <c r="J55" s="610"/>
      <c r="K55" s="610"/>
      <c r="L55" s="610"/>
      <c r="M55" s="610"/>
      <c r="N55" s="610"/>
      <c r="O55" s="610"/>
      <c r="P55" s="610"/>
      <c r="Q55" s="610"/>
      <c r="R55" s="610"/>
      <c r="S55" s="610"/>
      <c r="T55" s="610"/>
      <c r="U55" s="610"/>
      <c r="V55" s="610"/>
      <c r="W55" s="610"/>
      <c r="X55" s="610"/>
      <c r="Y55" s="610"/>
      <c r="Z55" s="610"/>
      <c r="AA55" s="610"/>
      <c r="AB55" s="610"/>
      <c r="AC55" s="610"/>
      <c r="AD55" s="610"/>
      <c r="AE55" s="610"/>
      <c r="AF55" s="610"/>
      <c r="AG55" s="610"/>
      <c r="AH55" s="610"/>
      <c r="AI55" s="610"/>
      <c r="AJ55" s="610"/>
      <c r="AK55" s="610"/>
      <c r="AL55" s="610"/>
      <c r="AM55" s="610"/>
      <c r="AN55" s="610"/>
      <c r="AO55" s="610"/>
      <c r="AP55" s="610"/>
      <c r="AQ55" s="610"/>
      <c r="AR55" s="610"/>
      <c r="AS55" s="435"/>
    </row>
    <row r="56" spans="1:46" ht="14.25" customHeight="1">
      <c r="A56" s="1"/>
      <c r="B56" s="1"/>
      <c r="C56" s="1037"/>
      <c r="D56" s="423"/>
      <c r="E56" s="422" t="s">
        <v>100</v>
      </c>
      <c r="F56" s="423"/>
      <c r="G56" s="423"/>
      <c r="H56" s="423"/>
      <c r="I56" s="1042"/>
      <c r="J56" s="1043"/>
      <c r="K56" s="1043"/>
      <c r="L56" s="1043"/>
      <c r="M56" s="1043"/>
      <c r="N56" s="1043"/>
      <c r="O56" s="1043"/>
      <c r="P56" s="1043"/>
      <c r="Q56" s="1043"/>
      <c r="R56" s="1043"/>
      <c r="S56" s="1043"/>
      <c r="T56" s="1043"/>
      <c r="U56" s="1043"/>
      <c r="V56" s="1043"/>
      <c r="W56" s="1043"/>
      <c r="X56" s="1043"/>
      <c r="Y56" s="1043"/>
      <c r="Z56" s="1043"/>
      <c r="AA56" s="1043"/>
      <c r="AB56" s="1043"/>
      <c r="AC56" s="1043"/>
      <c r="AD56" s="1044"/>
      <c r="AE56" s="427" t="s">
        <v>101</v>
      </c>
      <c r="AF56" s="423"/>
      <c r="AG56" s="423"/>
      <c r="AH56" s="423"/>
      <c r="AI56" s="423"/>
      <c r="AJ56" s="1048"/>
      <c r="AK56" s="1049"/>
      <c r="AL56" s="1049"/>
      <c r="AM56" s="1049"/>
      <c r="AN56" s="1049"/>
      <c r="AO56" s="1049"/>
      <c r="AP56" s="1050"/>
      <c r="AQ56" s="423"/>
      <c r="AR56" s="4"/>
      <c r="AS56" s="435"/>
      <c r="AT56" s="11"/>
    </row>
    <row r="57" spans="1:46" ht="3" customHeight="1">
      <c r="A57" s="9"/>
      <c r="B57" s="9"/>
      <c r="C57" s="1037"/>
      <c r="D57" s="423"/>
      <c r="E57" s="422"/>
      <c r="F57" s="423"/>
      <c r="G57" s="423"/>
      <c r="H57" s="423"/>
      <c r="I57" s="442"/>
      <c r="J57" s="442"/>
      <c r="K57" s="442"/>
      <c r="L57" s="442"/>
      <c r="M57" s="442"/>
      <c r="N57" s="442"/>
      <c r="O57" s="442"/>
      <c r="P57" s="442"/>
      <c r="Q57" s="442"/>
      <c r="R57" s="442"/>
      <c r="S57" s="442"/>
      <c r="T57" s="442"/>
      <c r="U57" s="442"/>
      <c r="V57" s="442"/>
      <c r="W57" s="442"/>
      <c r="X57" s="442"/>
      <c r="Y57" s="442"/>
      <c r="Z57" s="442"/>
      <c r="AA57" s="442"/>
      <c r="AB57" s="442"/>
      <c r="AC57" s="442"/>
      <c r="AD57" s="442"/>
      <c r="AE57" s="427"/>
      <c r="AF57" s="423"/>
      <c r="AG57" s="423"/>
      <c r="AH57" s="423"/>
      <c r="AI57" s="423"/>
      <c r="AJ57" s="615"/>
      <c r="AK57" s="615"/>
      <c r="AL57" s="615"/>
      <c r="AM57" s="615"/>
      <c r="AN57" s="615"/>
      <c r="AO57" s="615"/>
      <c r="AP57" s="615"/>
      <c r="AQ57" s="423"/>
      <c r="AR57" s="523"/>
      <c r="AS57" s="435"/>
    </row>
    <row r="58" spans="1:46" ht="15.75" customHeight="1">
      <c r="A58" s="9"/>
      <c r="B58" s="9"/>
      <c r="C58" s="1037"/>
      <c r="D58" s="423"/>
      <c r="E58" s="422" t="s">
        <v>160</v>
      </c>
      <c r="F58" s="423"/>
      <c r="G58" s="423"/>
      <c r="H58" s="423"/>
      <c r="I58" s="1094"/>
      <c r="J58" s="1104"/>
      <c r="K58" s="1104"/>
      <c r="L58" s="1104"/>
      <c r="M58" s="1104"/>
      <c r="N58" s="1104"/>
      <c r="O58" s="1104"/>
      <c r="P58" s="1104"/>
      <c r="Q58" s="1104"/>
      <c r="R58" s="1104"/>
      <c r="S58" s="1104"/>
      <c r="T58" s="1104"/>
      <c r="U58" s="1104"/>
      <c r="V58" s="1105"/>
      <c r="W58" s="423"/>
      <c r="X58" s="423"/>
      <c r="Y58" s="423"/>
      <c r="Z58" s="433" t="s">
        <v>102</v>
      </c>
      <c r="AA58" s="1101"/>
      <c r="AB58" s="1102"/>
      <c r="AC58" s="1102"/>
      <c r="AD58" s="1103"/>
      <c r="AE58" s="427" t="s">
        <v>219</v>
      </c>
      <c r="AF58" s="423"/>
      <c r="AG58" s="423"/>
      <c r="AH58" s="423"/>
      <c r="AI58" s="423"/>
      <c r="AJ58" s="1048"/>
      <c r="AK58" s="1049"/>
      <c r="AL58" s="1049"/>
      <c r="AM58" s="1049"/>
      <c r="AN58" s="1049"/>
      <c r="AO58" s="1049"/>
      <c r="AP58" s="1050"/>
      <c r="AQ58" s="423"/>
      <c r="AR58" s="423"/>
      <c r="AS58" s="435"/>
    </row>
    <row r="59" spans="1:46" ht="3" customHeight="1">
      <c r="A59" s="9"/>
      <c r="B59" s="9"/>
      <c r="C59" s="1037"/>
      <c r="D59" s="423"/>
      <c r="E59" s="422"/>
      <c r="F59" s="423"/>
      <c r="G59" s="423"/>
      <c r="H59" s="423"/>
      <c r="I59" s="442"/>
      <c r="J59" s="442"/>
      <c r="K59" s="442"/>
      <c r="L59" s="442"/>
      <c r="M59" s="442"/>
      <c r="N59" s="442"/>
      <c r="O59" s="442"/>
      <c r="P59" s="442"/>
      <c r="Q59" s="442"/>
      <c r="R59" s="442"/>
      <c r="S59" s="442"/>
      <c r="T59" s="442"/>
      <c r="U59" s="422"/>
      <c r="V59" s="423"/>
      <c r="W59" s="423"/>
      <c r="X59" s="423"/>
      <c r="Y59" s="423"/>
      <c r="Z59" s="615"/>
      <c r="AA59" s="615"/>
      <c r="AB59" s="615"/>
      <c r="AC59" s="615"/>
      <c r="AD59" s="615"/>
      <c r="AE59" s="427"/>
      <c r="AF59" s="423"/>
      <c r="AG59" s="423"/>
      <c r="AH59" s="423"/>
      <c r="AI59" s="423"/>
      <c r="AJ59" s="619"/>
      <c r="AK59" s="619"/>
      <c r="AL59" s="619"/>
      <c r="AM59" s="619"/>
      <c r="AN59" s="619"/>
      <c r="AO59" s="619"/>
      <c r="AP59" s="619"/>
      <c r="AQ59" s="423"/>
      <c r="AR59" s="423"/>
      <c r="AS59" s="435"/>
    </row>
    <row r="60" spans="1:46" ht="12.75" customHeight="1">
      <c r="A60" s="9"/>
      <c r="B60" s="9"/>
      <c r="C60" s="1037"/>
      <c r="D60" s="423"/>
      <c r="E60" s="448"/>
      <c r="F60" s="423"/>
      <c r="G60" s="423"/>
      <c r="H60" s="423"/>
      <c r="I60" s="610"/>
      <c r="J60" s="442"/>
      <c r="K60" s="442"/>
      <c r="L60" s="442"/>
      <c r="M60" s="442"/>
      <c r="N60" s="442"/>
      <c r="O60" s="442"/>
      <c r="P60" s="442"/>
      <c r="Q60" s="442"/>
      <c r="R60" s="442"/>
      <c r="S60" s="442"/>
      <c r="T60" s="442"/>
      <c r="U60" s="610"/>
      <c r="V60" s="423"/>
      <c r="W60" s="423"/>
      <c r="X60" s="423"/>
      <c r="Y60" s="423"/>
      <c r="Z60" s="615"/>
      <c r="AA60" s="615"/>
      <c r="AB60" s="615"/>
      <c r="AC60" s="615"/>
      <c r="AD60" s="610"/>
      <c r="AE60" s="433" t="s">
        <v>218</v>
      </c>
      <c r="AF60" s="1130" t="s">
        <v>5525</v>
      </c>
      <c r="AG60" s="1130"/>
      <c r="AH60" s="423"/>
      <c r="AI60" s="449"/>
      <c r="AJ60" s="1048"/>
      <c r="AK60" s="1049"/>
      <c r="AL60" s="1049"/>
      <c r="AM60" s="1049"/>
      <c r="AN60" s="1049"/>
      <c r="AO60" s="1049"/>
      <c r="AP60" s="1050"/>
      <c r="AQ60" s="423"/>
      <c r="AR60" s="423"/>
      <c r="AS60" s="435"/>
    </row>
    <row r="61" spans="1:46" ht="3" customHeight="1" thickBot="1">
      <c r="A61" s="9"/>
      <c r="B61" s="9"/>
      <c r="C61" s="1038"/>
      <c r="D61" s="439"/>
      <c r="E61" s="440"/>
      <c r="F61" s="440"/>
      <c r="G61" s="440"/>
      <c r="H61" s="440"/>
      <c r="I61" s="440"/>
      <c r="J61" s="440"/>
      <c r="K61" s="440"/>
      <c r="L61" s="440"/>
      <c r="M61" s="440"/>
      <c r="N61" s="440"/>
      <c r="O61" s="440"/>
      <c r="P61" s="440"/>
      <c r="Q61" s="440"/>
      <c r="R61" s="443"/>
      <c r="S61" s="440"/>
      <c r="T61" s="440"/>
      <c r="U61" s="440"/>
      <c r="V61" s="440"/>
      <c r="W61" s="440"/>
      <c r="X61" s="440"/>
      <c r="Y61" s="438"/>
      <c r="Z61" s="440"/>
      <c r="AA61" s="440"/>
      <c r="AB61" s="440"/>
      <c r="AC61" s="440"/>
      <c r="AD61" s="440"/>
      <c r="AE61" s="444"/>
      <c r="AF61" s="439"/>
      <c r="AG61" s="439"/>
      <c r="AH61" s="439"/>
      <c r="AI61" s="439"/>
      <c r="AJ61" s="439"/>
      <c r="AK61" s="439"/>
      <c r="AL61" s="439"/>
      <c r="AM61" s="439"/>
      <c r="AN61" s="439"/>
      <c r="AO61" s="439"/>
      <c r="AP61" s="439"/>
      <c r="AQ61" s="439"/>
      <c r="AR61" s="439"/>
      <c r="AS61" s="426"/>
    </row>
    <row r="62" spans="1:46" ht="10.5" customHeight="1">
      <c r="A62" s="1"/>
      <c r="B62" s="1"/>
      <c r="C62" s="1064" t="s">
        <v>5605</v>
      </c>
      <c r="D62" s="419"/>
      <c r="E62" s="420"/>
      <c r="F62" s="450"/>
      <c r="G62" s="420"/>
      <c r="H62" s="420"/>
      <c r="I62" s="620"/>
      <c r="J62" s="420"/>
      <c r="K62" s="420"/>
      <c r="L62" s="420"/>
      <c r="M62" s="420"/>
      <c r="N62" s="420"/>
      <c r="O62" s="420"/>
      <c r="P62" s="420"/>
      <c r="Q62" s="420"/>
      <c r="R62" s="420"/>
      <c r="S62" s="420"/>
      <c r="T62" s="420"/>
      <c r="U62" s="420"/>
      <c r="V62" s="420"/>
      <c r="W62" s="420"/>
      <c r="X62" s="420"/>
      <c r="Y62" s="420"/>
      <c r="Z62" s="420"/>
      <c r="AA62" s="420"/>
      <c r="AB62" s="420"/>
      <c r="AC62" s="420"/>
      <c r="AD62" s="420"/>
      <c r="AE62" s="420"/>
      <c r="AF62" s="420"/>
      <c r="AG62" s="420"/>
      <c r="AH62" s="420"/>
      <c r="AI62" s="420"/>
      <c r="AJ62" s="420"/>
      <c r="AK62" s="420"/>
      <c r="AL62" s="420"/>
      <c r="AM62" s="420"/>
      <c r="AN62" s="420"/>
      <c r="AO62" s="420"/>
      <c r="AP62" s="420"/>
      <c r="AQ62" s="420"/>
      <c r="AR62" s="420"/>
      <c r="AS62" s="434"/>
    </row>
    <row r="63" spans="1:46">
      <c r="A63" s="1"/>
      <c r="B63" s="1"/>
      <c r="C63" s="1065"/>
      <c r="D63" s="421"/>
      <c r="E63" s="422" t="s">
        <v>881</v>
      </c>
      <c r="F63" s="423"/>
      <c r="G63" s="423"/>
      <c r="H63" s="423"/>
      <c r="I63" s="1039"/>
      <c r="J63" s="1040"/>
      <c r="K63" s="1040"/>
      <c r="L63" s="1040"/>
      <c r="M63" s="1040"/>
      <c r="N63" s="1040"/>
      <c r="O63" s="1040"/>
      <c r="P63" s="1040"/>
      <c r="Q63" s="1040"/>
      <c r="R63" s="1040"/>
      <c r="S63" s="1040"/>
      <c r="T63" s="1040"/>
      <c r="U63" s="1040"/>
      <c r="V63" s="1040"/>
      <c r="W63" s="1040"/>
      <c r="X63" s="1040"/>
      <c r="Y63" s="1040"/>
      <c r="Z63" s="1040"/>
      <c r="AA63" s="1040"/>
      <c r="AB63" s="1040"/>
      <c r="AC63" s="1040"/>
      <c r="AD63" s="1041"/>
      <c r="AE63" s="427" t="s">
        <v>214</v>
      </c>
      <c r="AF63" s="422"/>
      <c r="AG63" s="422"/>
      <c r="AH63" s="422"/>
      <c r="AI63" s="448"/>
      <c r="AJ63" s="1055"/>
      <c r="AK63" s="1056"/>
      <c r="AL63" s="1056"/>
      <c r="AM63" s="1056"/>
      <c r="AN63" s="1056"/>
      <c r="AO63" s="1056"/>
      <c r="AP63" s="1057"/>
      <c r="AQ63" s="423"/>
      <c r="AR63" s="1139"/>
      <c r="AS63" s="435"/>
    </row>
    <row r="64" spans="1:46" ht="2.25" customHeight="1">
      <c r="A64" s="1"/>
      <c r="B64" s="1"/>
      <c r="C64" s="1065"/>
      <c r="D64" s="421"/>
      <c r="E64" s="451"/>
      <c r="F64" s="423"/>
      <c r="G64" s="423"/>
      <c r="H64" s="423"/>
      <c r="I64" s="442"/>
      <c r="J64" s="442"/>
      <c r="K64" s="442"/>
      <c r="L64" s="442"/>
      <c r="M64" s="442"/>
      <c r="N64" s="442"/>
      <c r="O64" s="442"/>
      <c r="P64" s="442"/>
      <c r="Q64" s="452"/>
      <c r="R64" s="452"/>
      <c r="S64" s="452"/>
      <c r="T64" s="452"/>
      <c r="U64" s="452"/>
      <c r="V64" s="452"/>
      <c r="W64" s="452"/>
      <c r="X64" s="452"/>
      <c r="Y64" s="452"/>
      <c r="Z64" s="452"/>
      <c r="AA64" s="452"/>
      <c r="AB64" s="452"/>
      <c r="AC64" s="452"/>
      <c r="AD64" s="452"/>
      <c r="AE64" s="422"/>
      <c r="AF64" s="422"/>
      <c r="AG64" s="422"/>
      <c r="AH64" s="422"/>
      <c r="AI64" s="422"/>
      <c r="AJ64" s="452"/>
      <c r="AK64" s="452"/>
      <c r="AL64" s="452"/>
      <c r="AM64" s="452"/>
      <c r="AN64" s="452"/>
      <c r="AO64" s="452"/>
      <c r="AP64" s="452"/>
      <c r="AQ64" s="423"/>
      <c r="AR64" s="1139"/>
      <c r="AS64" s="435"/>
    </row>
    <row r="65" spans="1:49">
      <c r="A65" s="1"/>
      <c r="B65" s="1"/>
      <c r="C65" s="1065"/>
      <c r="D65" s="424"/>
      <c r="E65" s="422" t="s">
        <v>100</v>
      </c>
      <c r="F65" s="423"/>
      <c r="G65" s="423"/>
      <c r="H65" s="423"/>
      <c r="I65" s="1039"/>
      <c r="J65" s="1040"/>
      <c r="K65" s="1040"/>
      <c r="L65" s="1040"/>
      <c r="M65" s="1040"/>
      <c r="N65" s="1040"/>
      <c r="O65" s="1040"/>
      <c r="P65" s="1040"/>
      <c r="Q65" s="1040"/>
      <c r="R65" s="1040"/>
      <c r="S65" s="1040"/>
      <c r="T65" s="1040"/>
      <c r="U65" s="1040"/>
      <c r="V65" s="1040"/>
      <c r="W65" s="1040"/>
      <c r="X65" s="1040"/>
      <c r="Y65" s="1040"/>
      <c r="Z65" s="1040"/>
      <c r="AA65" s="1040"/>
      <c r="AB65" s="1040"/>
      <c r="AC65" s="1040"/>
      <c r="AD65" s="1041"/>
      <c r="AE65" s="427" t="s">
        <v>5062</v>
      </c>
      <c r="AF65" s="422"/>
      <c r="AG65" s="422"/>
      <c r="AH65" s="422"/>
      <c r="AI65" s="422"/>
      <c r="AJ65" s="1125"/>
      <c r="AK65" s="1126"/>
      <c r="AL65" s="1126"/>
      <c r="AM65" s="1127"/>
      <c r="AN65" s="452"/>
      <c r="AO65" s="452"/>
      <c r="AP65" s="621"/>
      <c r="AQ65" s="423"/>
      <c r="AR65" s="523"/>
      <c r="AS65" s="435"/>
      <c r="AU65" s="622"/>
    </row>
    <row r="66" spans="1:49" ht="2.25" customHeight="1">
      <c r="A66" s="1"/>
      <c r="B66" s="1"/>
      <c r="C66" s="1065"/>
      <c r="D66" s="424"/>
      <c r="E66" s="422"/>
      <c r="F66" s="423"/>
      <c r="G66" s="423"/>
      <c r="H66" s="423"/>
      <c r="I66" s="610"/>
      <c r="J66" s="610"/>
      <c r="K66" s="610"/>
      <c r="L66" s="610"/>
      <c r="M66" s="610"/>
      <c r="N66" s="610"/>
      <c r="O66" s="610"/>
      <c r="P66" s="610"/>
      <c r="Q66" s="610"/>
      <c r="R66" s="610"/>
      <c r="S66" s="610"/>
      <c r="T66" s="610"/>
      <c r="U66" s="610"/>
      <c r="V66" s="610"/>
      <c r="W66" s="610"/>
      <c r="X66" s="610"/>
      <c r="Y66" s="610"/>
      <c r="Z66" s="610"/>
      <c r="AA66" s="610"/>
      <c r="AB66" s="610"/>
      <c r="AC66" s="610"/>
      <c r="AD66" s="610"/>
      <c r="AE66" s="610"/>
      <c r="AF66" s="422"/>
      <c r="AG66" s="453"/>
      <c r="AH66" s="453"/>
      <c r="AI66" s="453"/>
      <c r="AJ66" s="431"/>
      <c r="AK66" s="431"/>
      <c r="AL66" s="431"/>
      <c r="AM66" s="431"/>
      <c r="AN66" s="431"/>
      <c r="AO66" s="431"/>
      <c r="AP66" s="431"/>
      <c r="AQ66" s="423"/>
      <c r="AR66" s="423"/>
      <c r="AS66" s="435"/>
    </row>
    <row r="67" spans="1:49" ht="12" customHeight="1">
      <c r="A67" s="1"/>
      <c r="B67" s="1"/>
      <c r="C67" s="1065"/>
      <c r="D67" s="424"/>
      <c r="E67" s="422" t="s">
        <v>160</v>
      </c>
      <c r="F67" s="423"/>
      <c r="G67" s="423"/>
      <c r="H67" s="423"/>
      <c r="I67" s="1045"/>
      <c r="J67" s="1046"/>
      <c r="K67" s="1046"/>
      <c r="L67" s="1046"/>
      <c r="M67" s="1046"/>
      <c r="N67" s="1046"/>
      <c r="O67" s="1046"/>
      <c r="P67" s="1046"/>
      <c r="Q67" s="1046"/>
      <c r="R67" s="1046"/>
      <c r="S67" s="1046"/>
      <c r="T67" s="1046"/>
      <c r="U67" s="1046"/>
      <c r="V67" s="1047"/>
      <c r="W67" s="423"/>
      <c r="X67" s="423"/>
      <c r="Y67" s="423"/>
      <c r="Z67" s="433" t="s">
        <v>102</v>
      </c>
      <c r="AA67" s="1067"/>
      <c r="AB67" s="1068"/>
      <c r="AC67" s="1068"/>
      <c r="AD67" s="1069"/>
      <c r="AE67" s="427" t="s">
        <v>174</v>
      </c>
      <c r="AF67" s="422"/>
      <c r="AG67" s="422"/>
      <c r="AH67" s="422"/>
      <c r="AI67" s="422"/>
      <c r="AJ67" s="1140" t="s">
        <v>173</v>
      </c>
      <c r="AK67" s="1141"/>
      <c r="AL67" s="1141"/>
      <c r="AM67" s="1141"/>
      <c r="AN67" s="1141"/>
      <c r="AO67" s="1141"/>
      <c r="AP67" s="1142"/>
      <c r="AQ67" s="423"/>
      <c r="AR67" s="423"/>
      <c r="AS67" s="435"/>
      <c r="AU67" s="622"/>
    </row>
    <row r="68" spans="1:49" ht="3" customHeight="1">
      <c r="A68" s="1"/>
      <c r="B68" s="1"/>
      <c r="C68" s="1065"/>
      <c r="D68" s="424"/>
      <c r="E68" s="422"/>
      <c r="F68" s="423"/>
      <c r="G68" s="423"/>
      <c r="H68" s="423"/>
      <c r="I68" s="442"/>
      <c r="J68" s="442"/>
      <c r="K68" s="442"/>
      <c r="L68" s="442"/>
      <c r="M68" s="442"/>
      <c r="N68" s="442"/>
      <c r="O68" s="442"/>
      <c r="P68" s="442"/>
      <c r="Q68" s="442"/>
      <c r="R68" s="442"/>
      <c r="S68" s="442"/>
      <c r="T68" s="442"/>
      <c r="U68" s="422"/>
      <c r="V68" s="423"/>
      <c r="W68" s="423"/>
      <c r="X68" s="423"/>
      <c r="Y68" s="423"/>
      <c r="Z68" s="615"/>
      <c r="AA68" s="615"/>
      <c r="AB68" s="615"/>
      <c r="AC68" s="615"/>
      <c r="AD68" s="615"/>
      <c r="AE68" s="427"/>
      <c r="AF68" s="422"/>
      <c r="AG68" s="422"/>
      <c r="AH68" s="422"/>
      <c r="AI68" s="422"/>
      <c r="AJ68" s="615"/>
      <c r="AK68" s="615"/>
      <c r="AL68" s="615"/>
      <c r="AM68" s="615"/>
      <c r="AN68" s="615"/>
      <c r="AO68" s="615"/>
      <c r="AP68" s="610"/>
      <c r="AQ68" s="423"/>
      <c r="AR68" s="423"/>
      <c r="AS68" s="435"/>
    </row>
    <row r="69" spans="1:49" ht="16.149999999999999" customHeight="1">
      <c r="A69" s="1"/>
      <c r="B69" s="1"/>
      <c r="C69" s="1065"/>
      <c r="D69" s="424"/>
      <c r="E69" s="422"/>
      <c r="F69" s="423"/>
      <c r="G69" s="423"/>
      <c r="H69" s="423"/>
      <c r="I69" s="623"/>
      <c r="J69" s="610"/>
      <c r="K69" s="610"/>
      <c r="L69" s="610"/>
      <c r="M69" s="610"/>
      <c r="N69" s="610"/>
      <c r="O69" s="610"/>
      <c r="P69" s="610"/>
      <c r="Q69" s="610"/>
      <c r="R69" s="610"/>
      <c r="S69" s="610"/>
      <c r="T69" s="610"/>
      <c r="U69" s="422"/>
      <c r="V69" s="423"/>
      <c r="W69" s="423"/>
      <c r="X69" s="423"/>
      <c r="Y69" s="423"/>
      <c r="Z69" s="615"/>
      <c r="AA69" s="1143"/>
      <c r="AB69" s="1143"/>
      <c r="AC69" s="1143"/>
      <c r="AD69" s="1143"/>
      <c r="AE69" s="427"/>
      <c r="AF69" s="624"/>
      <c r="AG69" s="624"/>
      <c r="AH69" s="624"/>
      <c r="AI69" s="624"/>
      <c r="AJ69" s="624"/>
      <c r="AK69" s="624"/>
      <c r="AL69" s="624"/>
      <c r="AM69" s="624"/>
      <c r="AN69" s="624"/>
      <c r="AO69" s="624"/>
      <c r="AP69" s="624"/>
      <c r="AQ69" s="423"/>
      <c r="AR69" s="423"/>
      <c r="AS69" s="435"/>
      <c r="AU69" s="622"/>
    </row>
    <row r="70" spans="1:49" ht="13.15" customHeight="1">
      <c r="A70" s="1"/>
      <c r="B70" s="1"/>
      <c r="C70" s="1065"/>
      <c r="D70" s="454"/>
      <c r="E70" s="1131" t="s">
        <v>833</v>
      </c>
      <c r="F70" s="1132"/>
      <c r="G70" s="1132"/>
      <c r="H70" s="1132"/>
      <c r="I70" s="1132"/>
      <c r="J70" s="1132"/>
      <c r="K70" s="1132"/>
      <c r="L70" s="1132"/>
      <c r="M70" s="1132"/>
      <c r="N70" s="1132"/>
      <c r="O70" s="1132"/>
      <c r="P70" s="1132"/>
      <c r="Q70" s="1132"/>
      <c r="R70" s="1132"/>
      <c r="S70" s="1132"/>
      <c r="T70" s="1132"/>
      <c r="U70" s="1132"/>
      <c r="V70" s="1133"/>
      <c r="W70" s="423"/>
      <c r="X70" s="423"/>
      <c r="Y70" s="423"/>
      <c r="Z70" s="423"/>
      <c r="AA70" s="423"/>
      <c r="AB70" s="423"/>
      <c r="AC70" s="423"/>
      <c r="AD70" s="423"/>
      <c r="AE70" s="423"/>
      <c r="AF70" s="423"/>
      <c r="AG70" s="423"/>
      <c r="AH70" s="423"/>
      <c r="AI70" s="423"/>
      <c r="AJ70" s="423"/>
      <c r="AK70" s="423"/>
      <c r="AL70" s="423"/>
      <c r="AM70" s="423"/>
      <c r="AN70" s="423"/>
      <c r="AO70" s="423"/>
      <c r="AP70" s="423"/>
      <c r="AQ70" s="423"/>
      <c r="AR70" s="423"/>
      <c r="AS70" s="435"/>
      <c r="AU70" s="622"/>
    </row>
    <row r="71" spans="1:49" ht="40.5" customHeight="1">
      <c r="A71" s="1"/>
      <c r="B71" s="1"/>
      <c r="C71" s="1065"/>
      <c r="D71" s="424"/>
      <c r="E71" s="990"/>
      <c r="F71" s="991"/>
      <c r="G71" s="991"/>
      <c r="H71" s="991"/>
      <c r="I71" s="991"/>
      <c r="J71" s="991"/>
      <c r="K71" s="991"/>
      <c r="L71" s="991"/>
      <c r="M71" s="991"/>
      <c r="N71" s="991"/>
      <c r="O71" s="991"/>
      <c r="P71" s="991"/>
      <c r="Q71" s="991"/>
      <c r="R71" s="991"/>
      <c r="S71" s="991"/>
      <c r="T71" s="991"/>
      <c r="U71" s="991"/>
      <c r="V71" s="991"/>
      <c r="W71" s="991"/>
      <c r="X71" s="991"/>
      <c r="Y71" s="991"/>
      <c r="Z71" s="991"/>
      <c r="AA71" s="991"/>
      <c r="AB71" s="991"/>
      <c r="AC71" s="991"/>
      <c r="AD71" s="991"/>
      <c r="AE71" s="991"/>
      <c r="AF71" s="991"/>
      <c r="AG71" s="991"/>
      <c r="AH71" s="991"/>
      <c r="AI71" s="991"/>
      <c r="AJ71" s="991"/>
      <c r="AK71" s="991"/>
      <c r="AL71" s="991"/>
      <c r="AM71" s="991"/>
      <c r="AN71" s="991"/>
      <c r="AO71" s="991"/>
      <c r="AP71" s="991"/>
      <c r="AQ71" s="991"/>
      <c r="AR71" s="992"/>
      <c r="AS71" s="435"/>
      <c r="AU71" s="622"/>
    </row>
    <row r="72" spans="1:49" ht="6" customHeight="1" thickBot="1">
      <c r="A72" s="1"/>
      <c r="B72" s="1"/>
      <c r="C72" s="1066"/>
      <c r="D72" s="625"/>
      <c r="E72" s="1076"/>
      <c r="F72" s="1076"/>
      <c r="G72" s="1076"/>
      <c r="H72" s="1076"/>
      <c r="I72" s="1076"/>
      <c r="J72" s="1076"/>
      <c r="K72" s="1076"/>
      <c r="L72" s="1076"/>
      <c r="M72" s="1076"/>
      <c r="N72" s="1076"/>
      <c r="O72" s="1076"/>
      <c r="P72" s="1076"/>
      <c r="Q72" s="1076"/>
      <c r="R72" s="1076"/>
      <c r="S72" s="1076"/>
      <c r="T72" s="1076"/>
      <c r="U72" s="1076"/>
      <c r="V72" s="1076"/>
      <c r="W72" s="1076"/>
      <c r="X72" s="1076"/>
      <c r="Y72" s="1076"/>
      <c r="Z72" s="1076"/>
      <c r="AA72" s="1076"/>
      <c r="AB72" s="1076"/>
      <c r="AC72" s="1076"/>
      <c r="AD72" s="1076"/>
      <c r="AE72" s="1076"/>
      <c r="AF72" s="1076"/>
      <c r="AG72" s="1076"/>
      <c r="AH72" s="1076"/>
      <c r="AI72" s="1076"/>
      <c r="AJ72" s="1076"/>
      <c r="AK72" s="1076"/>
      <c r="AL72" s="1076"/>
      <c r="AM72" s="1076"/>
      <c r="AN72" s="1076"/>
      <c r="AO72" s="1076"/>
      <c r="AP72" s="1076"/>
      <c r="AQ72" s="1076"/>
      <c r="AR72" s="1076"/>
      <c r="AS72" s="626"/>
    </row>
    <row r="73" spans="1:49" ht="18" customHeight="1">
      <c r="A73" s="1"/>
      <c r="B73" s="1"/>
      <c r="C73" s="878" t="s">
        <v>5606</v>
      </c>
      <c r="D73" s="423"/>
      <c r="E73" s="1128" t="s">
        <v>885</v>
      </c>
      <c r="F73" s="1129"/>
      <c r="G73" s="1129"/>
      <c r="H73" s="1129"/>
      <c r="I73" s="1129"/>
      <c r="J73" s="1129"/>
      <c r="K73" s="1129"/>
      <c r="L73" s="1129"/>
      <c r="M73" s="1129"/>
      <c r="N73" s="1129"/>
      <c r="O73" s="1129"/>
      <c r="P73" s="1129"/>
      <c r="Q73" s="1129"/>
      <c r="R73" s="1129"/>
      <c r="S73" s="1129"/>
      <c r="T73" s="1129"/>
      <c r="U73" s="1129"/>
      <c r="V73" s="1129"/>
      <c r="W73" s="1129"/>
      <c r="X73" s="1129"/>
      <c r="Y73" s="1129"/>
      <c r="Z73" s="1129"/>
      <c r="AA73" s="1129"/>
      <c r="AB73" s="1129"/>
      <c r="AC73" s="1129"/>
      <c r="AD73" s="1129"/>
      <c r="AE73" s="1129"/>
      <c r="AF73" s="1129"/>
      <c r="AG73" s="1129"/>
      <c r="AH73" s="1129"/>
      <c r="AI73" s="1129"/>
      <c r="AJ73" s="1129"/>
      <c r="AK73" s="1129"/>
      <c r="AL73" s="1129"/>
      <c r="AM73" s="1129"/>
      <c r="AN73" s="1129"/>
      <c r="AO73" s="1129"/>
      <c r="AP73" s="1129"/>
      <c r="AQ73" s="1129"/>
      <c r="AR73" s="1129"/>
      <c r="AS73" s="474"/>
    </row>
    <row r="74" spans="1:49" ht="14.15" customHeight="1">
      <c r="A74" s="1"/>
      <c r="B74" s="1"/>
      <c r="C74" s="879"/>
      <c r="D74" s="423"/>
      <c r="E74" s="1026" t="s">
        <v>879</v>
      </c>
      <c r="F74" s="1027"/>
      <c r="G74" s="1027"/>
      <c r="H74" s="1027"/>
      <c r="I74" s="1027"/>
      <c r="J74" s="1027"/>
      <c r="K74" s="1027"/>
      <c r="L74" s="1027"/>
      <c r="M74" s="1027"/>
      <c r="N74" s="1027"/>
      <c r="O74" s="1027"/>
      <c r="P74" s="1027"/>
      <c r="Q74" s="1027"/>
      <c r="R74" s="1027"/>
      <c r="S74" s="1027"/>
      <c r="T74" s="1027"/>
      <c r="U74" s="1027"/>
      <c r="V74" s="1083"/>
      <c r="W74" s="1134" t="s">
        <v>882</v>
      </c>
      <c r="X74" s="1134"/>
      <c r="Y74" s="1134"/>
      <c r="Z74" s="1134"/>
      <c r="AA74" s="1134"/>
      <c r="AB74" s="1058" t="s">
        <v>104</v>
      </c>
      <c r="AC74" s="1059"/>
      <c r="AD74" s="1059"/>
      <c r="AE74" s="1060"/>
      <c r="AF74" s="1001"/>
      <c r="AG74" s="1002"/>
      <c r="AH74" s="1002"/>
      <c r="AI74" s="1002"/>
      <c r="AJ74" s="1002"/>
      <c r="AK74" s="1135" t="s">
        <v>105</v>
      </c>
      <c r="AL74" s="1136"/>
      <c r="AM74" s="1136"/>
      <c r="AN74" s="1137"/>
      <c r="AO74" s="1001"/>
      <c r="AP74" s="1002"/>
      <c r="AQ74" s="1002"/>
      <c r="AR74" s="1138"/>
      <c r="AS74" s="474"/>
      <c r="AW74" s="622"/>
    </row>
    <row r="75" spans="1:49" ht="12.75" customHeight="1">
      <c r="A75" s="1"/>
      <c r="B75" s="1"/>
      <c r="C75" s="879"/>
      <c r="D75" s="627" t="s">
        <v>680</v>
      </c>
      <c r="E75" s="1131" t="s">
        <v>246</v>
      </c>
      <c r="F75" s="1132"/>
      <c r="G75" s="1132"/>
      <c r="H75" s="1132"/>
      <c r="I75" s="1132"/>
      <c r="J75" s="1133"/>
      <c r="K75" s="998" t="s">
        <v>106</v>
      </c>
      <c r="L75" s="999"/>
      <c r="M75" s="999"/>
      <c r="N75" s="1000"/>
      <c r="O75" s="918" t="s">
        <v>238</v>
      </c>
      <c r="P75" s="919"/>
      <c r="Q75" s="919"/>
      <c r="R75" s="920"/>
      <c r="S75" s="918" t="s">
        <v>239</v>
      </c>
      <c r="T75" s="919"/>
      <c r="U75" s="919"/>
      <c r="V75" s="920"/>
      <c r="W75" s="918" t="s">
        <v>770</v>
      </c>
      <c r="X75" s="919"/>
      <c r="Y75" s="919"/>
      <c r="Z75" s="919"/>
      <c r="AA75" s="920"/>
      <c r="AB75" s="1073" t="s">
        <v>843</v>
      </c>
      <c r="AC75" s="1074"/>
      <c r="AD75" s="1074"/>
      <c r="AE75" s="1075"/>
      <c r="AF75" s="1073" t="s">
        <v>844</v>
      </c>
      <c r="AG75" s="1074"/>
      <c r="AH75" s="1074"/>
      <c r="AI75" s="1074"/>
      <c r="AJ75" s="1075"/>
      <c r="AK75" s="1073" t="s">
        <v>243</v>
      </c>
      <c r="AL75" s="1074"/>
      <c r="AM75" s="1074"/>
      <c r="AN75" s="1075"/>
      <c r="AO75" s="1073" t="s">
        <v>907</v>
      </c>
      <c r="AP75" s="1074"/>
      <c r="AQ75" s="1074"/>
      <c r="AR75" s="1075"/>
      <c r="AS75" s="474"/>
    </row>
    <row r="76" spans="1:49" ht="12.75" customHeight="1">
      <c r="A76" s="1"/>
      <c r="B76" s="1"/>
      <c r="C76" s="879"/>
      <c r="D76" s="423">
        <f t="shared" ref="D76:D81" ca="1" si="0">INDEX(OFFSET(Énergie,,-1,,),MATCH(E76,Énergie,0))</f>
        <v>1</v>
      </c>
      <c r="E76" s="912" t="s">
        <v>279</v>
      </c>
      <c r="F76" s="913"/>
      <c r="G76" s="913"/>
      <c r="H76" s="913"/>
      <c r="I76" s="913"/>
      <c r="J76" s="914"/>
      <c r="K76" s="906" t="str">
        <f t="shared" ref="K76:K81" ca="1" si="1">IF(E76="","",INDEX(OFFSET(Énergie,,1),MATCH(E76,Énergie,0)))</f>
        <v>kWh</v>
      </c>
      <c r="L76" s="907"/>
      <c r="M76" s="907"/>
      <c r="N76" s="908"/>
      <c r="O76" s="1051"/>
      <c r="P76" s="1052"/>
      <c r="Q76" s="1052"/>
      <c r="R76" s="1052"/>
      <c r="S76" s="1005"/>
      <c r="T76" s="1006"/>
      <c r="U76" s="1006"/>
      <c r="V76" s="1007"/>
      <c r="W76" s="1070"/>
      <c r="X76" s="1071"/>
      <c r="Y76" s="1071"/>
      <c r="Z76" s="1071"/>
      <c r="AA76" s="1072"/>
      <c r="AB76" s="985">
        <f t="shared" ref="AB76:AB81" ca="1" si="2">IF(E76="",0,INDEX(OFFSET(Énergie,,2),MATCH(E76,Énergie,0)))*S76/1000</f>
        <v>0</v>
      </c>
      <c r="AC76" s="985"/>
      <c r="AD76" s="985"/>
      <c r="AE76" s="986"/>
      <c r="AF76" s="984">
        <f t="shared" ref="AF76:AF81" ca="1" si="3">IF(E76="",0,INDEX(OFFSET(Énergie,,3),MATCH(E76,Énergie,0)))*S76/1000000</f>
        <v>0</v>
      </c>
      <c r="AG76" s="985"/>
      <c r="AH76" s="985"/>
      <c r="AI76" s="985"/>
      <c r="AJ76" s="986"/>
      <c r="AK76" s="978">
        <f t="shared" ref="AK76:AK82" ca="1" si="4">IF(AB76=0,0,W76/AB76)</f>
        <v>0</v>
      </c>
      <c r="AL76" s="979"/>
      <c r="AM76" s="979"/>
      <c r="AN76" s="980"/>
      <c r="AO76" s="981">
        <f>IF(OR(Data!B$58=TRUE,O76=0),0,AB76/O76)</f>
        <v>0</v>
      </c>
      <c r="AP76" s="982"/>
      <c r="AQ76" s="982"/>
      <c r="AR76" s="983"/>
      <c r="AS76" s="474"/>
    </row>
    <row r="77" spans="1:49" ht="12.75" customHeight="1">
      <c r="A77" s="1"/>
      <c r="B77" s="1"/>
      <c r="C77" s="879"/>
      <c r="D77" s="423">
        <f t="shared" ca="1" si="0"/>
        <v>2</v>
      </c>
      <c r="E77" s="995" t="s">
        <v>108</v>
      </c>
      <c r="F77" s="996"/>
      <c r="G77" s="996"/>
      <c r="H77" s="996"/>
      <c r="I77" s="996"/>
      <c r="J77" s="997"/>
      <c r="K77" s="906" t="str">
        <f t="shared" ca="1" si="1"/>
        <v>m³</v>
      </c>
      <c r="L77" s="907"/>
      <c r="M77" s="907"/>
      <c r="N77" s="908"/>
      <c r="O77" s="993"/>
      <c r="P77" s="994"/>
      <c r="Q77" s="994"/>
      <c r="R77" s="994"/>
      <c r="S77" s="987"/>
      <c r="T77" s="988"/>
      <c r="U77" s="988"/>
      <c r="V77" s="989"/>
      <c r="W77" s="897"/>
      <c r="X77" s="898"/>
      <c r="Y77" s="898"/>
      <c r="Z77" s="898"/>
      <c r="AA77" s="899"/>
      <c r="AB77" s="985">
        <f t="shared" ca="1" si="2"/>
        <v>0</v>
      </c>
      <c r="AC77" s="985"/>
      <c r="AD77" s="985"/>
      <c r="AE77" s="986"/>
      <c r="AF77" s="984">
        <f t="shared" ca="1" si="3"/>
        <v>0</v>
      </c>
      <c r="AG77" s="985"/>
      <c r="AH77" s="985"/>
      <c r="AI77" s="985"/>
      <c r="AJ77" s="986"/>
      <c r="AK77" s="978">
        <f t="shared" ca="1" si="4"/>
        <v>0</v>
      </c>
      <c r="AL77" s="979"/>
      <c r="AM77" s="979"/>
      <c r="AN77" s="980"/>
      <c r="AO77" s="981">
        <f>IF(OR(Data!B$58=TRUE,O77=0),0,AB77/O77)</f>
        <v>0</v>
      </c>
      <c r="AP77" s="982"/>
      <c r="AQ77" s="982"/>
      <c r="AR77" s="983"/>
      <c r="AS77" s="474"/>
    </row>
    <row r="78" spans="1:49" ht="12.75" customHeight="1">
      <c r="A78" s="1"/>
      <c r="B78" s="1"/>
      <c r="C78" s="879"/>
      <c r="D78" s="423" t="e">
        <f t="shared" ca="1" si="0"/>
        <v>#N/A</v>
      </c>
      <c r="E78" s="995"/>
      <c r="F78" s="996"/>
      <c r="G78" s="996"/>
      <c r="H78" s="996"/>
      <c r="I78" s="996"/>
      <c r="J78" s="997"/>
      <c r="K78" s="906" t="str">
        <f t="shared" ca="1" si="1"/>
        <v/>
      </c>
      <c r="L78" s="907"/>
      <c r="M78" s="907"/>
      <c r="N78" s="908"/>
      <c r="O78" s="993"/>
      <c r="P78" s="994"/>
      <c r="Q78" s="994"/>
      <c r="R78" s="994"/>
      <c r="S78" s="987"/>
      <c r="T78" s="988"/>
      <c r="U78" s="988"/>
      <c r="V78" s="989"/>
      <c r="W78" s="897"/>
      <c r="X78" s="898"/>
      <c r="Y78" s="898"/>
      <c r="Z78" s="898"/>
      <c r="AA78" s="899"/>
      <c r="AB78" s="985">
        <f t="shared" ca="1" si="2"/>
        <v>0</v>
      </c>
      <c r="AC78" s="985"/>
      <c r="AD78" s="985"/>
      <c r="AE78" s="986"/>
      <c r="AF78" s="984">
        <f t="shared" ca="1" si="3"/>
        <v>0</v>
      </c>
      <c r="AG78" s="985"/>
      <c r="AH78" s="985"/>
      <c r="AI78" s="985"/>
      <c r="AJ78" s="986"/>
      <c r="AK78" s="978">
        <f t="shared" ca="1" si="4"/>
        <v>0</v>
      </c>
      <c r="AL78" s="979"/>
      <c r="AM78" s="979"/>
      <c r="AN78" s="980"/>
      <c r="AO78" s="981">
        <f>IF(OR(Data!B$58=TRUE,O78=0),0,AB78/O78)</f>
        <v>0</v>
      </c>
      <c r="AP78" s="982"/>
      <c r="AQ78" s="982"/>
      <c r="AR78" s="983"/>
      <c r="AS78" s="474"/>
    </row>
    <row r="79" spans="1:49" ht="12.75" customHeight="1">
      <c r="A79" s="1"/>
      <c r="B79" s="1"/>
      <c r="C79" s="879"/>
      <c r="D79" s="423" t="e">
        <f t="shared" ca="1" si="0"/>
        <v>#N/A</v>
      </c>
      <c r="E79" s="995"/>
      <c r="F79" s="996"/>
      <c r="G79" s="996"/>
      <c r="H79" s="996"/>
      <c r="I79" s="996"/>
      <c r="J79" s="997"/>
      <c r="K79" s="906" t="str">
        <f t="shared" ca="1" si="1"/>
        <v/>
      </c>
      <c r="L79" s="907"/>
      <c r="M79" s="907"/>
      <c r="N79" s="908"/>
      <c r="O79" s="993"/>
      <c r="P79" s="994"/>
      <c r="Q79" s="994"/>
      <c r="R79" s="994"/>
      <c r="S79" s="987"/>
      <c r="T79" s="988"/>
      <c r="U79" s="988"/>
      <c r="V79" s="989"/>
      <c r="W79" s="897"/>
      <c r="X79" s="898"/>
      <c r="Y79" s="898"/>
      <c r="Z79" s="898"/>
      <c r="AA79" s="899"/>
      <c r="AB79" s="985">
        <f t="shared" ca="1" si="2"/>
        <v>0</v>
      </c>
      <c r="AC79" s="985"/>
      <c r="AD79" s="985"/>
      <c r="AE79" s="986"/>
      <c r="AF79" s="984">
        <f t="shared" ca="1" si="3"/>
        <v>0</v>
      </c>
      <c r="AG79" s="985"/>
      <c r="AH79" s="985"/>
      <c r="AI79" s="985"/>
      <c r="AJ79" s="986"/>
      <c r="AK79" s="978">
        <f t="shared" ca="1" si="4"/>
        <v>0</v>
      </c>
      <c r="AL79" s="979"/>
      <c r="AM79" s="979"/>
      <c r="AN79" s="980"/>
      <c r="AO79" s="981">
        <f>IF(OR(Data!B$58=TRUE,O79=0),0,AB79/O79)</f>
        <v>0</v>
      </c>
      <c r="AP79" s="982"/>
      <c r="AQ79" s="982"/>
      <c r="AR79" s="983"/>
      <c r="AS79" s="474"/>
    </row>
    <row r="80" spans="1:49" ht="12.75" customHeight="1">
      <c r="A80" s="1"/>
      <c r="B80" s="1"/>
      <c r="C80" s="879"/>
      <c r="D80" s="423" t="e">
        <f t="shared" ca="1" si="0"/>
        <v>#N/A</v>
      </c>
      <c r="E80" s="995"/>
      <c r="F80" s="996"/>
      <c r="G80" s="996"/>
      <c r="H80" s="996"/>
      <c r="I80" s="996"/>
      <c r="J80" s="997"/>
      <c r="K80" s="906" t="str">
        <f t="shared" ca="1" si="1"/>
        <v/>
      </c>
      <c r="L80" s="907"/>
      <c r="M80" s="907"/>
      <c r="N80" s="908"/>
      <c r="O80" s="993"/>
      <c r="P80" s="994"/>
      <c r="Q80" s="994"/>
      <c r="R80" s="994"/>
      <c r="S80" s="987"/>
      <c r="T80" s="988"/>
      <c r="U80" s="988"/>
      <c r="V80" s="989"/>
      <c r="W80" s="897"/>
      <c r="X80" s="898"/>
      <c r="Y80" s="898"/>
      <c r="Z80" s="898"/>
      <c r="AA80" s="899"/>
      <c r="AB80" s="985">
        <f t="shared" ca="1" si="2"/>
        <v>0</v>
      </c>
      <c r="AC80" s="985"/>
      <c r="AD80" s="985"/>
      <c r="AE80" s="986"/>
      <c r="AF80" s="984">
        <f t="shared" ca="1" si="3"/>
        <v>0</v>
      </c>
      <c r="AG80" s="985"/>
      <c r="AH80" s="985"/>
      <c r="AI80" s="985"/>
      <c r="AJ80" s="986"/>
      <c r="AK80" s="978">
        <f t="shared" ca="1" si="4"/>
        <v>0</v>
      </c>
      <c r="AL80" s="979"/>
      <c r="AM80" s="979"/>
      <c r="AN80" s="980"/>
      <c r="AO80" s="981">
        <f>IF(OR(Data!B$58=TRUE,O80=0),0,AB80/O80)</f>
        <v>0</v>
      </c>
      <c r="AP80" s="982"/>
      <c r="AQ80" s="982"/>
      <c r="AR80" s="983"/>
      <c r="AS80" s="474"/>
    </row>
    <row r="81" spans="1:45" ht="12.75" customHeight="1">
      <c r="A81" s="1"/>
      <c r="B81" s="1"/>
      <c r="C81" s="879"/>
      <c r="D81" s="423" t="e">
        <f t="shared" ca="1" si="0"/>
        <v>#N/A</v>
      </c>
      <c r="E81" s="956"/>
      <c r="F81" s="957"/>
      <c r="G81" s="957"/>
      <c r="H81" s="957"/>
      <c r="I81" s="957"/>
      <c r="J81" s="958"/>
      <c r="K81" s="906" t="str">
        <f t="shared" ca="1" si="1"/>
        <v/>
      </c>
      <c r="L81" s="907"/>
      <c r="M81" s="907"/>
      <c r="N81" s="908"/>
      <c r="O81" s="1239"/>
      <c r="P81" s="1240"/>
      <c r="Q81" s="1240"/>
      <c r="R81" s="1240"/>
      <c r="S81" s="1236"/>
      <c r="T81" s="1237"/>
      <c r="U81" s="1237"/>
      <c r="V81" s="1238"/>
      <c r="W81" s="1109"/>
      <c r="X81" s="1110"/>
      <c r="Y81" s="1110"/>
      <c r="Z81" s="1110"/>
      <c r="AA81" s="1111"/>
      <c r="AB81" s="985">
        <f t="shared" ca="1" si="2"/>
        <v>0</v>
      </c>
      <c r="AC81" s="985"/>
      <c r="AD81" s="985"/>
      <c r="AE81" s="986"/>
      <c r="AF81" s="984">
        <f t="shared" ca="1" si="3"/>
        <v>0</v>
      </c>
      <c r="AG81" s="985"/>
      <c r="AH81" s="985"/>
      <c r="AI81" s="985"/>
      <c r="AJ81" s="986"/>
      <c r="AK81" s="978">
        <f t="shared" ca="1" si="4"/>
        <v>0</v>
      </c>
      <c r="AL81" s="979"/>
      <c r="AM81" s="979"/>
      <c r="AN81" s="980"/>
      <c r="AO81" s="981">
        <f>IF(OR(Data!B$58=TRUE,O81=0),0,AB81/O81)</f>
        <v>0</v>
      </c>
      <c r="AP81" s="982"/>
      <c r="AQ81" s="982"/>
      <c r="AR81" s="983"/>
      <c r="AS81" s="474"/>
    </row>
    <row r="82" spans="1:45" ht="12.75" customHeight="1">
      <c r="A82" s="1"/>
      <c r="B82" s="1"/>
      <c r="C82" s="879"/>
      <c r="D82" s="473"/>
      <c r="E82" s="1210" t="s">
        <v>113</v>
      </c>
      <c r="F82" s="1211"/>
      <c r="G82" s="1211"/>
      <c r="H82" s="1211"/>
      <c r="I82" s="1211"/>
      <c r="J82" s="1211"/>
      <c r="K82" s="1212"/>
      <c r="L82" s="1212"/>
      <c r="M82" s="1212"/>
      <c r="N82" s="1213"/>
      <c r="O82" s="1214"/>
      <c r="P82" s="1215"/>
      <c r="Q82" s="1215"/>
      <c r="R82" s="1216"/>
      <c r="S82" s="1310"/>
      <c r="T82" s="1311"/>
      <c r="U82" s="1311"/>
      <c r="V82" s="1312"/>
      <c r="W82" s="1204">
        <f>SUM(W76:AA81)</f>
        <v>0</v>
      </c>
      <c r="X82" s="1205"/>
      <c r="Y82" s="1205"/>
      <c r="Z82" s="1205"/>
      <c r="AA82" s="1206"/>
      <c r="AB82" s="984">
        <f ca="1">SUM(AB76:AE81)</f>
        <v>0</v>
      </c>
      <c r="AC82" s="985"/>
      <c r="AD82" s="985"/>
      <c r="AE82" s="986"/>
      <c r="AF82" s="984">
        <f ca="1">SUM(AF76:AJ81)</f>
        <v>0</v>
      </c>
      <c r="AG82" s="985"/>
      <c r="AH82" s="985"/>
      <c r="AI82" s="985"/>
      <c r="AJ82" s="986"/>
      <c r="AK82" s="978">
        <f t="shared" ca="1" si="4"/>
        <v>0</v>
      </c>
      <c r="AL82" s="979"/>
      <c r="AM82" s="979"/>
      <c r="AN82" s="980"/>
      <c r="AO82" s="1242"/>
      <c r="AP82" s="1242"/>
      <c r="AQ82" s="1242"/>
      <c r="AR82" s="1243"/>
      <c r="AS82" s="474"/>
    </row>
    <row r="83" spans="1:45" ht="15.75" customHeight="1" thickBot="1">
      <c r="A83" s="1"/>
      <c r="B83" s="1"/>
      <c r="C83" s="880"/>
      <c r="D83" s="439"/>
      <c r="E83" s="946" t="s">
        <v>49</v>
      </c>
      <c r="F83" s="947"/>
      <c r="G83" s="947"/>
      <c r="H83" s="947"/>
      <c r="I83" s="947"/>
      <c r="J83" s="948"/>
      <c r="K83" s="949"/>
      <c r="L83" s="950"/>
      <c r="M83" s="950"/>
      <c r="N83" s="951"/>
      <c r="O83" s="946" t="s">
        <v>50</v>
      </c>
      <c r="P83" s="947"/>
      <c r="Q83" s="947"/>
      <c r="R83" s="947"/>
      <c r="S83" s="947"/>
      <c r="T83" s="947"/>
      <c r="U83" s="947"/>
      <c r="V83" s="948"/>
      <c r="W83" s="949"/>
      <c r="X83" s="950"/>
      <c r="Y83" s="950"/>
      <c r="Z83" s="950"/>
      <c r="AA83" s="951"/>
      <c r="AB83" s="946" t="s">
        <v>106</v>
      </c>
      <c r="AC83" s="948"/>
      <c r="AD83" s="962" t="s">
        <v>842</v>
      </c>
      <c r="AE83" s="962"/>
      <c r="AF83" s="946" t="s">
        <v>238</v>
      </c>
      <c r="AG83" s="947"/>
      <c r="AH83" s="947"/>
      <c r="AI83" s="947"/>
      <c r="AJ83" s="948"/>
      <c r="AK83" s="946"/>
      <c r="AL83" s="947"/>
      <c r="AM83" s="947"/>
      <c r="AN83" s="948"/>
      <c r="AO83" s="946" t="s">
        <v>106</v>
      </c>
      <c r="AP83" s="948"/>
      <c r="AQ83" s="1292"/>
      <c r="AR83" s="1293"/>
      <c r="AS83" s="474"/>
    </row>
    <row r="84" spans="1:45" ht="2.25" hidden="1" customHeight="1">
      <c r="A84" s="1"/>
      <c r="B84" s="1"/>
      <c r="C84" s="911" t="s">
        <v>30</v>
      </c>
      <c r="D84" s="628"/>
      <c r="E84" s="1309"/>
      <c r="F84" s="1309"/>
      <c r="G84" s="1309"/>
      <c r="H84" s="1309"/>
      <c r="I84" s="1309"/>
      <c r="J84" s="1309"/>
      <c r="K84" s="1309"/>
      <c r="L84" s="1309"/>
      <c r="M84" s="1309"/>
      <c r="N84" s="1309"/>
      <c r="O84" s="1309"/>
      <c r="P84" s="1309"/>
      <c r="Q84" s="1309"/>
      <c r="R84" s="1309"/>
      <c r="S84" s="1309"/>
      <c r="T84" s="1309"/>
      <c r="U84" s="1309"/>
      <c r="V84" s="1309"/>
      <c r="W84" s="1309"/>
      <c r="X84" s="1309"/>
      <c r="Y84" s="1309"/>
      <c r="Z84" s="1309"/>
      <c r="AA84" s="1309"/>
      <c r="AB84" s="1309"/>
      <c r="AC84" s="1309"/>
      <c r="AD84" s="1309"/>
      <c r="AE84" s="1309"/>
      <c r="AF84" s="1309"/>
      <c r="AG84" s="1309"/>
      <c r="AH84" s="1309"/>
      <c r="AI84" s="1309"/>
      <c r="AJ84" s="1309"/>
      <c r="AK84" s="1309"/>
      <c r="AL84" s="1309"/>
      <c r="AM84" s="1309"/>
      <c r="AN84" s="1309"/>
      <c r="AO84" s="1309"/>
      <c r="AP84" s="1309"/>
      <c r="AQ84" s="1309"/>
      <c r="AR84" s="1309"/>
      <c r="AS84" s="629"/>
    </row>
    <row r="85" spans="1:45" ht="12.75" hidden="1" customHeight="1">
      <c r="A85" s="1"/>
      <c r="B85" s="1"/>
      <c r="C85" s="911"/>
      <c r="D85" s="3"/>
      <c r="E85" s="630" t="s">
        <v>832</v>
      </c>
      <c r="F85" s="631"/>
      <c r="G85" s="631"/>
      <c r="H85" s="632"/>
      <c r="I85" s="632"/>
      <c r="J85" s="632"/>
      <c r="K85" s="632"/>
      <c r="L85" s="632"/>
      <c r="M85" s="632"/>
      <c r="N85" s="633"/>
      <c r="O85" s="633"/>
      <c r="P85" s="633"/>
      <c r="Q85" s="633"/>
      <c r="R85" s="633"/>
      <c r="S85" s="633"/>
      <c r="T85" s="633"/>
      <c r="U85" s="633"/>
      <c r="V85" s="633"/>
      <c r="W85" s="892" t="s">
        <v>635</v>
      </c>
      <c r="X85" s="892"/>
      <c r="Y85" s="892"/>
      <c r="Z85" s="892"/>
      <c r="AA85" s="892"/>
      <c r="AB85" s="1294">
        <f>IF(Data!$G$61=TRUE,Data!H61,Data!H59)</f>
        <v>0.15</v>
      </c>
      <c r="AC85" s="1295"/>
      <c r="AD85" s="1296"/>
      <c r="AE85" s="634"/>
      <c r="AK85" s="531"/>
      <c r="AL85" s="531"/>
      <c r="AM85" s="531"/>
      <c r="AN85" s="531"/>
      <c r="AO85" s="531"/>
      <c r="AP85" s="531"/>
      <c r="AQ85" s="531"/>
      <c r="AR85" s="531"/>
      <c r="AS85" s="38"/>
    </row>
    <row r="86" spans="1:45" ht="12.75" hidden="1" customHeight="1">
      <c r="A86" s="1"/>
      <c r="B86" s="1"/>
      <c r="C86" s="911"/>
      <c r="D86" s="3"/>
      <c r="E86" s="967"/>
      <c r="F86" s="967"/>
      <c r="G86" s="967"/>
      <c r="H86" s="892" t="s">
        <v>93</v>
      </c>
      <c r="I86" s="892"/>
      <c r="J86" s="892"/>
      <c r="K86" s="892"/>
      <c r="L86" s="892"/>
      <c r="M86" s="892"/>
      <c r="N86" s="892"/>
      <c r="O86" s="892"/>
      <c r="P86" s="892"/>
      <c r="Q86" s="892"/>
      <c r="R86" s="892"/>
      <c r="S86" s="892"/>
      <c r="T86" s="892"/>
      <c r="U86" s="892"/>
      <c r="V86" s="892"/>
      <c r="W86" s="892"/>
      <c r="X86" s="892"/>
      <c r="Y86" s="892"/>
      <c r="Z86" s="892"/>
      <c r="AA86" s="909" t="s">
        <v>94</v>
      </c>
      <c r="AB86" s="909"/>
      <c r="AC86" s="909"/>
      <c r="AD86" s="909"/>
      <c r="AE86" s="909"/>
      <c r="AF86" s="909"/>
      <c r="AG86" s="909"/>
      <c r="AH86" s="909"/>
      <c r="AI86" s="909"/>
      <c r="AJ86" s="909"/>
      <c r="AK86" s="909"/>
      <c r="AL86" s="909"/>
      <c r="AM86" s="909"/>
      <c r="AN86" s="909"/>
      <c r="AO86" s="909"/>
      <c r="AP86" s="909"/>
      <c r="AQ86" s="909"/>
      <c r="AR86" s="909"/>
      <c r="AS86" s="38"/>
    </row>
    <row r="87" spans="1:45" ht="12.75" hidden="1" customHeight="1">
      <c r="A87" s="1"/>
      <c r="B87" s="1"/>
      <c r="C87" s="911"/>
      <c r="D87" s="2" t="s">
        <v>680</v>
      </c>
      <c r="E87" s="635" t="s">
        <v>163</v>
      </c>
      <c r="F87" s="1317" t="s">
        <v>61</v>
      </c>
      <c r="G87" s="1317"/>
      <c r="H87" s="968" t="s">
        <v>914</v>
      </c>
      <c r="I87" s="969"/>
      <c r="J87" s="970"/>
      <c r="K87" s="1297" t="s">
        <v>631</v>
      </c>
      <c r="L87" s="1298"/>
      <c r="M87" s="1298"/>
      <c r="N87" s="1298"/>
      <c r="O87" s="1298"/>
      <c r="P87" s="1299"/>
      <c r="Q87" s="1279" t="s">
        <v>253</v>
      </c>
      <c r="R87" s="1279"/>
      <c r="S87" s="968" t="s">
        <v>133</v>
      </c>
      <c r="T87" s="969"/>
      <c r="U87" s="970"/>
      <c r="V87" s="1279" t="s">
        <v>106</v>
      </c>
      <c r="W87" s="1279"/>
      <c r="X87" s="1279"/>
      <c r="Y87" s="1279" t="s">
        <v>242</v>
      </c>
      <c r="Z87" s="1279"/>
      <c r="AA87" s="968" t="s">
        <v>914</v>
      </c>
      <c r="AB87" s="969"/>
      <c r="AC87" s="970"/>
      <c r="AD87" s="1297" t="s">
        <v>631</v>
      </c>
      <c r="AE87" s="1298"/>
      <c r="AF87" s="1298"/>
      <c r="AG87" s="1298"/>
      <c r="AH87" s="1298"/>
      <c r="AI87" s="1299"/>
      <c r="AJ87" s="1279" t="s">
        <v>253</v>
      </c>
      <c r="AK87" s="1279"/>
      <c r="AL87" s="1279" t="s">
        <v>133</v>
      </c>
      <c r="AM87" s="1279"/>
      <c r="AN87" s="1279"/>
      <c r="AO87" s="1279" t="s">
        <v>106</v>
      </c>
      <c r="AP87" s="1279"/>
      <c r="AQ87" s="1279" t="s">
        <v>242</v>
      </c>
      <c r="AR87" s="1279"/>
      <c r="AS87" s="37"/>
    </row>
    <row r="88" spans="1:45" ht="12.75" hidden="1" customHeight="1">
      <c r="A88" s="1"/>
      <c r="B88" s="1"/>
      <c r="C88" s="911"/>
      <c r="D88" s="3" t="e">
        <f ca="1">INDEX(OFFSET(PRP,,-1,,),MATCH(K88,PRP,0))</f>
        <v>#N/A</v>
      </c>
      <c r="E88" s="522">
        <v>1</v>
      </c>
      <c r="F88" s="971"/>
      <c r="G88" s="971"/>
      <c r="H88" s="972"/>
      <c r="I88" s="973"/>
      <c r="J88" s="974"/>
      <c r="K88" s="964"/>
      <c r="L88" s="965"/>
      <c r="M88" s="965"/>
      <c r="N88" s="965"/>
      <c r="O88" s="965"/>
      <c r="P88" s="966"/>
      <c r="Q88" s="955" t="str">
        <f t="shared" ref="Q88:Q93" ca="1" si="5">IF(K88="","",INDEX(OFFSET(PRP,,3),MATCH(K88,PRP,0)))</f>
        <v/>
      </c>
      <c r="R88" s="955"/>
      <c r="S88" s="1244"/>
      <c r="T88" s="1245"/>
      <c r="U88" s="1246"/>
      <c r="V88" s="959" t="s">
        <v>173</v>
      </c>
      <c r="W88" s="960"/>
      <c r="X88" s="961"/>
      <c r="Y88" s="1018">
        <f t="shared" ref="Y88:Y93" ca="1" si="6">IF(V88="Choisir...",0,INDEX(OFFSET(Unite,,1,,),MATCH(V88,Unite,0))*S88*IF(Q88="",0,Q88)*AB$85/1000)</f>
        <v>0</v>
      </c>
      <c r="Z88" s="1018"/>
      <c r="AA88" s="963"/>
      <c r="AB88" s="963"/>
      <c r="AC88" s="963"/>
      <c r="AD88" s="964"/>
      <c r="AE88" s="965"/>
      <c r="AF88" s="965"/>
      <c r="AG88" s="965"/>
      <c r="AH88" s="965"/>
      <c r="AI88" s="966"/>
      <c r="AJ88" s="955" t="str">
        <f t="shared" ref="AJ88:AJ93" ca="1" si="7">IF(AD88="","",INDEX(OFFSET(PRP,,3),MATCH(AD88,PRP,0)))</f>
        <v/>
      </c>
      <c r="AK88" s="955"/>
      <c r="AL88" s="1241"/>
      <c r="AM88" s="1241"/>
      <c r="AN88" s="1241"/>
      <c r="AO88" s="1019" t="s">
        <v>173</v>
      </c>
      <c r="AP88" s="1019"/>
      <c r="AQ88" s="1018">
        <f t="shared" ref="AQ88:AQ93" ca="1" si="8">IF(AO88="",0,INDEX(OFFSET(Unite,,1,,),MATCH(AO88,Unite,0))*AL88*IF(AJ88="",0,AJ88)*AB$85/1000)</f>
        <v>0</v>
      </c>
      <c r="AR88" s="1018"/>
      <c r="AS88" s="37"/>
    </row>
    <row r="89" spans="1:45" ht="12.75" hidden="1" customHeight="1">
      <c r="A89" s="1"/>
      <c r="B89" s="1"/>
      <c r="C89" s="911"/>
      <c r="D89" s="3" t="e">
        <f ca="1">INDEX(OFFSET(PRP,,-1,,),MATCH(K89,PRP,0))</f>
        <v>#N/A</v>
      </c>
      <c r="E89" s="522">
        <v>2</v>
      </c>
      <c r="F89" s="971"/>
      <c r="G89" s="971"/>
      <c r="H89" s="972"/>
      <c r="I89" s="973"/>
      <c r="J89" s="974"/>
      <c r="K89" s="964"/>
      <c r="L89" s="965"/>
      <c r="M89" s="965"/>
      <c r="N89" s="965"/>
      <c r="O89" s="965"/>
      <c r="P89" s="966"/>
      <c r="Q89" s="955" t="str">
        <f t="shared" ca="1" si="5"/>
        <v/>
      </c>
      <c r="R89" s="955"/>
      <c r="S89" s="1244"/>
      <c r="T89" s="1245"/>
      <c r="U89" s="1246"/>
      <c r="V89" s="959" t="s">
        <v>173</v>
      </c>
      <c r="W89" s="960"/>
      <c r="X89" s="961"/>
      <c r="Y89" s="1018">
        <f t="shared" ca="1" si="6"/>
        <v>0</v>
      </c>
      <c r="Z89" s="1018"/>
      <c r="AA89" s="963"/>
      <c r="AB89" s="963"/>
      <c r="AC89" s="963"/>
      <c r="AD89" s="964"/>
      <c r="AE89" s="965"/>
      <c r="AF89" s="965"/>
      <c r="AG89" s="965"/>
      <c r="AH89" s="965"/>
      <c r="AI89" s="966"/>
      <c r="AJ89" s="955" t="str">
        <f t="shared" ca="1" si="7"/>
        <v/>
      </c>
      <c r="AK89" s="955"/>
      <c r="AL89" s="1241"/>
      <c r="AM89" s="1241"/>
      <c r="AN89" s="1241"/>
      <c r="AO89" s="1019" t="s">
        <v>173</v>
      </c>
      <c r="AP89" s="1019"/>
      <c r="AQ89" s="1018">
        <f t="shared" ca="1" si="8"/>
        <v>0</v>
      </c>
      <c r="AR89" s="1018"/>
      <c r="AS89" s="37"/>
    </row>
    <row r="90" spans="1:45" ht="12.75" hidden="1" customHeight="1">
      <c r="A90" s="1"/>
      <c r="B90" s="1"/>
      <c r="C90" s="911"/>
      <c r="D90" s="3" t="e">
        <f ca="1">INDEX(OFFSET(PRP,,-1,,),MATCH(K90,PRP,0))</f>
        <v>#N/A</v>
      </c>
      <c r="E90" s="522">
        <v>3</v>
      </c>
      <c r="F90" s="971"/>
      <c r="G90" s="971"/>
      <c r="H90" s="972"/>
      <c r="I90" s="973"/>
      <c r="J90" s="974"/>
      <c r="K90" s="964"/>
      <c r="L90" s="965"/>
      <c r="M90" s="965"/>
      <c r="N90" s="965"/>
      <c r="O90" s="965"/>
      <c r="P90" s="966"/>
      <c r="Q90" s="955" t="str">
        <f t="shared" ca="1" si="5"/>
        <v/>
      </c>
      <c r="R90" s="955"/>
      <c r="S90" s="1244"/>
      <c r="T90" s="1245"/>
      <c r="U90" s="1246"/>
      <c r="V90" s="959" t="s">
        <v>173</v>
      </c>
      <c r="W90" s="960"/>
      <c r="X90" s="961"/>
      <c r="Y90" s="1018">
        <f t="shared" ca="1" si="6"/>
        <v>0</v>
      </c>
      <c r="Z90" s="1018"/>
      <c r="AA90" s="963"/>
      <c r="AB90" s="963"/>
      <c r="AC90" s="963"/>
      <c r="AD90" s="964"/>
      <c r="AE90" s="965"/>
      <c r="AF90" s="965"/>
      <c r="AG90" s="965"/>
      <c r="AH90" s="965"/>
      <c r="AI90" s="966"/>
      <c r="AJ90" s="955" t="str">
        <f t="shared" ca="1" si="7"/>
        <v/>
      </c>
      <c r="AK90" s="955"/>
      <c r="AL90" s="1241"/>
      <c r="AM90" s="1241"/>
      <c r="AN90" s="1241"/>
      <c r="AO90" s="1019" t="s">
        <v>173</v>
      </c>
      <c r="AP90" s="1019"/>
      <c r="AQ90" s="1018">
        <f t="shared" ca="1" si="8"/>
        <v>0</v>
      </c>
      <c r="AR90" s="1018"/>
      <c r="AS90" s="37"/>
    </row>
    <row r="91" spans="1:45" ht="12.75" hidden="1" customHeight="1">
      <c r="A91" s="1"/>
      <c r="B91" s="1"/>
      <c r="C91" s="911"/>
      <c r="D91" s="3" t="e">
        <f ca="1">INDEX(OFFSET(PRP,,-1,,),MATCH(K91,PRP,0))</f>
        <v>#N/A</v>
      </c>
      <c r="E91" s="522">
        <v>4</v>
      </c>
      <c r="F91" s="971"/>
      <c r="G91" s="971"/>
      <c r="H91" s="972"/>
      <c r="I91" s="973"/>
      <c r="J91" s="974"/>
      <c r="K91" s="964"/>
      <c r="L91" s="965"/>
      <c r="M91" s="965"/>
      <c r="N91" s="965"/>
      <c r="O91" s="965"/>
      <c r="P91" s="966"/>
      <c r="Q91" s="955" t="str">
        <f t="shared" ca="1" si="5"/>
        <v/>
      </c>
      <c r="R91" s="955"/>
      <c r="S91" s="1244"/>
      <c r="T91" s="1245"/>
      <c r="U91" s="1246"/>
      <c r="V91" s="959" t="s">
        <v>173</v>
      </c>
      <c r="W91" s="960"/>
      <c r="X91" s="961"/>
      <c r="Y91" s="1018">
        <f t="shared" ca="1" si="6"/>
        <v>0</v>
      </c>
      <c r="Z91" s="1018"/>
      <c r="AA91" s="963"/>
      <c r="AB91" s="963"/>
      <c r="AC91" s="963"/>
      <c r="AD91" s="964"/>
      <c r="AE91" s="965"/>
      <c r="AF91" s="965"/>
      <c r="AG91" s="965"/>
      <c r="AH91" s="965"/>
      <c r="AI91" s="966"/>
      <c r="AJ91" s="955" t="str">
        <f t="shared" ca="1" si="7"/>
        <v/>
      </c>
      <c r="AK91" s="955"/>
      <c r="AL91" s="1241"/>
      <c r="AM91" s="1241"/>
      <c r="AN91" s="1241"/>
      <c r="AO91" s="1019" t="s">
        <v>173</v>
      </c>
      <c r="AP91" s="1019"/>
      <c r="AQ91" s="1018">
        <f t="shared" ca="1" si="8"/>
        <v>0</v>
      </c>
      <c r="AR91" s="1018"/>
      <c r="AS91" s="37"/>
    </row>
    <row r="92" spans="1:45" ht="12.75" hidden="1" customHeight="1">
      <c r="A92" s="1"/>
      <c r="B92" s="1"/>
      <c r="C92" s="911"/>
      <c r="D92" s="3"/>
      <c r="E92" s="522">
        <v>5</v>
      </c>
      <c r="F92" s="971"/>
      <c r="G92" s="971"/>
      <c r="H92" s="972"/>
      <c r="I92" s="973"/>
      <c r="J92" s="974"/>
      <c r="K92" s="964"/>
      <c r="L92" s="965"/>
      <c r="M92" s="965"/>
      <c r="N92" s="965"/>
      <c r="O92" s="965"/>
      <c r="P92" s="966"/>
      <c r="Q92" s="955" t="str">
        <f t="shared" ca="1" si="5"/>
        <v/>
      </c>
      <c r="R92" s="955"/>
      <c r="S92" s="1244"/>
      <c r="T92" s="1245"/>
      <c r="U92" s="1246"/>
      <c r="V92" s="959" t="s">
        <v>173</v>
      </c>
      <c r="W92" s="960"/>
      <c r="X92" s="961"/>
      <c r="Y92" s="1018">
        <f t="shared" ca="1" si="6"/>
        <v>0</v>
      </c>
      <c r="Z92" s="1018"/>
      <c r="AA92" s="963"/>
      <c r="AB92" s="963"/>
      <c r="AC92" s="963"/>
      <c r="AD92" s="964"/>
      <c r="AE92" s="965"/>
      <c r="AF92" s="965"/>
      <c r="AG92" s="965"/>
      <c r="AH92" s="965"/>
      <c r="AI92" s="966"/>
      <c r="AJ92" s="955" t="str">
        <f t="shared" ca="1" si="7"/>
        <v/>
      </c>
      <c r="AK92" s="955"/>
      <c r="AL92" s="1241"/>
      <c r="AM92" s="1241"/>
      <c r="AN92" s="1241"/>
      <c r="AO92" s="1019" t="s">
        <v>173</v>
      </c>
      <c r="AP92" s="1019"/>
      <c r="AQ92" s="1018">
        <f t="shared" ca="1" si="8"/>
        <v>0</v>
      </c>
      <c r="AR92" s="1018"/>
      <c r="AS92" s="37"/>
    </row>
    <row r="93" spans="1:45" ht="12.75" hidden="1" customHeight="1">
      <c r="A93" s="1"/>
      <c r="B93" s="1"/>
      <c r="C93" s="911"/>
      <c r="D93" s="3"/>
      <c r="E93" s="522">
        <v>6</v>
      </c>
      <c r="F93" s="971"/>
      <c r="G93" s="971"/>
      <c r="H93" s="972"/>
      <c r="I93" s="973"/>
      <c r="J93" s="974"/>
      <c r="K93" s="964"/>
      <c r="L93" s="965"/>
      <c r="M93" s="965"/>
      <c r="N93" s="965"/>
      <c r="O93" s="965"/>
      <c r="P93" s="966"/>
      <c r="Q93" s="955" t="str">
        <f t="shared" ca="1" si="5"/>
        <v/>
      </c>
      <c r="R93" s="955"/>
      <c r="S93" s="1244"/>
      <c r="T93" s="1245"/>
      <c r="U93" s="1246"/>
      <c r="V93" s="959" t="s">
        <v>173</v>
      </c>
      <c r="W93" s="960"/>
      <c r="X93" s="961"/>
      <c r="Y93" s="1018">
        <f t="shared" ca="1" si="6"/>
        <v>0</v>
      </c>
      <c r="Z93" s="1018"/>
      <c r="AA93" s="963"/>
      <c r="AB93" s="963"/>
      <c r="AC93" s="963"/>
      <c r="AD93" s="964"/>
      <c r="AE93" s="965"/>
      <c r="AF93" s="965"/>
      <c r="AG93" s="965"/>
      <c r="AH93" s="965"/>
      <c r="AI93" s="966"/>
      <c r="AJ93" s="955" t="str">
        <f t="shared" ca="1" si="7"/>
        <v/>
      </c>
      <c r="AK93" s="955"/>
      <c r="AL93" s="1241"/>
      <c r="AM93" s="1241"/>
      <c r="AN93" s="1241"/>
      <c r="AO93" s="1019" t="s">
        <v>173</v>
      </c>
      <c r="AP93" s="1019"/>
      <c r="AQ93" s="1018">
        <f t="shared" ca="1" si="8"/>
        <v>0</v>
      </c>
      <c r="AR93" s="1018"/>
      <c r="AS93" s="37"/>
    </row>
    <row r="94" spans="1:45" ht="12.75" hidden="1" customHeight="1">
      <c r="A94" s="1"/>
      <c r="B94" s="1"/>
      <c r="C94" s="911"/>
      <c r="D94" s="47"/>
      <c r="E94" s="1314" t="s">
        <v>113</v>
      </c>
      <c r="F94" s="1315"/>
      <c r="G94" s="1315"/>
      <c r="H94" s="1315"/>
      <c r="I94" s="1315"/>
      <c r="J94" s="1315"/>
      <c r="K94" s="1315"/>
      <c r="L94" s="1315"/>
      <c r="M94" s="1315"/>
      <c r="N94" s="1315"/>
      <c r="O94" s="1315"/>
      <c r="P94" s="1315"/>
      <c r="Q94" s="1315"/>
      <c r="R94" s="1316"/>
      <c r="S94" s="1018">
        <f>SUM(S88:U91)</f>
        <v>0</v>
      </c>
      <c r="T94" s="1018"/>
      <c r="U94" s="1018"/>
      <c r="V94" s="1123"/>
      <c r="W94" s="1124"/>
      <c r="X94" s="636"/>
      <c r="Y94" s="1018">
        <f ca="1">SUM(Y88:Z91)</f>
        <v>0</v>
      </c>
      <c r="Z94" s="1018"/>
      <c r="AA94" s="1220"/>
      <c r="AB94" s="1220"/>
      <c r="AC94" s="1220"/>
      <c r="AD94" s="1220"/>
      <c r="AE94" s="1220"/>
      <c r="AF94" s="1220"/>
      <c r="AG94" s="1220"/>
      <c r="AH94" s="1220"/>
      <c r="AI94" s="1220"/>
      <c r="AJ94" s="1220"/>
      <c r="AK94" s="1220"/>
      <c r="AL94" s="1018">
        <f>SUM(AL88:AN91)</f>
        <v>0</v>
      </c>
      <c r="AM94" s="1018"/>
      <c r="AN94" s="1018"/>
      <c r="AO94" s="1121"/>
      <c r="AP94" s="1122"/>
      <c r="AQ94" s="1018">
        <f ca="1">SUM(AQ88:AR91)</f>
        <v>0</v>
      </c>
      <c r="AR94" s="1018"/>
      <c r="AS94" s="37"/>
    </row>
    <row r="95" spans="1:45" ht="5.25" hidden="1" customHeight="1" thickBot="1">
      <c r="A95" s="1"/>
      <c r="B95" s="1"/>
      <c r="C95" s="911"/>
      <c r="D95" s="5"/>
      <c r="E95" s="1192"/>
      <c r="F95" s="1192"/>
      <c r="G95" s="1192"/>
      <c r="H95" s="1192"/>
      <c r="I95" s="1192"/>
      <c r="J95" s="1192"/>
      <c r="K95" s="1192"/>
      <c r="L95" s="1192"/>
      <c r="M95" s="1192"/>
      <c r="N95" s="1192"/>
      <c r="O95" s="1192"/>
      <c r="P95" s="1192"/>
      <c r="Q95" s="1192"/>
      <c r="R95" s="1192"/>
      <c r="S95" s="1192"/>
      <c r="T95" s="1192"/>
      <c r="U95" s="1192"/>
      <c r="V95" s="1192"/>
      <c r="W95" s="1192"/>
      <c r="X95" s="1192"/>
      <c r="Y95" s="1192"/>
      <c r="Z95" s="1192"/>
      <c r="AA95" s="1192"/>
      <c r="AB95" s="1192"/>
      <c r="AC95" s="1192"/>
      <c r="AD95" s="1192"/>
      <c r="AE95" s="1192"/>
      <c r="AF95" s="1192"/>
      <c r="AG95" s="1192"/>
      <c r="AH95" s="1192"/>
      <c r="AI95" s="1192"/>
      <c r="AJ95" s="1192"/>
      <c r="AK95" s="1192"/>
      <c r="AL95" s="1192"/>
      <c r="AM95" s="1192"/>
      <c r="AN95" s="1192"/>
      <c r="AO95" s="1192"/>
      <c r="AP95" s="1192"/>
      <c r="AQ95" s="1192"/>
      <c r="AR95" s="1192"/>
      <c r="AS95" s="7"/>
    </row>
    <row r="96" spans="1:45" ht="3" customHeight="1">
      <c r="A96" s="1"/>
      <c r="B96" s="1"/>
      <c r="C96" s="878" t="s">
        <v>5607</v>
      </c>
      <c r="D96" s="456"/>
      <c r="E96" s="456"/>
      <c r="F96" s="457"/>
      <c r="G96" s="456"/>
      <c r="H96" s="456"/>
      <c r="I96" s="456"/>
      <c r="J96" s="456"/>
      <c r="K96" s="456"/>
      <c r="L96" s="456"/>
      <c r="M96" s="456"/>
      <c r="N96" s="456"/>
      <c r="O96" s="456"/>
      <c r="P96" s="456"/>
      <c r="Q96" s="456"/>
      <c r="R96" s="456"/>
      <c r="S96" s="456"/>
      <c r="T96" s="456"/>
      <c r="U96" s="456"/>
      <c r="V96" s="456"/>
      <c r="W96" s="456"/>
      <c r="X96" s="456"/>
      <c r="Y96" s="456"/>
      <c r="Z96" s="456"/>
      <c r="AA96" s="456"/>
      <c r="AB96" s="456"/>
      <c r="AC96" s="456"/>
      <c r="AD96" s="456"/>
      <c r="AE96" s="456"/>
      <c r="AF96" s="456"/>
      <c r="AG96" s="456"/>
      <c r="AH96" s="456"/>
      <c r="AI96" s="456"/>
      <c r="AJ96" s="456"/>
      <c r="AK96" s="456"/>
      <c r="AL96" s="456"/>
      <c r="AM96" s="456"/>
      <c r="AN96" s="456"/>
      <c r="AO96" s="456"/>
      <c r="AP96" s="456"/>
      <c r="AQ96" s="456"/>
      <c r="AR96" s="456"/>
      <c r="AS96" s="434"/>
    </row>
    <row r="97" spans="1:45" ht="12.75" customHeight="1">
      <c r="A97" s="1"/>
      <c r="B97" s="1"/>
      <c r="C97" s="879"/>
      <c r="D97" s="455"/>
      <c r="E97" s="458" t="s">
        <v>131</v>
      </c>
      <c r="F97" s="458"/>
      <c r="G97" s="455"/>
      <c r="H97" s="455"/>
      <c r="I97" s="975"/>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976"/>
      <c r="AM97" s="976"/>
      <c r="AN97" s="976"/>
      <c r="AO97" s="976"/>
      <c r="AP97" s="976"/>
      <c r="AQ97" s="976"/>
      <c r="AR97" s="977"/>
      <c r="AS97" s="435"/>
    </row>
    <row r="98" spans="1:45" ht="3" customHeight="1">
      <c r="A98" s="1"/>
      <c r="B98" s="1"/>
      <c r="C98" s="879"/>
      <c r="D98" s="455"/>
      <c r="E98" s="455"/>
      <c r="F98" s="458"/>
      <c r="G98" s="455"/>
      <c r="H98" s="455"/>
      <c r="I98" s="455"/>
      <c r="J98" s="455"/>
      <c r="K98" s="455"/>
      <c r="L98" s="455"/>
      <c r="M98" s="455"/>
      <c r="N98" s="455"/>
      <c r="O98" s="455"/>
      <c r="P98" s="455"/>
      <c r="Q98" s="455"/>
      <c r="R98" s="455"/>
      <c r="S98" s="455"/>
      <c r="T98" s="455"/>
      <c r="U98" s="455"/>
      <c r="V98" s="455"/>
      <c r="W98" s="455"/>
      <c r="X98" s="455"/>
      <c r="Y98" s="455"/>
      <c r="Z98" s="455"/>
      <c r="AA98" s="455"/>
      <c r="AB98" s="455"/>
      <c r="AC98" s="455"/>
      <c r="AD98" s="455"/>
      <c r="AE98" s="455"/>
      <c r="AF98" s="455"/>
      <c r="AG98" s="455"/>
      <c r="AH98" s="455"/>
      <c r="AI98" s="455"/>
      <c r="AJ98" s="455"/>
      <c r="AK98" s="455"/>
      <c r="AL98" s="455"/>
      <c r="AM98" s="455"/>
      <c r="AN98" s="455"/>
      <c r="AO98" s="455"/>
      <c r="AP98" s="455"/>
      <c r="AQ98" s="455"/>
      <c r="AR98" s="455"/>
      <c r="AS98" s="435"/>
    </row>
    <row r="99" spans="1:45" ht="12.75" customHeight="1">
      <c r="A99" s="1"/>
      <c r="B99" s="1"/>
      <c r="C99" s="879"/>
      <c r="D99" s="455"/>
      <c r="E99" s="458" t="s">
        <v>161</v>
      </c>
      <c r="F99" s="458"/>
      <c r="G99" s="455"/>
      <c r="H99" s="455"/>
      <c r="I99" s="455"/>
      <c r="J99" s="455"/>
      <c r="K99" s="455"/>
      <c r="L99" s="455"/>
      <c r="M99" s="455"/>
      <c r="N99" s="455"/>
      <c r="O99" s="459" t="s">
        <v>110</v>
      </c>
      <c r="P99" s="1217"/>
      <c r="Q99" s="1218"/>
      <c r="R99" s="1218"/>
      <c r="S99" s="1219"/>
      <c r="T99" s="452"/>
      <c r="U99" s="452"/>
      <c r="V99" s="452"/>
      <c r="W99" s="455"/>
      <c r="X99" s="455"/>
      <c r="Y99" s="455"/>
      <c r="Z99" s="455"/>
      <c r="AA99" s="455"/>
      <c r="AB99" s="469" t="s">
        <v>97</v>
      </c>
      <c r="AC99" s="1217"/>
      <c r="AD99" s="1218"/>
      <c r="AE99" s="1218"/>
      <c r="AF99" s="1219"/>
      <c r="AG99" s="452"/>
      <c r="AH99" s="452"/>
      <c r="AI99" s="452"/>
      <c r="AJ99" s="452"/>
      <c r="AK99" s="610"/>
      <c r="AL99" s="455"/>
      <c r="AM99" s="455"/>
      <c r="AN99" s="433"/>
      <c r="AO99" s="1235"/>
      <c r="AP99" s="1235"/>
      <c r="AQ99" s="1235"/>
      <c r="AR99" s="1235"/>
      <c r="AS99" s="435"/>
    </row>
    <row r="100" spans="1:45" ht="12.75" customHeight="1">
      <c r="A100" s="1"/>
      <c r="B100" s="1"/>
      <c r="C100" s="879"/>
      <c r="D100" s="455"/>
      <c r="E100" s="610"/>
      <c r="F100" s="460"/>
      <c r="G100" s="460"/>
      <c r="H100" s="460"/>
      <c r="I100" s="460"/>
      <c r="J100" s="460"/>
      <c r="K100" s="460"/>
      <c r="L100" s="460"/>
      <c r="M100" s="610"/>
      <c r="N100" s="610"/>
      <c r="O100" s="610"/>
      <c r="P100" s="422" t="s">
        <v>883</v>
      </c>
      <c r="Q100" s="455"/>
      <c r="R100" s="455"/>
      <c r="S100" s="455"/>
      <c r="T100" s="452"/>
      <c r="U100" s="452"/>
      <c r="V100" s="452"/>
      <c r="W100" s="461"/>
      <c r="X100" s="452"/>
      <c r="Y100" s="452"/>
      <c r="Z100" s="452"/>
      <c r="AA100" s="452"/>
      <c r="AB100" s="433"/>
      <c r="AC100" s="422" t="s">
        <v>884</v>
      </c>
      <c r="AD100" s="455"/>
      <c r="AE100" s="455"/>
      <c r="AF100" s="455"/>
      <c r="AG100" s="452"/>
      <c r="AH100" s="452"/>
      <c r="AI100" s="452"/>
      <c r="AJ100" s="452"/>
      <c r="AK100" s="461"/>
      <c r="AL100" s="452"/>
      <c r="AM100" s="452"/>
      <c r="AN100" s="452"/>
      <c r="AO100" s="1093"/>
      <c r="AP100" s="1197"/>
      <c r="AQ100" s="1197"/>
      <c r="AR100" s="1197"/>
      <c r="AS100" s="435"/>
    </row>
    <row r="101" spans="1:45" ht="2.25" customHeight="1">
      <c r="A101" s="1"/>
      <c r="B101" s="1"/>
      <c r="C101" s="879"/>
      <c r="D101" s="455"/>
      <c r="E101" s="462"/>
      <c r="F101" s="462"/>
      <c r="G101" s="462"/>
      <c r="H101" s="462"/>
      <c r="I101" s="462"/>
      <c r="J101" s="462"/>
      <c r="K101" s="462"/>
      <c r="L101" s="462"/>
      <c r="M101" s="462"/>
      <c r="N101" s="610"/>
      <c r="O101" s="610"/>
      <c r="P101" s="610"/>
      <c r="Q101" s="610"/>
      <c r="R101" s="455"/>
      <c r="S101" s="452"/>
      <c r="T101" s="452"/>
      <c r="U101" s="452"/>
      <c r="V101" s="452"/>
      <c r="W101" s="455"/>
      <c r="X101" s="452"/>
      <c r="Y101" s="452"/>
      <c r="Z101" s="452"/>
      <c r="AA101" s="452"/>
      <c r="AB101" s="610"/>
      <c r="AC101" s="610"/>
      <c r="AD101" s="610"/>
      <c r="AE101" s="610"/>
      <c r="AF101" s="455"/>
      <c r="AG101" s="455"/>
      <c r="AH101" s="455"/>
      <c r="AI101" s="455"/>
      <c r="AJ101" s="455"/>
      <c r="AK101" s="455"/>
      <c r="AL101" s="452"/>
      <c r="AM101" s="452"/>
      <c r="AN101" s="452"/>
      <c r="AO101" s="610"/>
      <c r="AP101" s="610"/>
      <c r="AQ101" s="462"/>
      <c r="AR101" s="462"/>
      <c r="AS101" s="435"/>
    </row>
    <row r="102" spans="1:45" ht="2.25" hidden="1" customHeight="1">
      <c r="A102" s="1"/>
      <c r="B102" s="1"/>
      <c r="C102" s="879"/>
      <c r="D102" s="423"/>
      <c r="E102" s="452"/>
      <c r="F102" s="452"/>
      <c r="G102" s="452"/>
      <c r="H102" s="452"/>
      <c r="I102" s="452"/>
      <c r="J102" s="452"/>
      <c r="K102" s="452"/>
      <c r="L102" s="452"/>
      <c r="M102" s="452"/>
      <c r="N102" s="452"/>
      <c r="O102" s="452"/>
      <c r="P102" s="452"/>
      <c r="Q102" s="452"/>
      <c r="R102" s="452"/>
      <c r="S102" s="452"/>
      <c r="T102" s="452"/>
      <c r="U102" s="452"/>
      <c r="V102" s="452"/>
      <c r="W102" s="452"/>
      <c r="X102" s="452"/>
      <c r="Y102" s="452"/>
      <c r="Z102" s="452"/>
      <c r="AA102" s="452"/>
      <c r="AB102" s="452"/>
      <c r="AC102" s="452"/>
      <c r="AD102" s="452"/>
      <c r="AE102" s="452"/>
      <c r="AF102" s="452"/>
      <c r="AG102" s="452"/>
      <c r="AH102" s="452"/>
      <c r="AI102" s="452"/>
      <c r="AJ102" s="452"/>
      <c r="AK102" s="452"/>
      <c r="AL102" s="452"/>
      <c r="AM102" s="452"/>
      <c r="AN102" s="452"/>
      <c r="AO102" s="452"/>
      <c r="AP102" s="452"/>
      <c r="AQ102" s="452"/>
      <c r="AR102" s="452"/>
      <c r="AS102" s="471"/>
    </row>
    <row r="103" spans="1:45" ht="12.75" hidden="1" customHeight="1">
      <c r="A103" s="1"/>
      <c r="B103" s="1"/>
      <c r="C103" s="879"/>
      <c r="D103" s="423"/>
      <c r="E103" s="463" t="s">
        <v>206</v>
      </c>
      <c r="F103" s="464"/>
      <c r="G103" s="464"/>
      <c r="H103" s="464"/>
      <c r="I103" s="464"/>
      <c r="J103" s="464"/>
      <c r="K103" s="464"/>
      <c r="L103" s="464"/>
      <c r="M103" s="464"/>
      <c r="N103" s="464"/>
      <c r="O103" s="464"/>
      <c r="P103" s="464"/>
      <c r="Q103" s="464"/>
      <c r="R103" s="464"/>
      <c r="S103" s="464"/>
      <c r="T103" s="464"/>
      <c r="U103" s="464"/>
      <c r="V103" s="464"/>
      <c r="W103" s="464"/>
      <c r="X103" s="637"/>
      <c r="Y103" s="637"/>
      <c r="Z103" s="637"/>
      <c r="AA103" s="637"/>
      <c r="AB103" s="437"/>
      <c r="AC103" s="437"/>
      <c r="AD103" s="437"/>
      <c r="AE103" s="437"/>
      <c r="AF103" s="465"/>
      <c r="AG103" s="465"/>
      <c r="AH103" s="465"/>
      <c r="AI103" s="465"/>
      <c r="AJ103" s="465"/>
      <c r="AK103" s="466" t="s">
        <v>213</v>
      </c>
      <c r="AL103" s="637"/>
      <c r="AM103" s="637"/>
      <c r="AN103" s="638"/>
      <c r="AO103" s="1221">
        <v>0</v>
      </c>
      <c r="AP103" s="1222"/>
      <c r="AQ103" s="1222"/>
      <c r="AR103" s="1223"/>
      <c r="AS103" s="472"/>
    </row>
    <row r="104" spans="1:45" ht="12.75" hidden="1" customHeight="1">
      <c r="A104" s="1"/>
      <c r="B104" s="1"/>
      <c r="C104" s="879"/>
      <c r="D104" s="423"/>
      <c r="E104" s="1282" t="s">
        <v>165</v>
      </c>
      <c r="F104" s="1283"/>
      <c r="G104" s="1283"/>
      <c r="H104" s="1283"/>
      <c r="I104" s="1283"/>
      <c r="J104" s="1283"/>
      <c r="K104" s="1283"/>
      <c r="L104" s="1283"/>
      <c r="M104" s="1283"/>
      <c r="N104" s="1283"/>
      <c r="O104" s="1283"/>
      <c r="P104" s="1283"/>
      <c r="Q104" s="1283"/>
      <c r="R104" s="1283"/>
      <c r="S104" s="1283"/>
      <c r="T104" s="1283"/>
      <c r="U104" s="1283"/>
      <c r="V104" s="1283"/>
      <c r="W104" s="1283"/>
      <c r="X104" s="1283"/>
      <c r="Y104" s="1283"/>
      <c r="Z104" s="1283"/>
      <c r="AA104" s="1283"/>
      <c r="AB104" s="1283"/>
      <c r="AC104" s="1283"/>
      <c r="AD104" s="1283"/>
      <c r="AE104" s="1283"/>
      <c r="AF104" s="1283"/>
      <c r="AG104" s="1283"/>
      <c r="AH104" s="1283"/>
      <c r="AI104" s="1283"/>
      <c r="AJ104" s="1283"/>
      <c r="AK104" s="1283"/>
      <c r="AL104" s="1283"/>
      <c r="AM104" s="1283"/>
      <c r="AN104" s="1187"/>
      <c r="AO104" s="1221">
        <f ca="1">'2. Plan d''implantation'!Q50</f>
        <v>0</v>
      </c>
      <c r="AP104" s="1222"/>
      <c r="AQ104" s="1222"/>
      <c r="AR104" s="1223"/>
      <c r="AS104" s="471"/>
    </row>
    <row r="105" spans="1:45" ht="12.75" hidden="1" customHeight="1">
      <c r="A105" s="1"/>
      <c r="B105" s="1"/>
      <c r="C105" s="879"/>
      <c r="D105" s="423"/>
      <c r="E105" s="1207" t="s">
        <v>175</v>
      </c>
      <c r="F105" s="1208"/>
      <c r="G105" s="1208"/>
      <c r="H105" s="1208"/>
      <c r="I105" s="1208"/>
      <c r="J105" s="1208"/>
      <c r="K105" s="1208"/>
      <c r="L105" s="1208"/>
      <c r="M105" s="1208"/>
      <c r="N105" s="1208"/>
      <c r="O105" s="1208"/>
      <c r="P105" s="1208"/>
      <c r="Q105" s="1208"/>
      <c r="R105" s="1208"/>
      <c r="S105" s="1208"/>
      <c r="T105" s="1208"/>
      <c r="U105" s="1208"/>
      <c r="V105" s="1208"/>
      <c r="W105" s="1208"/>
      <c r="X105" s="1208"/>
      <c r="Y105" s="1208"/>
      <c r="Z105" s="1208"/>
      <c r="AA105" s="1208"/>
      <c r="AB105" s="1208"/>
      <c r="AC105" s="1208"/>
      <c r="AD105" s="1208"/>
      <c r="AE105" s="1208"/>
      <c r="AF105" s="1208"/>
      <c r="AG105" s="1208"/>
      <c r="AH105" s="1208"/>
      <c r="AI105" s="1208"/>
      <c r="AJ105" s="1208"/>
      <c r="AK105" s="1208"/>
      <c r="AL105" s="1208"/>
      <c r="AM105" s="1208"/>
      <c r="AN105" s="1209"/>
      <c r="AO105" s="1194">
        <f ca="1">'2. Plan d''implantation'!R50</f>
        <v>0</v>
      </c>
      <c r="AP105" s="1195"/>
      <c r="AQ105" s="1195"/>
      <c r="AR105" s="1196"/>
      <c r="AS105" s="471"/>
    </row>
    <row r="106" spans="1:45" ht="3" customHeight="1">
      <c r="A106" s="1"/>
      <c r="B106" s="1"/>
      <c r="C106" s="879"/>
      <c r="D106" s="423"/>
      <c r="E106" s="467"/>
      <c r="F106" s="467"/>
      <c r="G106" s="467"/>
      <c r="H106" s="467"/>
      <c r="I106" s="467"/>
      <c r="J106" s="467"/>
      <c r="K106" s="467"/>
      <c r="L106" s="467"/>
      <c r="M106" s="467"/>
      <c r="N106" s="467"/>
      <c r="O106" s="467"/>
      <c r="P106" s="467"/>
      <c r="Q106" s="467"/>
      <c r="R106" s="467"/>
      <c r="S106" s="467"/>
      <c r="T106" s="467"/>
      <c r="U106" s="467"/>
      <c r="V106" s="467"/>
      <c r="W106" s="467"/>
      <c r="X106" s="467"/>
      <c r="Y106" s="467"/>
      <c r="Z106" s="467"/>
      <c r="AA106" s="467"/>
      <c r="AB106" s="467"/>
      <c r="AC106" s="467"/>
      <c r="AD106" s="467"/>
      <c r="AE106" s="467"/>
      <c r="AF106" s="467"/>
      <c r="AG106" s="467"/>
      <c r="AH106" s="467"/>
      <c r="AI106" s="467"/>
      <c r="AJ106" s="467"/>
      <c r="AK106" s="467"/>
      <c r="AL106" s="467"/>
      <c r="AM106" s="467"/>
      <c r="AN106" s="468"/>
      <c r="AO106" s="468"/>
      <c r="AP106" s="468"/>
      <c r="AQ106" s="468"/>
      <c r="AR106" s="468"/>
      <c r="AS106" s="471"/>
    </row>
    <row r="107" spans="1:45" ht="13.15" customHeight="1">
      <c r="A107" s="1"/>
      <c r="B107" s="1"/>
      <c r="C107" s="879"/>
      <c r="D107" s="423"/>
      <c r="E107" s="1131" t="s">
        <v>196</v>
      </c>
      <c r="F107" s="1132"/>
      <c r="G107" s="1132"/>
      <c r="H107" s="1132"/>
      <c r="I107" s="1132"/>
      <c r="J107" s="1132"/>
      <c r="K107" s="1132"/>
      <c r="L107" s="1132"/>
      <c r="M107" s="1132"/>
      <c r="N107" s="1132"/>
      <c r="O107" s="1132"/>
      <c r="P107" s="1132"/>
      <c r="Q107" s="1132"/>
      <c r="R107" s="1132"/>
      <c r="S107" s="1132"/>
      <c r="T107" s="1132"/>
      <c r="U107" s="1132"/>
      <c r="V107" s="1133"/>
      <c r="W107" s="470"/>
      <c r="X107" s="470"/>
      <c r="Y107" s="470"/>
      <c r="Z107" s="467"/>
      <c r="AA107" s="467"/>
      <c r="AB107" s="467"/>
      <c r="AC107" s="467"/>
      <c r="AD107" s="467"/>
      <c r="AE107" s="467"/>
      <c r="AF107" s="467"/>
      <c r="AG107" s="467"/>
      <c r="AH107" s="467"/>
      <c r="AI107" s="467"/>
      <c r="AJ107" s="467"/>
      <c r="AK107" s="467"/>
      <c r="AL107" s="467"/>
      <c r="AM107" s="467"/>
      <c r="AN107" s="468"/>
      <c r="AO107" s="468"/>
      <c r="AP107" s="468"/>
      <c r="AQ107" s="468"/>
      <c r="AR107" s="468"/>
      <c r="AS107" s="471"/>
    </row>
    <row r="108" spans="1:45" ht="12.75" customHeight="1">
      <c r="A108" s="1"/>
      <c r="B108" s="1"/>
      <c r="C108" s="879"/>
      <c r="D108" s="423"/>
      <c r="E108" s="1224"/>
      <c r="F108" s="1225"/>
      <c r="G108" s="1225"/>
      <c r="H108" s="1225"/>
      <c r="I108" s="1225"/>
      <c r="J108" s="1225"/>
      <c r="K108" s="1225"/>
      <c r="L108" s="1225"/>
      <c r="M108" s="1225"/>
      <c r="N108" s="1225"/>
      <c r="O108" s="1225"/>
      <c r="P108" s="1225"/>
      <c r="Q108" s="1225"/>
      <c r="R108" s="1225"/>
      <c r="S108" s="1225"/>
      <c r="T108" s="1225"/>
      <c r="U108" s="1225"/>
      <c r="V108" s="1225"/>
      <c r="W108" s="1225"/>
      <c r="X108" s="1225"/>
      <c r="Y108" s="1225"/>
      <c r="Z108" s="1225"/>
      <c r="AA108" s="1225"/>
      <c r="AB108" s="1225"/>
      <c r="AC108" s="1225"/>
      <c r="AD108" s="1225"/>
      <c r="AE108" s="1225"/>
      <c r="AF108" s="1225"/>
      <c r="AG108" s="1225"/>
      <c r="AH108" s="1225"/>
      <c r="AI108" s="1225"/>
      <c r="AJ108" s="1225"/>
      <c r="AK108" s="1225"/>
      <c r="AL108" s="1225"/>
      <c r="AM108" s="1225"/>
      <c r="AN108" s="1225"/>
      <c r="AO108" s="1225"/>
      <c r="AP108" s="1225"/>
      <c r="AQ108" s="1225"/>
      <c r="AR108" s="1226"/>
      <c r="AS108" s="471"/>
    </row>
    <row r="109" spans="1:45" ht="12.75" customHeight="1">
      <c r="A109" s="1"/>
      <c r="B109" s="1"/>
      <c r="C109" s="879"/>
      <c r="D109" s="423"/>
      <c r="E109" s="1227"/>
      <c r="F109" s="1228"/>
      <c r="G109" s="1228"/>
      <c r="H109" s="1228"/>
      <c r="I109" s="1228"/>
      <c r="J109" s="1228"/>
      <c r="K109" s="1228"/>
      <c r="L109" s="1228"/>
      <c r="M109" s="1228"/>
      <c r="N109" s="1228"/>
      <c r="O109" s="1228"/>
      <c r="P109" s="1228"/>
      <c r="Q109" s="1228"/>
      <c r="R109" s="1228"/>
      <c r="S109" s="1228"/>
      <c r="T109" s="1228"/>
      <c r="U109" s="1228"/>
      <c r="V109" s="1228"/>
      <c r="W109" s="1228"/>
      <c r="X109" s="1228"/>
      <c r="Y109" s="1228"/>
      <c r="Z109" s="1228"/>
      <c r="AA109" s="1228"/>
      <c r="AB109" s="1228"/>
      <c r="AC109" s="1228"/>
      <c r="AD109" s="1228"/>
      <c r="AE109" s="1228"/>
      <c r="AF109" s="1228"/>
      <c r="AG109" s="1228"/>
      <c r="AH109" s="1228"/>
      <c r="AI109" s="1228"/>
      <c r="AJ109" s="1228"/>
      <c r="AK109" s="1228"/>
      <c r="AL109" s="1228"/>
      <c r="AM109" s="1228"/>
      <c r="AN109" s="1228"/>
      <c r="AO109" s="1228"/>
      <c r="AP109" s="1228"/>
      <c r="AQ109" s="1228"/>
      <c r="AR109" s="1229"/>
      <c r="AS109" s="471"/>
    </row>
    <row r="110" spans="1:45" ht="12.75" customHeight="1">
      <c r="A110" s="1"/>
      <c r="B110" s="1"/>
      <c r="C110" s="879"/>
      <c r="D110" s="423"/>
      <c r="E110" s="1227"/>
      <c r="F110" s="1228"/>
      <c r="G110" s="1228"/>
      <c r="H110" s="1228"/>
      <c r="I110" s="1228"/>
      <c r="J110" s="1228"/>
      <c r="K110" s="1228"/>
      <c r="L110" s="1228"/>
      <c r="M110" s="1228"/>
      <c r="N110" s="1228"/>
      <c r="O110" s="1228"/>
      <c r="P110" s="1228"/>
      <c r="Q110" s="1228"/>
      <c r="R110" s="1228"/>
      <c r="S110" s="1228"/>
      <c r="T110" s="1228"/>
      <c r="U110" s="1228"/>
      <c r="V110" s="1228"/>
      <c r="W110" s="1228"/>
      <c r="X110" s="1228"/>
      <c r="Y110" s="1228"/>
      <c r="Z110" s="1228"/>
      <c r="AA110" s="1228"/>
      <c r="AB110" s="1228"/>
      <c r="AC110" s="1228"/>
      <c r="AD110" s="1228"/>
      <c r="AE110" s="1228"/>
      <c r="AF110" s="1228"/>
      <c r="AG110" s="1228"/>
      <c r="AH110" s="1228"/>
      <c r="AI110" s="1228"/>
      <c r="AJ110" s="1228"/>
      <c r="AK110" s="1228"/>
      <c r="AL110" s="1228"/>
      <c r="AM110" s="1228"/>
      <c r="AN110" s="1228"/>
      <c r="AO110" s="1228"/>
      <c r="AP110" s="1228"/>
      <c r="AQ110" s="1228"/>
      <c r="AR110" s="1229"/>
      <c r="AS110" s="471"/>
    </row>
    <row r="111" spans="1:45" ht="12.75" customHeight="1">
      <c r="A111" s="1"/>
      <c r="B111" s="1"/>
      <c r="C111" s="879"/>
      <c r="D111" s="423"/>
      <c r="E111" s="1227"/>
      <c r="F111" s="1228"/>
      <c r="G111" s="1228"/>
      <c r="H111" s="1228"/>
      <c r="I111" s="1228"/>
      <c r="J111" s="1228"/>
      <c r="K111" s="1228"/>
      <c r="L111" s="1228"/>
      <c r="M111" s="1228"/>
      <c r="N111" s="1228"/>
      <c r="O111" s="1228"/>
      <c r="P111" s="1228"/>
      <c r="Q111" s="1228"/>
      <c r="R111" s="1228"/>
      <c r="S111" s="1228"/>
      <c r="T111" s="1228"/>
      <c r="U111" s="1228"/>
      <c r="V111" s="1228"/>
      <c r="W111" s="1228"/>
      <c r="X111" s="1228"/>
      <c r="Y111" s="1228"/>
      <c r="Z111" s="1228"/>
      <c r="AA111" s="1228"/>
      <c r="AB111" s="1228"/>
      <c r="AC111" s="1228"/>
      <c r="AD111" s="1228"/>
      <c r="AE111" s="1228"/>
      <c r="AF111" s="1228"/>
      <c r="AG111" s="1228"/>
      <c r="AH111" s="1228"/>
      <c r="AI111" s="1228"/>
      <c r="AJ111" s="1228"/>
      <c r="AK111" s="1228"/>
      <c r="AL111" s="1228"/>
      <c r="AM111" s="1228"/>
      <c r="AN111" s="1228"/>
      <c r="AO111" s="1228"/>
      <c r="AP111" s="1228"/>
      <c r="AQ111" s="1228"/>
      <c r="AR111" s="1229"/>
      <c r="AS111" s="471"/>
    </row>
    <row r="112" spans="1:45" ht="12.75" customHeight="1">
      <c r="A112" s="1"/>
      <c r="B112" s="1"/>
      <c r="C112" s="879"/>
      <c r="D112" s="423"/>
      <c r="E112" s="1230"/>
      <c r="F112" s="1231"/>
      <c r="G112" s="1231"/>
      <c r="H112" s="1231"/>
      <c r="I112" s="1231"/>
      <c r="J112" s="1231"/>
      <c r="K112" s="1231"/>
      <c r="L112" s="1231"/>
      <c r="M112" s="1231"/>
      <c r="N112" s="1231"/>
      <c r="O112" s="1231"/>
      <c r="P112" s="1231"/>
      <c r="Q112" s="1231"/>
      <c r="R112" s="1231"/>
      <c r="S112" s="1231"/>
      <c r="T112" s="1231"/>
      <c r="U112" s="1231"/>
      <c r="V112" s="1231"/>
      <c r="W112" s="1231"/>
      <c r="X112" s="1231"/>
      <c r="Y112" s="1231"/>
      <c r="Z112" s="1231"/>
      <c r="AA112" s="1231"/>
      <c r="AB112" s="1231"/>
      <c r="AC112" s="1231"/>
      <c r="AD112" s="1231"/>
      <c r="AE112" s="1231"/>
      <c r="AF112" s="1231"/>
      <c r="AG112" s="1231"/>
      <c r="AH112" s="1231"/>
      <c r="AI112" s="1231"/>
      <c r="AJ112" s="1231"/>
      <c r="AK112" s="1231"/>
      <c r="AL112" s="1231"/>
      <c r="AM112" s="1231"/>
      <c r="AN112" s="1231"/>
      <c r="AO112" s="1231"/>
      <c r="AP112" s="1231"/>
      <c r="AQ112" s="1231"/>
      <c r="AR112" s="1232"/>
      <c r="AS112" s="471"/>
    </row>
    <row r="113" spans="1:45" ht="2.25" customHeight="1" thickBot="1">
      <c r="A113" s="1"/>
      <c r="B113" s="1"/>
      <c r="C113" s="879"/>
      <c r="D113" s="423"/>
      <c r="E113" s="467"/>
      <c r="F113" s="467"/>
      <c r="G113" s="467"/>
      <c r="H113" s="467"/>
      <c r="I113" s="467"/>
      <c r="J113" s="467"/>
      <c r="K113" s="467"/>
      <c r="L113" s="467"/>
      <c r="M113" s="467"/>
      <c r="N113" s="467"/>
      <c r="O113" s="467"/>
      <c r="P113" s="467"/>
      <c r="Q113" s="467"/>
      <c r="R113" s="467"/>
      <c r="S113" s="467"/>
      <c r="T113" s="467"/>
      <c r="U113" s="467"/>
      <c r="V113" s="467"/>
      <c r="W113" s="467"/>
      <c r="X113" s="467"/>
      <c r="Y113" s="467"/>
      <c r="Z113" s="467"/>
      <c r="AA113" s="467"/>
      <c r="AB113" s="467"/>
      <c r="AC113" s="467"/>
      <c r="AD113" s="467"/>
      <c r="AE113" s="467"/>
      <c r="AF113" s="467"/>
      <c r="AG113" s="467"/>
      <c r="AH113" s="467"/>
      <c r="AI113" s="467"/>
      <c r="AJ113" s="467"/>
      <c r="AK113" s="467"/>
      <c r="AL113" s="467"/>
      <c r="AM113" s="467"/>
      <c r="AN113" s="468"/>
      <c r="AO113" s="468"/>
      <c r="AP113" s="468"/>
      <c r="AQ113" s="468"/>
      <c r="AR113" s="468"/>
      <c r="AS113" s="471"/>
    </row>
    <row r="114" spans="1:45" ht="3" hidden="1" customHeight="1">
      <c r="A114" s="1"/>
      <c r="B114" s="1"/>
      <c r="C114" s="879"/>
      <c r="D114" s="1"/>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50"/>
      <c r="AO114" s="50"/>
      <c r="AP114" s="50"/>
      <c r="AQ114" s="50"/>
      <c r="AR114" s="50"/>
      <c r="AS114" s="35"/>
    </row>
    <row r="115" spans="1:45" ht="12.75" hidden="1" customHeight="1">
      <c r="A115" s="1"/>
      <c r="B115" s="1"/>
      <c r="C115" s="879"/>
      <c r="D115" s="1"/>
      <c r="E115" s="1265" t="s">
        <v>443</v>
      </c>
      <c r="F115" s="1266"/>
      <c r="G115" s="1266"/>
      <c r="H115" s="1266"/>
      <c r="I115" s="1266"/>
      <c r="J115" s="1266"/>
      <c r="K115" s="1266"/>
      <c r="L115" s="1266"/>
      <c r="M115" s="1266"/>
      <c r="N115" s="1266"/>
      <c r="O115" s="1266"/>
      <c r="P115" s="1266"/>
      <c r="Q115" s="1266"/>
      <c r="R115" s="1266"/>
      <c r="S115" s="1266"/>
      <c r="T115" s="1266"/>
      <c r="U115" s="1266"/>
      <c r="V115" s="1266"/>
      <c r="W115" s="49"/>
      <c r="X115" s="49"/>
      <c r="Y115" s="49"/>
      <c r="Z115" s="49"/>
      <c r="AA115" s="49"/>
      <c r="AB115" s="49"/>
      <c r="AC115" s="49"/>
      <c r="AD115" s="49"/>
      <c r="AE115" s="49"/>
      <c r="AF115" s="49"/>
      <c r="AG115" s="49"/>
      <c r="AH115" s="49"/>
      <c r="AI115" s="49"/>
      <c r="AJ115" s="49"/>
      <c r="AK115" s="49"/>
      <c r="AL115" s="49"/>
      <c r="AM115" s="49"/>
      <c r="AN115" s="50"/>
      <c r="AO115" s="50"/>
      <c r="AP115" s="50"/>
      <c r="AQ115" s="50"/>
      <c r="AR115" s="50"/>
      <c r="AS115" s="35"/>
    </row>
    <row r="116" spans="1:45" ht="12.75" hidden="1" customHeight="1">
      <c r="A116" s="1"/>
      <c r="B116" s="1"/>
      <c r="C116" s="879"/>
      <c r="D116" s="1"/>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50"/>
      <c r="AO116" s="50"/>
      <c r="AP116" s="50"/>
      <c r="AQ116" s="50"/>
      <c r="AR116" s="50"/>
      <c r="AS116" s="35"/>
    </row>
    <row r="117" spans="1:45" ht="12.75" hidden="1" customHeight="1">
      <c r="A117" s="1"/>
      <c r="B117" s="1"/>
      <c r="C117" s="879"/>
      <c r="D117" s="1"/>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50"/>
      <c r="AO117" s="50"/>
      <c r="AP117" s="50"/>
      <c r="AQ117" s="50"/>
      <c r="AR117" s="50"/>
      <c r="AS117" s="35"/>
    </row>
    <row r="118" spans="1:45" ht="12.75" hidden="1" customHeight="1">
      <c r="A118" s="1"/>
      <c r="B118" s="1"/>
      <c r="C118" s="879"/>
      <c r="D118" s="1"/>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50"/>
      <c r="AO118" s="50"/>
      <c r="AP118" s="50"/>
      <c r="AQ118" s="50"/>
      <c r="AR118" s="50"/>
      <c r="AS118" s="35"/>
    </row>
    <row r="119" spans="1:45" ht="12.75" hidden="1" customHeight="1">
      <c r="A119" s="1"/>
      <c r="B119" s="1"/>
      <c r="C119" s="879"/>
      <c r="D119" s="1"/>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50"/>
      <c r="AO119" s="50"/>
      <c r="AP119" s="50"/>
      <c r="AQ119" s="50"/>
      <c r="AR119" s="50"/>
      <c r="AS119" s="35"/>
    </row>
    <row r="120" spans="1:45" ht="4.5" hidden="1" customHeight="1">
      <c r="A120" s="1"/>
      <c r="B120" s="1"/>
      <c r="C120" s="879"/>
      <c r="D120" s="1"/>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50"/>
      <c r="AO120" s="50"/>
      <c r="AP120" s="50"/>
      <c r="AQ120" s="50"/>
      <c r="AR120" s="50"/>
      <c r="AS120" s="35"/>
    </row>
    <row r="121" spans="1:45" ht="12.75" hidden="1" customHeight="1">
      <c r="A121" s="1"/>
      <c r="B121" s="1"/>
      <c r="C121" s="879"/>
      <c r="D121" s="1"/>
      <c r="E121" s="1233" t="s">
        <v>444</v>
      </c>
      <c r="F121" s="1233"/>
      <c r="G121" s="1233"/>
      <c r="H121" s="1234"/>
      <c r="I121" s="952" t="s">
        <v>445</v>
      </c>
      <c r="J121" s="953"/>
      <c r="K121" s="953"/>
      <c r="L121" s="954"/>
      <c r="M121" s="952" t="s">
        <v>446</v>
      </c>
      <c r="N121" s="953"/>
      <c r="O121" s="953"/>
      <c r="P121" s="954"/>
      <c r="Q121" s="952" t="s">
        <v>447</v>
      </c>
      <c r="R121" s="953"/>
      <c r="S121" s="953"/>
      <c r="T121" s="954"/>
      <c r="U121" s="952" t="s">
        <v>191</v>
      </c>
      <c r="V121" s="953"/>
      <c r="W121" s="953"/>
      <c r="X121" s="953"/>
      <c r="Y121" s="954"/>
      <c r="Z121" s="952" t="s">
        <v>448</v>
      </c>
      <c r="AA121" s="953"/>
      <c r="AB121" s="953"/>
      <c r="AC121" s="954"/>
      <c r="AD121" s="952" t="s">
        <v>449</v>
      </c>
      <c r="AE121" s="953"/>
      <c r="AF121" s="953"/>
      <c r="AG121" s="954"/>
      <c r="AH121" s="952" t="s">
        <v>450</v>
      </c>
      <c r="AI121" s="953"/>
      <c r="AJ121" s="953"/>
      <c r="AK121" s="953"/>
      <c r="AL121" s="954"/>
      <c r="AM121" s="1198" t="s">
        <v>451</v>
      </c>
      <c r="AN121" s="1199"/>
      <c r="AO121" s="1199"/>
      <c r="AP121" s="1199"/>
      <c r="AQ121" s="1199"/>
      <c r="AR121" s="1200"/>
      <c r="AS121" s="35"/>
    </row>
    <row r="122" spans="1:45" ht="14.25" hidden="1" customHeight="1">
      <c r="A122" s="1"/>
      <c r="B122" s="1"/>
      <c r="C122" s="879"/>
      <c r="D122" s="1"/>
      <c r="E122" s="1233"/>
      <c r="F122" s="1233"/>
      <c r="G122" s="1233"/>
      <c r="H122" s="1234"/>
      <c r="I122" s="1118"/>
      <c r="J122" s="1119"/>
      <c r="K122" s="1119"/>
      <c r="L122" s="1120"/>
      <c r="M122" s="1118"/>
      <c r="N122" s="1119"/>
      <c r="O122" s="1119"/>
      <c r="P122" s="1120"/>
      <c r="Q122" s="1118"/>
      <c r="R122" s="1119"/>
      <c r="S122" s="1119"/>
      <c r="T122" s="1120"/>
      <c r="U122" s="1118"/>
      <c r="V122" s="1119"/>
      <c r="W122" s="1119"/>
      <c r="X122" s="1119"/>
      <c r="Y122" s="1120"/>
      <c r="Z122" s="1118"/>
      <c r="AA122" s="1119"/>
      <c r="AB122" s="1119"/>
      <c r="AC122" s="1120"/>
      <c r="AD122" s="1118"/>
      <c r="AE122" s="1119"/>
      <c r="AF122" s="1119"/>
      <c r="AG122" s="1120"/>
      <c r="AH122" s="1278"/>
      <c r="AI122" s="1276"/>
      <c r="AJ122" s="1276"/>
      <c r="AK122" s="1276"/>
      <c r="AL122" s="1277"/>
      <c r="AM122" s="176"/>
      <c r="AN122" s="1276"/>
      <c r="AO122" s="1276"/>
      <c r="AP122" s="1276"/>
      <c r="AQ122" s="1276"/>
      <c r="AR122" s="1277"/>
      <c r="AS122" s="35"/>
    </row>
    <row r="123" spans="1:45" ht="3.75" hidden="1" customHeight="1">
      <c r="A123" s="1"/>
      <c r="B123" s="1"/>
      <c r="C123" s="879"/>
      <c r="D123" s="1"/>
      <c r="E123" s="23"/>
      <c r="F123" s="23"/>
      <c r="G123" s="23"/>
      <c r="H123" s="23"/>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c r="AE123" s="177"/>
      <c r="AF123" s="177"/>
      <c r="AG123" s="177"/>
      <c r="AH123" s="12"/>
      <c r="AI123" s="178"/>
      <c r="AJ123" s="178"/>
      <c r="AK123" s="178"/>
      <c r="AL123" s="178"/>
      <c r="AM123" s="12"/>
      <c r="AN123" s="178"/>
      <c r="AO123" s="178"/>
      <c r="AP123" s="178"/>
      <c r="AQ123" s="178"/>
      <c r="AR123" s="178"/>
      <c r="AS123" s="35"/>
    </row>
    <row r="124" spans="1:45" ht="14.25" hidden="1" customHeight="1">
      <c r="A124" s="1"/>
      <c r="B124" s="1"/>
      <c r="C124" s="879"/>
      <c r="D124" s="1"/>
      <c r="E124" s="1233" t="s">
        <v>452</v>
      </c>
      <c r="F124" s="1233"/>
      <c r="G124" s="1233"/>
      <c r="H124" s="1267"/>
      <c r="I124" s="179"/>
      <c r="J124" s="180"/>
      <c r="K124" s="1280" t="s">
        <v>25</v>
      </c>
      <c r="L124" s="1280"/>
      <c r="M124" s="1280"/>
      <c r="N124" s="1280"/>
      <c r="O124" s="1280"/>
      <c r="P124" s="1280"/>
      <c r="Q124" s="1280"/>
      <c r="R124" s="1280"/>
      <c r="S124" s="1280"/>
      <c r="T124" s="1280"/>
      <c r="U124" s="1280"/>
      <c r="V124" s="1280"/>
      <c r="W124" s="1280"/>
      <c r="X124" s="1280"/>
      <c r="Y124" s="1281"/>
      <c r="Z124" s="1268"/>
      <c r="AA124" s="1269"/>
      <c r="AB124" s="1269"/>
      <c r="AC124" s="1269"/>
      <c r="AD124" s="1269"/>
      <c r="AE124" s="1269"/>
      <c r="AF124" s="1269"/>
      <c r="AG124" s="1269"/>
      <c r="AH124" s="1269"/>
      <c r="AI124" s="1269"/>
      <c r="AJ124" s="1269"/>
      <c r="AK124" s="1269"/>
      <c r="AL124" s="1269"/>
      <c r="AM124" s="1269"/>
      <c r="AN124" s="1269"/>
      <c r="AO124" s="1269"/>
      <c r="AP124" s="1269"/>
      <c r="AQ124" s="1269"/>
      <c r="AR124" s="1269"/>
      <c r="AS124" s="35"/>
    </row>
    <row r="125" spans="1:45" ht="14.25" hidden="1" customHeight="1">
      <c r="A125" s="1"/>
      <c r="B125" s="1"/>
      <c r="C125" s="879"/>
      <c r="D125" s="1"/>
      <c r="E125" s="1233"/>
      <c r="F125" s="1233"/>
      <c r="G125" s="1233"/>
      <c r="H125" s="1267"/>
      <c r="I125" s="1112" t="s">
        <v>453</v>
      </c>
      <c r="J125" s="1113"/>
      <c r="K125" s="1113"/>
      <c r="L125" s="1114"/>
      <c r="M125" s="1112" t="s">
        <v>454</v>
      </c>
      <c r="N125" s="1113"/>
      <c r="O125" s="1113"/>
      <c r="P125" s="1114"/>
      <c r="Q125" s="1112" t="s">
        <v>455</v>
      </c>
      <c r="R125" s="1113"/>
      <c r="S125" s="1113"/>
      <c r="T125" s="1114"/>
      <c r="U125" s="1112" t="s">
        <v>456</v>
      </c>
      <c r="V125" s="1113"/>
      <c r="W125" s="1113"/>
      <c r="X125" s="1113"/>
      <c r="Y125" s="1114"/>
      <c r="Z125" s="1112" t="s">
        <v>457</v>
      </c>
      <c r="AA125" s="1113"/>
      <c r="AB125" s="1113"/>
      <c r="AC125" s="1114"/>
      <c r="AD125" s="1112" t="s">
        <v>458</v>
      </c>
      <c r="AE125" s="1113"/>
      <c r="AF125" s="1113"/>
      <c r="AG125" s="1114"/>
      <c r="AH125" s="1112" t="s">
        <v>459</v>
      </c>
      <c r="AI125" s="1113"/>
      <c r="AJ125" s="1113"/>
      <c r="AK125" s="1113"/>
      <c r="AL125" s="1114"/>
      <c r="AM125" s="1273" t="s">
        <v>451</v>
      </c>
      <c r="AN125" s="1274"/>
      <c r="AO125" s="1274"/>
      <c r="AP125" s="1274"/>
      <c r="AQ125" s="1274"/>
      <c r="AR125" s="1275"/>
      <c r="AS125" s="35"/>
    </row>
    <row r="126" spans="1:45" ht="14.25" hidden="1" customHeight="1">
      <c r="A126" s="1"/>
      <c r="B126" s="1"/>
      <c r="C126" s="879"/>
      <c r="D126" s="1"/>
      <c r="E126" s="1233"/>
      <c r="F126" s="1233"/>
      <c r="G126" s="1233"/>
      <c r="H126" s="1267"/>
      <c r="I126" s="903"/>
      <c r="J126" s="904"/>
      <c r="K126" s="904"/>
      <c r="L126" s="905"/>
      <c r="M126" s="903"/>
      <c r="N126" s="904"/>
      <c r="O126" s="904"/>
      <c r="P126" s="905"/>
      <c r="Q126" s="903"/>
      <c r="R126" s="904"/>
      <c r="S126" s="904"/>
      <c r="T126" s="905"/>
      <c r="U126" s="903"/>
      <c r="V126" s="904"/>
      <c r="W126" s="904"/>
      <c r="X126" s="904"/>
      <c r="Y126" s="905"/>
      <c r="Z126" s="903"/>
      <c r="AA126" s="904"/>
      <c r="AB126" s="904"/>
      <c r="AC126" s="905"/>
      <c r="AD126" s="903"/>
      <c r="AE126" s="904"/>
      <c r="AF126" s="904"/>
      <c r="AG126" s="905"/>
      <c r="AH126" s="1270"/>
      <c r="AI126" s="1271"/>
      <c r="AJ126" s="1271"/>
      <c r="AK126" s="1271"/>
      <c r="AL126" s="1272"/>
      <c r="AM126" s="186"/>
      <c r="AN126" s="1271"/>
      <c r="AO126" s="1271"/>
      <c r="AP126" s="1271"/>
      <c r="AQ126" s="1271"/>
      <c r="AR126" s="1272"/>
      <c r="AS126" s="35"/>
    </row>
    <row r="127" spans="1:45" ht="3" hidden="1" customHeight="1">
      <c r="A127" s="1"/>
      <c r="B127" s="1"/>
      <c r="C127" s="879"/>
      <c r="D127" s="1"/>
      <c r="E127" s="1233"/>
      <c r="F127" s="1233"/>
      <c r="G127" s="1233"/>
      <c r="H127" s="1267"/>
      <c r="I127" s="182"/>
      <c r="J127" s="182"/>
      <c r="K127" s="182"/>
      <c r="L127" s="182"/>
      <c r="M127" s="182"/>
      <c r="N127" s="182"/>
      <c r="O127" s="182"/>
      <c r="P127" s="182"/>
      <c r="Q127" s="182"/>
      <c r="R127" s="184"/>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1"/>
      <c r="AN127" s="181"/>
      <c r="AO127" s="181"/>
      <c r="AP127" s="181"/>
      <c r="AQ127" s="181"/>
      <c r="AR127" s="181"/>
      <c r="AS127" s="35"/>
    </row>
    <row r="128" spans="1:45" ht="14.25" hidden="1" customHeight="1">
      <c r="A128" s="1"/>
      <c r="B128" s="1"/>
      <c r="C128" s="879"/>
      <c r="D128" s="1"/>
      <c r="E128" s="1233"/>
      <c r="F128" s="1233"/>
      <c r="G128" s="1233"/>
      <c r="H128" s="1267"/>
      <c r="I128" s="179"/>
      <c r="J128" s="180"/>
      <c r="K128" s="1280" t="s">
        <v>26</v>
      </c>
      <c r="L128" s="1280"/>
      <c r="M128" s="1280"/>
      <c r="N128" s="1280"/>
      <c r="O128" s="1280"/>
      <c r="P128" s="1280"/>
      <c r="Q128" s="1280"/>
      <c r="R128" s="1280"/>
      <c r="S128" s="1280"/>
      <c r="T128" s="1280"/>
      <c r="U128" s="1280"/>
      <c r="V128" s="1280"/>
      <c r="W128" s="1280"/>
      <c r="X128" s="1280"/>
      <c r="Y128" s="1281"/>
      <c r="Z128" s="183"/>
      <c r="AA128" s="183"/>
      <c r="AB128" s="183"/>
      <c r="AC128" s="183"/>
      <c r="AD128" s="183"/>
      <c r="AE128" s="183"/>
      <c r="AF128" s="183"/>
      <c r="AG128" s="183"/>
      <c r="AH128" s="183"/>
      <c r="AI128" s="183"/>
      <c r="AJ128" s="183"/>
      <c r="AK128" s="183"/>
      <c r="AL128" s="183"/>
      <c r="AM128" s="183"/>
      <c r="AN128" s="183"/>
      <c r="AO128" s="183"/>
      <c r="AP128" s="183"/>
      <c r="AQ128" s="183"/>
      <c r="AR128" s="183"/>
      <c r="AS128" s="35"/>
    </row>
    <row r="129" spans="1:45" ht="14.25" hidden="1" customHeight="1">
      <c r="A129" s="1"/>
      <c r="B129" s="1"/>
      <c r="C129" s="879"/>
      <c r="D129" s="1"/>
      <c r="E129" s="1233"/>
      <c r="F129" s="1233"/>
      <c r="G129" s="1233"/>
      <c r="H129" s="1267"/>
      <c r="I129" s="1112" t="s">
        <v>279</v>
      </c>
      <c r="J129" s="1113"/>
      <c r="K129" s="1113"/>
      <c r="L129" s="1114"/>
      <c r="M129" s="1112" t="s">
        <v>460</v>
      </c>
      <c r="N129" s="1113"/>
      <c r="O129" s="1113"/>
      <c r="P129" s="1114"/>
      <c r="Q129" s="1112" t="s">
        <v>461</v>
      </c>
      <c r="R129" s="1113"/>
      <c r="S129" s="1113"/>
      <c r="T129" s="1114"/>
      <c r="U129" s="1112" t="s">
        <v>108</v>
      </c>
      <c r="V129" s="1113"/>
      <c r="W129" s="1113"/>
      <c r="X129" s="1113"/>
      <c r="Y129" s="1114"/>
      <c r="Z129" s="1112" t="s">
        <v>109</v>
      </c>
      <c r="AA129" s="1113"/>
      <c r="AB129" s="1113"/>
      <c r="AC129" s="1114"/>
      <c r="AD129" s="1112" t="s">
        <v>462</v>
      </c>
      <c r="AE129" s="1113"/>
      <c r="AF129" s="1113"/>
      <c r="AG129" s="1114"/>
      <c r="AH129" s="1112" t="s">
        <v>283</v>
      </c>
      <c r="AI129" s="1113"/>
      <c r="AJ129" s="1113"/>
      <c r="AK129" s="1113"/>
      <c r="AL129" s="1114"/>
      <c r="AM129" s="1259" t="s">
        <v>451</v>
      </c>
      <c r="AN129" s="1260"/>
      <c r="AO129" s="1260"/>
      <c r="AP129" s="1260"/>
      <c r="AQ129" s="1260"/>
      <c r="AR129" s="1261"/>
      <c r="AS129" s="35"/>
    </row>
    <row r="130" spans="1:45" ht="14.25" hidden="1" customHeight="1">
      <c r="A130" s="1"/>
      <c r="B130" s="1"/>
      <c r="C130" s="879"/>
      <c r="D130" s="1"/>
      <c r="E130" s="1233"/>
      <c r="F130" s="1233"/>
      <c r="G130" s="1233"/>
      <c r="H130" s="1267"/>
      <c r="I130" s="903"/>
      <c r="J130" s="904"/>
      <c r="K130" s="904"/>
      <c r="L130" s="905"/>
      <c r="M130" s="903"/>
      <c r="N130" s="904"/>
      <c r="O130" s="904"/>
      <c r="P130" s="905"/>
      <c r="Q130" s="903"/>
      <c r="R130" s="904"/>
      <c r="S130" s="904"/>
      <c r="T130" s="905"/>
      <c r="U130" s="903"/>
      <c r="V130" s="904"/>
      <c r="W130" s="904"/>
      <c r="X130" s="904"/>
      <c r="Y130" s="905"/>
      <c r="Z130" s="903"/>
      <c r="AA130" s="904"/>
      <c r="AB130" s="904"/>
      <c r="AC130" s="905"/>
      <c r="AD130" s="903"/>
      <c r="AE130" s="904"/>
      <c r="AF130" s="904"/>
      <c r="AG130" s="905"/>
      <c r="AH130" s="1270"/>
      <c r="AI130" s="1271"/>
      <c r="AJ130" s="1271"/>
      <c r="AK130" s="1271"/>
      <c r="AL130" s="1272"/>
      <c r="AM130" s="186"/>
      <c r="AN130" s="1271"/>
      <c r="AO130" s="1271"/>
      <c r="AP130" s="1271"/>
      <c r="AQ130" s="1271"/>
      <c r="AR130" s="1272"/>
      <c r="AS130" s="35"/>
    </row>
    <row r="131" spans="1:45" ht="4.5" hidden="1" customHeight="1" thickBot="1">
      <c r="A131" s="1"/>
      <c r="B131" s="1"/>
      <c r="C131" s="880"/>
      <c r="D131" s="6"/>
      <c r="E131" s="6"/>
      <c r="F131" s="6"/>
      <c r="G131" s="6"/>
      <c r="H131" s="6"/>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36"/>
    </row>
    <row r="132" spans="1:45" ht="4.5" hidden="1" customHeight="1">
      <c r="A132" s="1"/>
      <c r="B132" s="1"/>
      <c r="C132" s="1262" t="s">
        <v>27</v>
      </c>
      <c r="D132" s="628"/>
      <c r="E132" s="928"/>
      <c r="F132" s="928"/>
      <c r="G132" s="928"/>
      <c r="H132" s="928"/>
      <c r="I132" s="928"/>
      <c r="J132" s="928"/>
      <c r="K132" s="928"/>
      <c r="L132" s="928"/>
      <c r="M132" s="928"/>
      <c r="N132" s="928"/>
      <c r="O132" s="928"/>
      <c r="P132" s="928"/>
      <c r="Q132" s="928"/>
      <c r="R132" s="928"/>
      <c r="S132" s="928"/>
      <c r="T132" s="928"/>
      <c r="U132" s="928"/>
      <c r="V132" s="928"/>
      <c r="W132" s="928"/>
      <c r="X132" s="928"/>
      <c r="Y132" s="928"/>
      <c r="Z132" s="928"/>
      <c r="AA132" s="928"/>
      <c r="AB132" s="928"/>
      <c r="AC132" s="928"/>
      <c r="AD132" s="928"/>
      <c r="AE132" s="928"/>
      <c r="AF132" s="928"/>
      <c r="AG132" s="928"/>
      <c r="AH132" s="928"/>
      <c r="AI132" s="928"/>
      <c r="AJ132" s="928"/>
      <c r="AK132" s="928"/>
      <c r="AL132" s="928"/>
      <c r="AM132" s="928"/>
      <c r="AN132" s="928"/>
      <c r="AO132" s="928"/>
      <c r="AP132" s="928"/>
      <c r="AQ132" s="928"/>
      <c r="AR132" s="928"/>
      <c r="AS132" s="629"/>
    </row>
    <row r="133" spans="1:45" ht="12.75" hidden="1" customHeight="1">
      <c r="A133" s="1"/>
      <c r="B133" s="1"/>
      <c r="C133" s="1262"/>
      <c r="D133" s="3"/>
      <c r="E133" s="1265" t="s">
        <v>433</v>
      </c>
      <c r="F133" s="1266"/>
      <c r="G133" s="1266"/>
      <c r="H133" s="1266"/>
      <c r="I133" s="1266"/>
      <c r="J133" s="1266"/>
      <c r="K133" s="1266"/>
      <c r="L133" s="1266"/>
      <c r="M133" s="1266"/>
      <c r="N133" s="1266"/>
      <c r="O133" s="1266"/>
      <c r="P133" s="1266"/>
      <c r="Q133" s="1266"/>
      <c r="R133" s="1266"/>
      <c r="S133" s="1266"/>
      <c r="T133" s="1266"/>
      <c r="U133" s="1266"/>
      <c r="V133" s="1290"/>
      <c r="W133" s="1112" t="s">
        <v>438</v>
      </c>
      <c r="X133" s="1113"/>
      <c r="Y133" s="1113"/>
      <c r="Z133" s="1113"/>
      <c r="AA133" s="1113"/>
      <c r="AB133" s="1113"/>
      <c r="AC133" s="1113"/>
      <c r="AD133" s="1113"/>
      <c r="AE133" s="1113"/>
      <c r="AF133" s="1113"/>
      <c r="AG133" s="1113"/>
      <c r="AH133" s="1113"/>
      <c r="AI133" s="1113"/>
      <c r="AJ133" s="1291"/>
      <c r="AK133" s="1115" t="s">
        <v>437</v>
      </c>
      <c r="AL133" s="1115"/>
      <c r="AM133" s="1115"/>
      <c r="AN133" s="1115"/>
      <c r="AO133" s="1115"/>
      <c r="AP133" s="1115"/>
      <c r="AQ133" s="1115"/>
      <c r="AR133" s="1116"/>
      <c r="AS133" s="639"/>
    </row>
    <row r="134" spans="1:45" ht="12.75" hidden="1" customHeight="1">
      <c r="A134" s="1"/>
      <c r="B134" s="1"/>
      <c r="C134" s="1262"/>
      <c r="D134" s="3"/>
      <c r="E134" s="1287" t="s">
        <v>205</v>
      </c>
      <c r="F134" s="1288"/>
      <c r="G134" s="1288"/>
      <c r="H134" s="1288"/>
      <c r="I134" s="1288"/>
      <c r="J134" s="1288"/>
      <c r="K134" s="1288"/>
      <c r="L134" s="1288"/>
      <c r="M134" s="1288"/>
      <c r="N134" s="1288"/>
      <c r="O134" s="1288"/>
      <c r="P134" s="1288"/>
      <c r="Q134" s="1288"/>
      <c r="R134" s="1288"/>
      <c r="S134" s="1288"/>
      <c r="T134" s="1288"/>
      <c r="U134" s="1288"/>
      <c r="V134" s="1289"/>
      <c r="W134" s="1201" t="s">
        <v>440</v>
      </c>
      <c r="X134" s="1202"/>
      <c r="Y134" s="1202"/>
      <c r="Z134" s="1203"/>
      <c r="AA134" s="1112" t="s">
        <v>439</v>
      </c>
      <c r="AB134" s="1113"/>
      <c r="AC134" s="1114"/>
      <c r="AD134" s="1112" t="s">
        <v>434</v>
      </c>
      <c r="AE134" s="1113"/>
      <c r="AF134" s="1114"/>
      <c r="AG134" s="1112" t="s">
        <v>113</v>
      </c>
      <c r="AH134" s="1014"/>
      <c r="AI134" s="1014"/>
      <c r="AJ134" s="1117"/>
      <c r="AK134" s="1113" t="s">
        <v>435</v>
      </c>
      <c r="AL134" s="1014"/>
      <c r="AM134" s="1015"/>
      <c r="AN134" s="1112" t="s">
        <v>420</v>
      </c>
      <c r="AO134" s="1113"/>
      <c r="AP134" s="1114"/>
      <c r="AQ134" s="1112" t="s">
        <v>417</v>
      </c>
      <c r="AR134" s="1114"/>
      <c r="AS134" s="37"/>
    </row>
    <row r="135" spans="1:45" ht="12.75" hidden="1" customHeight="1">
      <c r="A135" s="1"/>
      <c r="B135" s="1"/>
      <c r="C135" s="1262"/>
      <c r="D135" s="3"/>
      <c r="E135" s="1162" t="e">
        <f>#REF!</f>
        <v>#REF!</v>
      </c>
      <c r="F135" s="1163"/>
      <c r="G135" s="1163"/>
      <c r="H135" s="1163"/>
      <c r="I135" s="1163"/>
      <c r="J135" s="1163"/>
      <c r="K135" s="1163"/>
      <c r="L135" s="1163"/>
      <c r="M135" s="1163"/>
      <c r="N135" s="1163"/>
      <c r="O135" s="1163"/>
      <c r="P135" s="1163"/>
      <c r="Q135" s="1163"/>
      <c r="R135" s="1163"/>
      <c r="S135" s="1163"/>
      <c r="T135" s="1163"/>
      <c r="U135" s="1163"/>
      <c r="V135" s="1187"/>
      <c r="W135" s="1010" t="e">
        <f>#REF!</f>
        <v>#REF!</v>
      </c>
      <c r="X135" s="1008"/>
      <c r="Y135" s="1008"/>
      <c r="Z135" s="1009"/>
      <c r="AA135" s="1010" t="e">
        <f>#REF!</f>
        <v>#REF!</v>
      </c>
      <c r="AB135" s="1008"/>
      <c r="AC135" s="1009"/>
      <c r="AD135" s="1010" t="e">
        <f>#REF!</f>
        <v>#REF!</v>
      </c>
      <c r="AE135" s="1008"/>
      <c r="AF135" s="1009"/>
      <c r="AG135" s="1010" t="e">
        <f>#REF!</f>
        <v>#REF!</v>
      </c>
      <c r="AH135" s="1014"/>
      <c r="AI135" s="1014"/>
      <c r="AJ135" s="1117"/>
      <c r="AK135" s="1008" t="e">
        <f>#REF!</f>
        <v>#REF!</v>
      </c>
      <c r="AL135" s="1014"/>
      <c r="AM135" s="1015"/>
      <c r="AN135" s="1010" t="e">
        <f>#REF!</f>
        <v>#REF!</v>
      </c>
      <c r="AO135" s="1008"/>
      <c r="AP135" s="1009"/>
      <c r="AQ135" s="1031" t="e">
        <f>IF(AG135=0,0,AK135/AG135)</f>
        <v>#REF!</v>
      </c>
      <c r="AR135" s="1032"/>
      <c r="AS135" s="37"/>
    </row>
    <row r="136" spans="1:45" ht="12.75" hidden="1" customHeight="1">
      <c r="A136" s="1"/>
      <c r="B136" s="1"/>
      <c r="C136" s="1262"/>
      <c r="D136" s="3"/>
      <c r="E136" s="1162" t="e">
        <f>#REF!</f>
        <v>#REF!</v>
      </c>
      <c r="F136" s="1163"/>
      <c r="G136" s="1163"/>
      <c r="H136" s="1163"/>
      <c r="I136" s="1163"/>
      <c r="J136" s="1163"/>
      <c r="K136" s="1163"/>
      <c r="L136" s="1163"/>
      <c r="M136" s="1163"/>
      <c r="N136" s="1163"/>
      <c r="O136" s="1163"/>
      <c r="P136" s="1163"/>
      <c r="Q136" s="1163"/>
      <c r="R136" s="1163"/>
      <c r="S136" s="1163"/>
      <c r="T136" s="1163"/>
      <c r="U136" s="1163"/>
      <c r="V136" s="1187"/>
      <c r="W136" s="1010" t="e">
        <f>#REF!</f>
        <v>#REF!</v>
      </c>
      <c r="X136" s="1008"/>
      <c r="Y136" s="1008"/>
      <c r="Z136" s="1009"/>
      <c r="AA136" s="1010" t="e">
        <f>#REF!</f>
        <v>#REF!</v>
      </c>
      <c r="AB136" s="1008"/>
      <c r="AC136" s="1009"/>
      <c r="AD136" s="1010" t="e">
        <f>#REF!</f>
        <v>#REF!</v>
      </c>
      <c r="AE136" s="1008"/>
      <c r="AF136" s="1009"/>
      <c r="AG136" s="1010" t="e">
        <f>#REF!</f>
        <v>#REF!</v>
      </c>
      <c r="AH136" s="1014"/>
      <c r="AI136" s="1014"/>
      <c r="AJ136" s="1117"/>
      <c r="AK136" s="1008" t="e">
        <f>#REF!</f>
        <v>#REF!</v>
      </c>
      <c r="AL136" s="1014"/>
      <c r="AM136" s="1015"/>
      <c r="AN136" s="1010" t="e">
        <f>#REF!</f>
        <v>#REF!</v>
      </c>
      <c r="AO136" s="1008"/>
      <c r="AP136" s="1009"/>
      <c r="AQ136" s="1031" t="e">
        <f>IF(AG136=0,0,AK136/AG136)</f>
        <v>#REF!</v>
      </c>
      <c r="AR136" s="1032"/>
      <c r="AS136" s="37"/>
    </row>
    <row r="137" spans="1:45" ht="12.75" hidden="1" customHeight="1">
      <c r="A137" s="1"/>
      <c r="B137" s="1"/>
      <c r="C137" s="1262"/>
      <c r="D137" s="3"/>
      <c r="E137" s="1162" t="e">
        <f>#REF!</f>
        <v>#REF!</v>
      </c>
      <c r="F137" s="1163"/>
      <c r="G137" s="1163"/>
      <c r="H137" s="1163"/>
      <c r="I137" s="1163"/>
      <c r="J137" s="1163"/>
      <c r="K137" s="1163"/>
      <c r="L137" s="1163"/>
      <c r="M137" s="1163"/>
      <c r="N137" s="1163"/>
      <c r="O137" s="1163"/>
      <c r="P137" s="1163"/>
      <c r="Q137" s="1163"/>
      <c r="R137" s="1163"/>
      <c r="S137" s="1163"/>
      <c r="T137" s="1163"/>
      <c r="U137" s="1163"/>
      <c r="V137" s="1187"/>
      <c r="W137" s="1010" t="e">
        <f>#REF!</f>
        <v>#REF!</v>
      </c>
      <c r="X137" s="1008"/>
      <c r="Y137" s="1008"/>
      <c r="Z137" s="1009"/>
      <c r="AA137" s="1010" t="e">
        <f>#REF!</f>
        <v>#REF!</v>
      </c>
      <c r="AB137" s="1008"/>
      <c r="AC137" s="1009"/>
      <c r="AD137" s="1010" t="e">
        <f>#REF!</f>
        <v>#REF!</v>
      </c>
      <c r="AE137" s="1008"/>
      <c r="AF137" s="1009"/>
      <c r="AG137" s="1010" t="e">
        <f>#REF!</f>
        <v>#REF!</v>
      </c>
      <c r="AH137" s="1014"/>
      <c r="AI137" s="1014"/>
      <c r="AJ137" s="1117"/>
      <c r="AK137" s="1008" t="e">
        <f>#REF!</f>
        <v>#REF!</v>
      </c>
      <c r="AL137" s="1014"/>
      <c r="AM137" s="1015"/>
      <c r="AN137" s="1010" t="e">
        <f>#REF!</f>
        <v>#REF!</v>
      </c>
      <c r="AO137" s="1008"/>
      <c r="AP137" s="1009"/>
      <c r="AQ137" s="1031" t="e">
        <f>IF(AG137=0,0,AK137/AG137)</f>
        <v>#REF!</v>
      </c>
      <c r="AR137" s="1032"/>
      <c r="AS137" s="37"/>
    </row>
    <row r="138" spans="1:45" ht="12.75" hidden="1" customHeight="1">
      <c r="A138" s="1"/>
      <c r="B138" s="1"/>
      <c r="C138" s="1262"/>
      <c r="D138" s="3"/>
      <c r="E138" s="1162" t="e">
        <f>#REF!</f>
        <v>#REF!</v>
      </c>
      <c r="F138" s="1163"/>
      <c r="G138" s="1163"/>
      <c r="H138" s="1163"/>
      <c r="I138" s="1163"/>
      <c r="J138" s="1163"/>
      <c r="K138" s="1163"/>
      <c r="L138" s="1163"/>
      <c r="M138" s="1163"/>
      <c r="N138" s="1163"/>
      <c r="O138" s="1163"/>
      <c r="P138" s="1163"/>
      <c r="Q138" s="1163"/>
      <c r="R138" s="1163"/>
      <c r="S138" s="1163"/>
      <c r="T138" s="1163"/>
      <c r="U138" s="1163"/>
      <c r="V138" s="1187"/>
      <c r="W138" s="1010" t="e">
        <f>#REF!</f>
        <v>#REF!</v>
      </c>
      <c r="X138" s="1008"/>
      <c r="Y138" s="1008"/>
      <c r="Z138" s="1009"/>
      <c r="AA138" s="1010" t="e">
        <f>#REF!</f>
        <v>#REF!</v>
      </c>
      <c r="AB138" s="1008"/>
      <c r="AC138" s="1009"/>
      <c r="AD138" s="1010" t="e">
        <f>#REF!</f>
        <v>#REF!</v>
      </c>
      <c r="AE138" s="1008"/>
      <c r="AF138" s="1009"/>
      <c r="AG138" s="1010" t="e">
        <f>#REF!</f>
        <v>#REF!</v>
      </c>
      <c r="AH138" s="1014"/>
      <c r="AI138" s="1014"/>
      <c r="AJ138" s="1117"/>
      <c r="AK138" s="1008" t="e">
        <f>#REF!</f>
        <v>#REF!</v>
      </c>
      <c r="AL138" s="1014"/>
      <c r="AM138" s="1015"/>
      <c r="AN138" s="1010" t="e">
        <f>#REF!</f>
        <v>#REF!</v>
      </c>
      <c r="AO138" s="1008"/>
      <c r="AP138" s="1009"/>
      <c r="AQ138" s="1031" t="e">
        <f>IF(AG138=0,0,AK138/AG138)</f>
        <v>#REF!</v>
      </c>
      <c r="AR138" s="1032"/>
      <c r="AS138" s="37"/>
    </row>
    <row r="139" spans="1:45" ht="12.75" hidden="1" customHeight="1">
      <c r="A139" s="1"/>
      <c r="B139" s="1"/>
      <c r="C139" s="1262"/>
      <c r="D139" s="3"/>
      <c r="E139" s="1162" t="e">
        <f>#REF!</f>
        <v>#REF!</v>
      </c>
      <c r="F139" s="1163"/>
      <c r="G139" s="1163"/>
      <c r="H139" s="1163"/>
      <c r="I139" s="1163"/>
      <c r="J139" s="1163"/>
      <c r="K139" s="1163"/>
      <c r="L139" s="1163"/>
      <c r="M139" s="1163"/>
      <c r="N139" s="1163"/>
      <c r="O139" s="1163"/>
      <c r="P139" s="1163"/>
      <c r="Q139" s="1163"/>
      <c r="R139" s="1163"/>
      <c r="S139" s="1163"/>
      <c r="T139" s="1163"/>
      <c r="U139" s="1163"/>
      <c r="V139" s="1187"/>
      <c r="W139" s="1010" t="e">
        <f>#REF!</f>
        <v>#REF!</v>
      </c>
      <c r="X139" s="1008"/>
      <c r="Y139" s="1008"/>
      <c r="Z139" s="1009"/>
      <c r="AA139" s="1010" t="e">
        <f>#REF!</f>
        <v>#REF!</v>
      </c>
      <c r="AB139" s="1008"/>
      <c r="AC139" s="1009"/>
      <c r="AD139" s="1010" t="e">
        <f>#REF!</f>
        <v>#REF!</v>
      </c>
      <c r="AE139" s="1008"/>
      <c r="AF139" s="1009"/>
      <c r="AG139" s="1010" t="e">
        <f>#REF!</f>
        <v>#REF!</v>
      </c>
      <c r="AH139" s="1014"/>
      <c r="AI139" s="1014"/>
      <c r="AJ139" s="1117"/>
      <c r="AK139" s="1008" t="e">
        <f>#REF!</f>
        <v>#REF!</v>
      </c>
      <c r="AL139" s="1014"/>
      <c r="AM139" s="1015"/>
      <c r="AN139" s="1010" t="e">
        <f>#REF!</f>
        <v>#REF!</v>
      </c>
      <c r="AO139" s="1008"/>
      <c r="AP139" s="1009"/>
      <c r="AQ139" s="1031" t="e">
        <f>IF(AG139=0,0,AK139/AG139)</f>
        <v>#REF!</v>
      </c>
      <c r="AR139" s="1032"/>
      <c r="AS139" s="37"/>
    </row>
    <row r="140" spans="1:45" ht="12.75" hidden="1" customHeight="1">
      <c r="A140" s="1"/>
      <c r="B140" s="1"/>
      <c r="C140" s="1263"/>
      <c r="D140" s="47"/>
      <c r="E140" s="1162" t="s">
        <v>210</v>
      </c>
      <c r="F140" s="1163"/>
      <c r="G140" s="1163"/>
      <c r="H140" s="1163"/>
      <c r="I140" s="1163"/>
      <c r="J140" s="1163"/>
      <c r="K140" s="1163"/>
      <c r="L140" s="1163"/>
      <c r="M140" s="1163"/>
      <c r="N140" s="1163"/>
      <c r="O140" s="1163"/>
      <c r="P140" s="1163"/>
      <c r="Q140" s="1163"/>
      <c r="R140" s="1163"/>
      <c r="S140" s="1163"/>
      <c r="T140" s="1163"/>
      <c r="U140" s="1163"/>
      <c r="V140" s="1187"/>
      <c r="W140" s="1010" t="e">
        <f>SUM(W135:Z139)</f>
        <v>#REF!</v>
      </c>
      <c r="X140" s="1008"/>
      <c r="Y140" s="1008"/>
      <c r="Z140" s="1009"/>
      <c r="AA140" s="1011" t="e">
        <f>SUM(AA135:AC139)</f>
        <v>#REF!</v>
      </c>
      <c r="AB140" s="1012"/>
      <c r="AC140" s="1013"/>
      <c r="AD140" s="1010" t="e">
        <f>SUM(AD135:AF139)</f>
        <v>#REF!</v>
      </c>
      <c r="AE140" s="1008"/>
      <c r="AF140" s="1009"/>
      <c r="AG140" s="1033" t="e">
        <f>SUM(AG135:AJ139)</f>
        <v>#REF!</v>
      </c>
      <c r="AH140" s="1285"/>
      <c r="AI140" s="1285"/>
      <c r="AJ140" s="1286"/>
      <c r="AK140" s="1008" t="e">
        <f>SUM(AK135:AM139)</f>
        <v>#REF!</v>
      </c>
      <c r="AL140" s="1014"/>
      <c r="AM140" s="1015"/>
      <c r="AN140" s="1010" t="e">
        <f>SUM(AN135:AP139)</f>
        <v>#REF!</v>
      </c>
      <c r="AO140" s="1008"/>
      <c r="AP140" s="1009"/>
      <c r="AQ140" s="1031" t="e">
        <f>SUM(AQ135:AR139)</f>
        <v>#REF!</v>
      </c>
      <c r="AR140" s="1032"/>
      <c r="AS140" s="37"/>
    </row>
    <row r="141" spans="1:45" ht="3" hidden="1" customHeight="1" thickBot="1">
      <c r="A141" s="1"/>
      <c r="B141" s="1"/>
      <c r="C141" s="1264"/>
      <c r="D141" s="5"/>
      <c r="E141" s="1192"/>
      <c r="F141" s="1192"/>
      <c r="G141" s="1192"/>
      <c r="H141" s="1192"/>
      <c r="I141" s="1192"/>
      <c r="J141" s="1192"/>
      <c r="K141" s="1192"/>
      <c r="L141" s="1192"/>
      <c r="M141" s="1192"/>
      <c r="N141" s="1192"/>
      <c r="O141" s="1192"/>
      <c r="P141" s="1192"/>
      <c r="Q141" s="1192"/>
      <c r="R141" s="1192"/>
      <c r="S141" s="1192"/>
      <c r="T141" s="1192"/>
      <c r="U141" s="1192"/>
      <c r="V141" s="1192"/>
      <c r="W141" s="1192"/>
      <c r="X141" s="1192"/>
      <c r="Y141" s="1192"/>
      <c r="Z141" s="1192"/>
      <c r="AA141" s="1192"/>
      <c r="AB141" s="1192"/>
      <c r="AC141" s="1192"/>
      <c r="AD141" s="1192"/>
      <c r="AE141" s="1192"/>
      <c r="AF141" s="1192"/>
      <c r="AG141" s="1192"/>
      <c r="AH141" s="1192"/>
      <c r="AI141" s="1192"/>
      <c r="AJ141" s="1192"/>
      <c r="AK141" s="1192"/>
      <c r="AL141" s="1192"/>
      <c r="AM141" s="1192"/>
      <c r="AN141" s="1192"/>
      <c r="AO141" s="1192"/>
      <c r="AP141" s="1192"/>
      <c r="AQ141" s="1192"/>
      <c r="AR141" s="1192"/>
      <c r="AS141" s="7"/>
    </row>
    <row r="142" spans="1:45" ht="6" hidden="1" customHeight="1">
      <c r="A142" s="1"/>
      <c r="B142" s="1"/>
      <c r="C142" s="1247" t="s">
        <v>633</v>
      </c>
      <c r="D142" s="3"/>
      <c r="E142" s="928"/>
      <c r="F142" s="928"/>
      <c r="G142" s="928"/>
      <c r="H142" s="928"/>
      <c r="I142" s="928"/>
      <c r="J142" s="928"/>
      <c r="K142" s="928"/>
      <c r="L142" s="928"/>
      <c r="M142" s="928"/>
      <c r="N142" s="928"/>
      <c r="O142" s="928"/>
      <c r="P142" s="928"/>
      <c r="Q142" s="928"/>
      <c r="R142" s="928"/>
      <c r="S142" s="928"/>
      <c r="T142" s="928"/>
      <c r="U142" s="928"/>
      <c r="V142" s="928"/>
      <c r="W142" s="928"/>
      <c r="X142" s="928"/>
      <c r="Y142" s="928"/>
      <c r="Z142" s="928"/>
      <c r="AA142" s="928"/>
      <c r="AB142" s="928"/>
      <c r="AC142" s="928"/>
      <c r="AD142" s="928"/>
      <c r="AE142" s="928"/>
      <c r="AF142" s="928"/>
      <c r="AG142" s="928"/>
      <c r="AH142" s="928"/>
      <c r="AI142" s="928"/>
      <c r="AJ142" s="928"/>
      <c r="AK142" s="928"/>
      <c r="AL142" s="928"/>
      <c r="AM142" s="928"/>
      <c r="AN142" s="928"/>
      <c r="AO142" s="928"/>
      <c r="AP142" s="928"/>
      <c r="AQ142" s="928"/>
      <c r="AR142" s="928"/>
      <c r="AS142" s="37"/>
    </row>
    <row r="143" spans="1:45" ht="12.75" hidden="1" customHeight="1">
      <c r="A143" s="1"/>
      <c r="B143" s="1"/>
      <c r="C143" s="1248"/>
      <c r="D143" s="3"/>
      <c r="E143" s="1250" t="s">
        <v>28</v>
      </c>
      <c r="F143" s="1251"/>
      <c r="G143" s="1251"/>
      <c r="H143" s="1251"/>
      <c r="I143" s="1251"/>
      <c r="J143" s="1251"/>
      <c r="K143" s="1251"/>
      <c r="L143" s="1251"/>
      <c r="M143" s="1251"/>
      <c r="N143" s="1251"/>
      <c r="O143" s="1251"/>
      <c r="P143" s="1251"/>
      <c r="Q143" s="1251"/>
      <c r="R143" s="1251"/>
      <c r="S143" s="1251"/>
      <c r="T143" s="1251"/>
      <c r="U143" s="1251"/>
      <c r="V143" s="1252"/>
      <c r="W143" s="1016" t="s">
        <v>195</v>
      </c>
      <c r="X143" s="1017"/>
      <c r="Y143" s="1017"/>
      <c r="Z143" s="1017"/>
      <c r="AA143" s="1017"/>
      <c r="AB143" s="1017"/>
      <c r="AC143" s="1017"/>
      <c r="AD143" s="1017"/>
      <c r="AE143" s="1017"/>
      <c r="AF143" s="1017"/>
      <c r="AG143" s="1017"/>
      <c r="AH143" s="1017"/>
      <c r="AI143" s="1017"/>
      <c r="AJ143" s="1017"/>
      <c r="AK143" s="1017"/>
      <c r="AL143" s="1017"/>
      <c r="AM143" s="1017"/>
      <c r="AN143" s="1159">
        <v>0</v>
      </c>
      <c r="AO143" s="1160"/>
      <c r="AP143" s="1160"/>
      <c r="AQ143" s="1160"/>
      <c r="AR143" s="1161"/>
      <c r="AS143" s="38"/>
    </row>
    <row r="144" spans="1:45" ht="12.75" hidden="1" customHeight="1">
      <c r="A144" s="1"/>
      <c r="B144" s="1"/>
      <c r="C144" s="1248"/>
      <c r="D144" s="3"/>
      <c r="E144" s="1253"/>
      <c r="F144" s="1254"/>
      <c r="G144" s="1254"/>
      <c r="H144" s="1254"/>
      <c r="I144" s="1254"/>
      <c r="J144" s="1254"/>
      <c r="K144" s="1254"/>
      <c r="L144" s="1254"/>
      <c r="M144" s="1254"/>
      <c r="N144" s="1254"/>
      <c r="O144" s="1254"/>
      <c r="P144" s="1254"/>
      <c r="Q144" s="1254"/>
      <c r="R144" s="1254"/>
      <c r="S144" s="1254"/>
      <c r="T144" s="1254"/>
      <c r="U144" s="1254"/>
      <c r="V144" s="1255"/>
      <c r="W144" s="1112" t="s">
        <v>436</v>
      </c>
      <c r="X144" s="1113"/>
      <c r="Y144" s="1113"/>
      <c r="Z144" s="1113"/>
      <c r="AA144" s="1113"/>
      <c r="AB144" s="1113"/>
      <c r="AC144" s="1113"/>
      <c r="AD144" s="1113"/>
      <c r="AE144" s="1113"/>
      <c r="AF144" s="1113"/>
      <c r="AG144" s="1113"/>
      <c r="AH144" s="1113"/>
      <c r="AI144" s="1113"/>
      <c r="AJ144" s="1113"/>
      <c r="AK144" s="1113"/>
      <c r="AL144" s="1113"/>
      <c r="AM144" s="1113"/>
      <c r="AN144" s="1113"/>
      <c r="AO144" s="1113"/>
      <c r="AP144" s="1113"/>
      <c r="AQ144" s="1113"/>
      <c r="AR144" s="1114"/>
      <c r="AS144" s="38"/>
    </row>
    <row r="145" spans="1:49" ht="12.75" hidden="1" customHeight="1">
      <c r="A145" s="1"/>
      <c r="B145" s="1"/>
      <c r="C145" s="1248"/>
      <c r="D145" s="2" t="s">
        <v>680</v>
      </c>
      <c r="E145" s="1259" t="s">
        <v>681</v>
      </c>
      <c r="F145" s="1260"/>
      <c r="G145" s="1260"/>
      <c r="H145" s="1261"/>
      <c r="I145" s="1259" t="s">
        <v>204</v>
      </c>
      <c r="J145" s="1260"/>
      <c r="K145" s="1260"/>
      <c r="L145" s="1260"/>
      <c r="M145" s="1260"/>
      <c r="N145" s="1260"/>
      <c r="O145" s="1260"/>
      <c r="P145" s="1260"/>
      <c r="Q145" s="1260"/>
      <c r="R145" s="1260"/>
      <c r="S145" s="1260"/>
      <c r="T145" s="1260"/>
      <c r="U145" s="1260"/>
      <c r="V145" s="1261"/>
      <c r="W145" s="1112" t="s">
        <v>441</v>
      </c>
      <c r="X145" s="1113"/>
      <c r="Y145" s="1113"/>
      <c r="Z145" s="1114"/>
      <c r="AA145" s="1112" t="s">
        <v>436</v>
      </c>
      <c r="AB145" s="1113"/>
      <c r="AC145" s="1114"/>
      <c r="AD145" s="1112" t="s">
        <v>440</v>
      </c>
      <c r="AE145" s="1113"/>
      <c r="AF145" s="1114"/>
      <c r="AG145" s="1112" t="s">
        <v>439</v>
      </c>
      <c r="AH145" s="1014"/>
      <c r="AI145" s="1014"/>
      <c r="AJ145" s="1015"/>
      <c r="AK145" s="1113" t="s">
        <v>434</v>
      </c>
      <c r="AL145" s="1113"/>
      <c r="AM145" s="1114"/>
      <c r="AN145" s="1112" t="s">
        <v>113</v>
      </c>
      <c r="AO145" s="1113"/>
      <c r="AP145" s="1114"/>
      <c r="AQ145" s="1112" t="s">
        <v>417</v>
      </c>
      <c r="AR145" s="1114"/>
      <c r="AS145" s="37"/>
    </row>
    <row r="146" spans="1:49" ht="12.75" hidden="1" customHeight="1">
      <c r="A146" s="1"/>
      <c r="B146" s="1"/>
      <c r="C146" s="1248"/>
      <c r="D146" s="3" t="e">
        <f t="shared" ref="D146:D152" ca="1" si="9">IF(E146&lt;&gt;"Choisir…",INDEX(OFFSET(Fin_Autre,,-1,,),MATCH(E146,Fin_Autre,0)),"")</f>
        <v>#N/A</v>
      </c>
      <c r="E146" s="1162" t="s">
        <v>211</v>
      </c>
      <c r="F146" s="1163"/>
      <c r="G146" s="1163"/>
      <c r="H146" s="1187"/>
      <c r="I146" s="1162" t="s">
        <v>29</v>
      </c>
      <c r="J146" s="1163"/>
      <c r="K146" s="1163"/>
      <c r="L146" s="1163"/>
      <c r="M146" s="1163"/>
      <c r="N146" s="1163"/>
      <c r="O146" s="1163"/>
      <c r="P146" s="1163"/>
      <c r="Q146" s="1163"/>
      <c r="R146" s="1163"/>
      <c r="S146" s="1163"/>
      <c r="T146" s="1163"/>
      <c r="U146" s="1163"/>
      <c r="V146" s="1187"/>
      <c r="W146" s="1256" t="s">
        <v>442</v>
      </c>
      <c r="X146" s="1257"/>
      <c r="Y146" s="1257"/>
      <c r="Z146" s="1258"/>
      <c r="AA146" s="1010" t="e">
        <f>#REF!+#REF!+#REF!+#REF!+#REF!</f>
        <v>#REF!</v>
      </c>
      <c r="AB146" s="1008"/>
      <c r="AC146" s="1009"/>
      <c r="AD146" s="1010"/>
      <c r="AE146" s="1008"/>
      <c r="AF146" s="1009"/>
      <c r="AG146" s="1010"/>
      <c r="AH146" s="1014"/>
      <c r="AI146" s="1014"/>
      <c r="AJ146" s="1015"/>
      <c r="AK146" s="1008"/>
      <c r="AL146" s="1008"/>
      <c r="AM146" s="1009"/>
      <c r="AN146" s="1010" t="e">
        <f>SUM(AA146:AM146)</f>
        <v>#REF!</v>
      </c>
      <c r="AO146" s="1008"/>
      <c r="AP146" s="1009"/>
      <c r="AQ146" s="1031" t="e">
        <f t="shared" ref="AQ146:AQ152" si="10">IF(AN$153=0,0,AN146/AN$153)</f>
        <v>#REF!</v>
      </c>
      <c r="AR146" s="1032"/>
      <c r="AS146" s="37"/>
      <c r="AU146" s="1284"/>
      <c r="AV146" s="1284"/>
      <c r="AW146" s="1284"/>
    </row>
    <row r="147" spans="1:49" ht="12.75" hidden="1" customHeight="1">
      <c r="A147" s="1"/>
      <c r="B147" s="1"/>
      <c r="C147" s="1248"/>
      <c r="D147" s="3">
        <f t="shared" ca="1" si="9"/>
        <v>15</v>
      </c>
      <c r="E147" s="1162" t="s">
        <v>203</v>
      </c>
      <c r="F147" s="1163"/>
      <c r="G147" s="1163"/>
      <c r="H147" s="1187"/>
      <c r="I147" s="1162" t="str">
        <f>IF(I14="","",I14)</f>
        <v/>
      </c>
      <c r="J147" s="1163"/>
      <c r="K147" s="1163"/>
      <c r="L147" s="1163"/>
      <c r="M147" s="1163"/>
      <c r="N147" s="1163"/>
      <c r="O147" s="1163"/>
      <c r="P147" s="1163"/>
      <c r="Q147" s="1163"/>
      <c r="R147" s="1163"/>
      <c r="S147" s="1163"/>
      <c r="T147" s="1163"/>
      <c r="U147" s="1163"/>
      <c r="V147" s="1187"/>
      <c r="W147" s="1271" t="s">
        <v>194</v>
      </c>
      <c r="X147" s="1271"/>
      <c r="Y147" s="1271"/>
      <c r="Z147" s="1272"/>
      <c r="AA147" s="1010" t="e">
        <f>#REF!+#REF!+#REF!+#REF!+#REF!</f>
        <v>#REF!</v>
      </c>
      <c r="AB147" s="1008"/>
      <c r="AC147" s="1009"/>
      <c r="AD147" s="1010" t="e">
        <f>#REF!+#REF!+#REF!+#REF!+#REF!</f>
        <v>#REF!</v>
      </c>
      <c r="AE147" s="1008"/>
      <c r="AF147" s="1009"/>
      <c r="AG147" s="1010" t="e">
        <f>#REF!+#REF!+#REF!+#REF!+#REF!</f>
        <v>#REF!</v>
      </c>
      <c r="AH147" s="1014"/>
      <c r="AI147" s="1014"/>
      <c r="AJ147" s="1015"/>
      <c r="AK147" s="1008" t="e">
        <f>#REF!+#REF!+#REF!+#REF!+#REF!</f>
        <v>#REF!</v>
      </c>
      <c r="AL147" s="1008"/>
      <c r="AM147" s="1009"/>
      <c r="AN147" s="1010" t="e">
        <f t="shared" ref="AN147:AN152" si="11">SUM(AA147:AM147)</f>
        <v>#REF!</v>
      </c>
      <c r="AO147" s="1008"/>
      <c r="AP147" s="1009"/>
      <c r="AQ147" s="1031" t="e">
        <f t="shared" si="10"/>
        <v>#REF!</v>
      </c>
      <c r="AR147" s="1032"/>
      <c r="AS147" s="37"/>
      <c r="AU147" s="1284"/>
      <c r="AV147" s="1284"/>
      <c r="AW147" s="1284"/>
    </row>
    <row r="148" spans="1:49" ht="12.75" hidden="1" customHeight="1">
      <c r="A148" s="1"/>
      <c r="B148" s="1"/>
      <c r="C148" s="1248"/>
      <c r="D148" s="3" t="str">
        <f t="shared" ca="1" si="9"/>
        <v/>
      </c>
      <c r="E148" s="943" t="s">
        <v>173</v>
      </c>
      <c r="F148" s="944"/>
      <c r="G148" s="944"/>
      <c r="H148" s="945"/>
      <c r="I148" s="943"/>
      <c r="J148" s="944"/>
      <c r="K148" s="944"/>
      <c r="L148" s="944"/>
      <c r="M148" s="944"/>
      <c r="N148" s="944"/>
      <c r="O148" s="944"/>
      <c r="P148" s="944"/>
      <c r="Q148" s="944"/>
      <c r="R148" s="944"/>
      <c r="S148" s="944"/>
      <c r="T148" s="944"/>
      <c r="U148" s="944"/>
      <c r="V148" s="945"/>
      <c r="W148" s="922" t="s">
        <v>173</v>
      </c>
      <c r="X148" s="923"/>
      <c r="Y148" s="923"/>
      <c r="Z148" s="924"/>
      <c r="AA148" s="1010" t="e">
        <f>#REF!+#REF!+#REF!+#REF!+#REF!</f>
        <v>#REF!</v>
      </c>
      <c r="AB148" s="1008"/>
      <c r="AC148" s="1009"/>
      <c r="AD148" s="1010" t="e">
        <f>#REF!+#REF!+#REF!+#REF!+#REF!</f>
        <v>#REF!</v>
      </c>
      <c r="AE148" s="1008"/>
      <c r="AF148" s="1009"/>
      <c r="AG148" s="1010" t="e">
        <f>#REF!+#REF!+#REF!+#REF!+#REF!</f>
        <v>#REF!</v>
      </c>
      <c r="AH148" s="1014"/>
      <c r="AI148" s="1014"/>
      <c r="AJ148" s="1015"/>
      <c r="AK148" s="1008" t="e">
        <f>#REF!+#REF!+#REF!+#REF!+#REF!</f>
        <v>#REF!</v>
      </c>
      <c r="AL148" s="1008"/>
      <c r="AM148" s="1009"/>
      <c r="AN148" s="1010" t="e">
        <f t="shared" si="11"/>
        <v>#REF!</v>
      </c>
      <c r="AO148" s="1008"/>
      <c r="AP148" s="1009"/>
      <c r="AQ148" s="1031" t="e">
        <f t="shared" si="10"/>
        <v>#REF!</v>
      </c>
      <c r="AR148" s="1032"/>
      <c r="AS148" s="37"/>
      <c r="AU148" s="1284"/>
      <c r="AV148" s="1284"/>
      <c r="AW148" s="1284"/>
    </row>
    <row r="149" spans="1:49" ht="12.75" hidden="1" customHeight="1">
      <c r="A149" s="1"/>
      <c r="B149" s="1"/>
      <c r="C149" s="1248"/>
      <c r="D149" s="3" t="str">
        <f t="shared" ca="1" si="9"/>
        <v/>
      </c>
      <c r="E149" s="943" t="s">
        <v>173</v>
      </c>
      <c r="F149" s="944"/>
      <c r="G149" s="944"/>
      <c r="H149" s="945"/>
      <c r="I149" s="943"/>
      <c r="J149" s="944"/>
      <c r="K149" s="944"/>
      <c r="L149" s="944"/>
      <c r="M149" s="944"/>
      <c r="N149" s="944"/>
      <c r="O149" s="944"/>
      <c r="P149" s="944"/>
      <c r="Q149" s="944"/>
      <c r="R149" s="944"/>
      <c r="S149" s="944"/>
      <c r="T149" s="944"/>
      <c r="U149" s="944"/>
      <c r="V149" s="945"/>
      <c r="W149" s="922" t="s">
        <v>173</v>
      </c>
      <c r="X149" s="923"/>
      <c r="Y149" s="923"/>
      <c r="Z149" s="924"/>
      <c r="AA149" s="1010" t="e">
        <f>#REF!+#REF!+#REF!+#REF!+#REF!</f>
        <v>#REF!</v>
      </c>
      <c r="AB149" s="1008"/>
      <c r="AC149" s="1009"/>
      <c r="AD149" s="1010" t="e">
        <f>#REF!+#REF!+#REF!+#REF!+#REF!</f>
        <v>#REF!</v>
      </c>
      <c r="AE149" s="1008"/>
      <c r="AF149" s="1009"/>
      <c r="AG149" s="1010" t="e">
        <f>#REF!+#REF!+#REF!+#REF!+#REF!</f>
        <v>#REF!</v>
      </c>
      <c r="AH149" s="1014"/>
      <c r="AI149" s="1014"/>
      <c r="AJ149" s="1015"/>
      <c r="AK149" s="1008" t="e">
        <f>#REF!+#REF!+#REF!+#REF!+#REF!</f>
        <v>#REF!</v>
      </c>
      <c r="AL149" s="1008"/>
      <c r="AM149" s="1009"/>
      <c r="AN149" s="1010" t="e">
        <f t="shared" si="11"/>
        <v>#REF!</v>
      </c>
      <c r="AO149" s="1008"/>
      <c r="AP149" s="1009"/>
      <c r="AQ149" s="1031" t="e">
        <f t="shared" si="10"/>
        <v>#REF!</v>
      </c>
      <c r="AR149" s="1032"/>
      <c r="AS149" s="37"/>
      <c r="AU149" s="1284"/>
      <c r="AV149" s="1284"/>
      <c r="AW149" s="1284"/>
    </row>
    <row r="150" spans="1:49" ht="12.75" hidden="1" customHeight="1">
      <c r="A150" s="1"/>
      <c r="B150" s="1"/>
      <c r="C150" s="1248"/>
      <c r="D150" s="3" t="str">
        <f t="shared" ca="1" si="9"/>
        <v/>
      </c>
      <c r="E150" s="943" t="s">
        <v>173</v>
      </c>
      <c r="F150" s="944"/>
      <c r="G150" s="944"/>
      <c r="H150" s="945"/>
      <c r="I150" s="943"/>
      <c r="J150" s="944"/>
      <c r="K150" s="944"/>
      <c r="L150" s="944"/>
      <c r="M150" s="944"/>
      <c r="N150" s="944"/>
      <c r="O150" s="944"/>
      <c r="P150" s="944"/>
      <c r="Q150" s="944"/>
      <c r="R150" s="944"/>
      <c r="S150" s="944"/>
      <c r="T150" s="944"/>
      <c r="U150" s="944"/>
      <c r="V150" s="945"/>
      <c r="W150" s="922" t="s">
        <v>173</v>
      </c>
      <c r="X150" s="923"/>
      <c r="Y150" s="923"/>
      <c r="Z150" s="924"/>
      <c r="AA150" s="1010" t="e">
        <f>#REF!+#REF!+#REF!+#REF!+#REF!</f>
        <v>#REF!</v>
      </c>
      <c r="AB150" s="1008"/>
      <c r="AC150" s="1009"/>
      <c r="AD150" s="1010" t="e">
        <f>#REF!+#REF!+#REF!+#REF!+#REF!</f>
        <v>#REF!</v>
      </c>
      <c r="AE150" s="1008"/>
      <c r="AF150" s="1009"/>
      <c r="AG150" s="1010" t="e">
        <f>#REF!+#REF!+#REF!+#REF!+#REF!</f>
        <v>#REF!</v>
      </c>
      <c r="AH150" s="1014"/>
      <c r="AI150" s="1014"/>
      <c r="AJ150" s="1015"/>
      <c r="AK150" s="1008" t="e">
        <f>#REF!+#REF!+#REF!+#REF!+#REF!</f>
        <v>#REF!</v>
      </c>
      <c r="AL150" s="1008"/>
      <c r="AM150" s="1009"/>
      <c r="AN150" s="1010" t="e">
        <f t="shared" si="11"/>
        <v>#REF!</v>
      </c>
      <c r="AO150" s="1008"/>
      <c r="AP150" s="1009"/>
      <c r="AQ150" s="1031" t="e">
        <f t="shared" si="10"/>
        <v>#REF!</v>
      </c>
      <c r="AR150" s="1032"/>
      <c r="AS150" s="37"/>
      <c r="AU150" s="1284"/>
      <c r="AV150" s="1284"/>
      <c r="AW150" s="1284"/>
    </row>
    <row r="151" spans="1:49" ht="12.75" hidden="1" customHeight="1">
      <c r="A151" s="1"/>
      <c r="B151" s="1"/>
      <c r="C151" s="1249"/>
      <c r="D151" s="3" t="str">
        <f t="shared" ca="1" si="9"/>
        <v/>
      </c>
      <c r="E151" s="943" t="s">
        <v>173</v>
      </c>
      <c r="F151" s="944"/>
      <c r="G151" s="944"/>
      <c r="H151" s="945"/>
      <c r="I151" s="943"/>
      <c r="J151" s="944"/>
      <c r="K151" s="944"/>
      <c r="L151" s="944"/>
      <c r="M151" s="944"/>
      <c r="N151" s="944"/>
      <c r="O151" s="944"/>
      <c r="P151" s="944"/>
      <c r="Q151" s="944"/>
      <c r="R151" s="944"/>
      <c r="S151" s="944"/>
      <c r="T151" s="944"/>
      <c r="U151" s="944"/>
      <c r="V151" s="945"/>
      <c r="W151" s="922" t="s">
        <v>173</v>
      </c>
      <c r="X151" s="923"/>
      <c r="Y151" s="923"/>
      <c r="Z151" s="924"/>
      <c r="AA151" s="1010" t="e">
        <f>#REF!+#REF!+#REF!+#REF!+#REF!</f>
        <v>#REF!</v>
      </c>
      <c r="AB151" s="1008"/>
      <c r="AC151" s="1009"/>
      <c r="AD151" s="1010" t="e">
        <f>#REF!+#REF!+#REF!+#REF!+#REF!</f>
        <v>#REF!</v>
      </c>
      <c r="AE151" s="1008"/>
      <c r="AF151" s="1009"/>
      <c r="AG151" s="1010" t="e">
        <f>#REF!+#REF!+#REF!+#REF!+#REF!</f>
        <v>#REF!</v>
      </c>
      <c r="AH151" s="1014"/>
      <c r="AI151" s="1014"/>
      <c r="AJ151" s="1015"/>
      <c r="AK151" s="1008" t="e">
        <f>#REF!+#REF!+#REF!+#REF!+#REF!</f>
        <v>#REF!</v>
      </c>
      <c r="AL151" s="1008"/>
      <c r="AM151" s="1009"/>
      <c r="AN151" s="1010" t="e">
        <f t="shared" si="11"/>
        <v>#REF!</v>
      </c>
      <c r="AO151" s="1008"/>
      <c r="AP151" s="1009"/>
      <c r="AQ151" s="1031" t="e">
        <f t="shared" si="10"/>
        <v>#REF!</v>
      </c>
      <c r="AR151" s="1032"/>
      <c r="AS151" s="37"/>
      <c r="AU151" s="1284"/>
      <c r="AV151" s="1284"/>
      <c r="AW151" s="1284"/>
    </row>
    <row r="152" spans="1:49" ht="12.75" hidden="1" customHeight="1">
      <c r="A152" s="1"/>
      <c r="B152" s="1"/>
      <c r="C152" s="1249"/>
      <c r="D152" s="3" t="str">
        <f t="shared" ca="1" si="9"/>
        <v/>
      </c>
      <c r="E152" s="943" t="s">
        <v>173</v>
      </c>
      <c r="F152" s="944"/>
      <c r="G152" s="944"/>
      <c r="H152" s="945"/>
      <c r="I152" s="943"/>
      <c r="J152" s="944"/>
      <c r="K152" s="944"/>
      <c r="L152" s="944"/>
      <c r="M152" s="944"/>
      <c r="N152" s="944"/>
      <c r="O152" s="944"/>
      <c r="P152" s="944"/>
      <c r="Q152" s="944"/>
      <c r="R152" s="944"/>
      <c r="S152" s="944"/>
      <c r="T152" s="944"/>
      <c r="U152" s="944"/>
      <c r="V152" s="945"/>
      <c r="W152" s="922" t="s">
        <v>173</v>
      </c>
      <c r="X152" s="923"/>
      <c r="Y152" s="923"/>
      <c r="Z152" s="924"/>
      <c r="AA152" s="1010" t="e">
        <f>#REF!+#REF!+#REF!+#REF!+#REF!</f>
        <v>#REF!</v>
      </c>
      <c r="AB152" s="1008"/>
      <c r="AC152" s="1009"/>
      <c r="AD152" s="1010" t="e">
        <f>#REF!+#REF!+#REF!+#REF!+#REF!</f>
        <v>#REF!</v>
      </c>
      <c r="AE152" s="1008"/>
      <c r="AF152" s="1009"/>
      <c r="AG152" s="1010" t="e">
        <f>#REF!+#REF!+#REF!+#REF!+#REF!</f>
        <v>#REF!</v>
      </c>
      <c r="AH152" s="1014"/>
      <c r="AI152" s="1014"/>
      <c r="AJ152" s="1015"/>
      <c r="AK152" s="1008" t="e">
        <f>#REF!+#REF!+#REF!+#REF!+#REF!</f>
        <v>#REF!</v>
      </c>
      <c r="AL152" s="1008"/>
      <c r="AM152" s="1009"/>
      <c r="AN152" s="1010" t="e">
        <f t="shared" si="11"/>
        <v>#REF!</v>
      </c>
      <c r="AO152" s="1008"/>
      <c r="AP152" s="1009"/>
      <c r="AQ152" s="1031" t="e">
        <f t="shared" si="10"/>
        <v>#REF!</v>
      </c>
      <c r="AR152" s="1032"/>
      <c r="AS152" s="37"/>
      <c r="AU152" s="1284"/>
      <c r="AV152" s="1284"/>
      <c r="AW152" s="1284"/>
    </row>
    <row r="153" spans="1:49" ht="12.75" hidden="1" customHeight="1">
      <c r="A153" s="1"/>
      <c r="B153" s="1"/>
      <c r="C153" s="1249"/>
      <c r="D153" s="47"/>
      <c r="E153" s="1023" t="s">
        <v>209</v>
      </c>
      <c r="F153" s="1024"/>
      <c r="G153" s="1024"/>
      <c r="H153" s="1024"/>
      <c r="I153" s="1024"/>
      <c r="J153" s="1024"/>
      <c r="K153" s="1024"/>
      <c r="L153" s="1024"/>
      <c r="M153" s="1024"/>
      <c r="N153" s="1024"/>
      <c r="O153" s="1024"/>
      <c r="P153" s="1024"/>
      <c r="Q153" s="1024"/>
      <c r="R153" s="1024"/>
      <c r="S153" s="1024"/>
      <c r="T153" s="1024"/>
      <c r="U153" s="1024"/>
      <c r="V153" s="1024"/>
      <c r="W153" s="1024"/>
      <c r="X153" s="1024"/>
      <c r="Y153" s="1024"/>
      <c r="Z153" s="1025"/>
      <c r="AA153" s="1011" t="e">
        <f>SUM(AA148:AC152)</f>
        <v>#REF!</v>
      </c>
      <c r="AB153" s="1012"/>
      <c r="AC153" s="1013"/>
      <c r="AD153" s="1010" t="e">
        <f>SUM(AD146:AF152)</f>
        <v>#REF!</v>
      </c>
      <c r="AE153" s="1008"/>
      <c r="AF153" s="1009"/>
      <c r="AG153" s="1010" t="e">
        <f>SUM(AG146:AJ152)</f>
        <v>#REF!</v>
      </c>
      <c r="AH153" s="1014"/>
      <c r="AI153" s="1014"/>
      <c r="AJ153" s="1015"/>
      <c r="AK153" s="1008" t="e">
        <f>SUM(AK148:AM152)</f>
        <v>#REF!</v>
      </c>
      <c r="AL153" s="1008"/>
      <c r="AM153" s="1009"/>
      <c r="AN153" s="1033" t="e">
        <f>SUM(AN146:AP152)</f>
        <v>#REF!</v>
      </c>
      <c r="AO153" s="1034"/>
      <c r="AP153" s="1035"/>
      <c r="AQ153" s="1031" t="e">
        <f>SUM(AQ146:AR152)</f>
        <v>#REF!</v>
      </c>
      <c r="AR153" s="1032"/>
      <c r="AS153" s="37"/>
    </row>
    <row r="154" spans="1:49" ht="3.75" hidden="1" customHeight="1" thickBot="1">
      <c r="A154" s="1"/>
      <c r="B154" s="1"/>
      <c r="C154" s="1249"/>
      <c r="D154" s="5"/>
      <c r="E154" s="1192"/>
      <c r="F154" s="1192"/>
      <c r="G154" s="1192"/>
      <c r="H154" s="1192"/>
      <c r="I154" s="1192"/>
      <c r="J154" s="1192"/>
      <c r="K154" s="1192"/>
      <c r="L154" s="1192"/>
      <c r="M154" s="1192"/>
      <c r="N154" s="1192"/>
      <c r="O154" s="1192"/>
      <c r="P154" s="1192"/>
      <c r="Q154" s="1192"/>
      <c r="R154" s="1192"/>
      <c r="S154" s="1192"/>
      <c r="T154" s="1192"/>
      <c r="U154" s="1192"/>
      <c r="V154" s="1192"/>
      <c r="W154" s="1192"/>
      <c r="X154" s="1192"/>
      <c r="Y154" s="1192"/>
      <c r="Z154" s="1192"/>
      <c r="AA154" s="1192"/>
      <c r="AB154" s="1192"/>
      <c r="AC154" s="1192"/>
      <c r="AD154" s="1192"/>
      <c r="AE154" s="1192"/>
      <c r="AF154" s="1192"/>
      <c r="AG154" s="1192"/>
      <c r="AH154" s="1192"/>
      <c r="AI154" s="1192"/>
      <c r="AJ154" s="1192"/>
      <c r="AK154" s="1192"/>
      <c r="AL154" s="1192"/>
      <c r="AM154" s="1192"/>
      <c r="AN154" s="1192"/>
      <c r="AO154" s="1192"/>
      <c r="AP154" s="1192"/>
      <c r="AQ154" s="1192"/>
      <c r="AR154" s="1192"/>
      <c r="AS154" s="7"/>
    </row>
    <row r="155" spans="1:49" ht="4.5" customHeight="1">
      <c r="A155" s="1"/>
      <c r="B155" s="1"/>
      <c r="C155" s="878" t="s">
        <v>5608</v>
      </c>
      <c r="D155" s="420"/>
      <c r="E155" s="1030"/>
      <c r="F155" s="1030"/>
      <c r="G155" s="1030"/>
      <c r="H155" s="1030"/>
      <c r="I155" s="1030"/>
      <c r="J155" s="1030"/>
      <c r="K155" s="1030"/>
      <c r="L155" s="1030"/>
      <c r="M155" s="1030"/>
      <c r="N155" s="1030"/>
      <c r="O155" s="1030"/>
      <c r="P155" s="1030"/>
      <c r="Q155" s="1030"/>
      <c r="R155" s="1030"/>
      <c r="S155" s="1030"/>
      <c r="T155" s="1030"/>
      <c r="U155" s="1030"/>
      <c r="V155" s="1030"/>
      <c r="W155" s="1030"/>
      <c r="X155" s="1030"/>
      <c r="Y155" s="1030"/>
      <c r="Z155" s="1030"/>
      <c r="AA155" s="1030"/>
      <c r="AB155" s="1030"/>
      <c r="AC155" s="1030"/>
      <c r="AD155" s="1030"/>
      <c r="AE155" s="1030"/>
      <c r="AF155" s="1030"/>
      <c r="AG155" s="1030"/>
      <c r="AH155" s="1030"/>
      <c r="AI155" s="1030"/>
      <c r="AJ155" s="1030"/>
      <c r="AK155" s="1030"/>
      <c r="AL155" s="1030"/>
      <c r="AM155" s="1030"/>
      <c r="AN155" s="1030"/>
      <c r="AO155" s="1030"/>
      <c r="AP155" s="1030"/>
      <c r="AQ155" s="1030"/>
      <c r="AR155" s="1030"/>
      <c r="AS155" s="640"/>
    </row>
    <row r="156" spans="1:49" ht="12.75" customHeight="1">
      <c r="A156" s="1"/>
      <c r="B156" s="1"/>
      <c r="C156" s="879"/>
      <c r="D156" s="423"/>
      <c r="E156" s="1026" t="s">
        <v>771</v>
      </c>
      <c r="F156" s="1027"/>
      <c r="G156" s="1027"/>
      <c r="H156" s="1027"/>
      <c r="I156" s="1028" t="str">
        <f>IF(Data!B58=FALSE,"(remplissez l'onglet Rapport détaillé des coûts)","")</f>
        <v>(remplissez l'onglet Rapport détaillé des coûts)</v>
      </c>
      <c r="J156" s="1028"/>
      <c r="K156" s="1028"/>
      <c r="L156" s="1028"/>
      <c r="M156" s="1028"/>
      <c r="N156" s="1028"/>
      <c r="O156" s="1028"/>
      <c r="P156" s="1028"/>
      <c r="Q156" s="1028"/>
      <c r="R156" s="1029"/>
      <c r="S156" s="998" t="s">
        <v>905</v>
      </c>
      <c r="T156" s="999"/>
      <c r="U156" s="999"/>
      <c r="V156" s="999"/>
      <c r="W156" s="999"/>
      <c r="X156" s="999"/>
      <c r="Y156" s="999"/>
      <c r="Z156" s="999"/>
      <c r="AA156" s="999"/>
      <c r="AB156" s="999"/>
      <c r="AC156" s="999"/>
      <c r="AD156" s="999"/>
      <c r="AE156" s="1000"/>
      <c r="AF156" s="1171" t="s">
        <v>906</v>
      </c>
      <c r="AG156" s="1172"/>
      <c r="AH156" s="1172"/>
      <c r="AI156" s="1172"/>
      <c r="AJ156" s="1172"/>
      <c r="AK156" s="1172"/>
      <c r="AL156" s="1172"/>
      <c r="AM156" s="1172"/>
      <c r="AN156" s="1172"/>
      <c r="AO156" s="1172"/>
      <c r="AP156" s="1172"/>
      <c r="AQ156" s="1172"/>
      <c r="AR156" s="1173"/>
      <c r="AS156" s="641"/>
    </row>
    <row r="157" spans="1:49" ht="12.75" customHeight="1">
      <c r="A157" s="1"/>
      <c r="B157" s="1"/>
      <c r="C157" s="879"/>
      <c r="D157" s="423"/>
      <c r="E157" s="642" t="s">
        <v>205</v>
      </c>
      <c r="F157" s="643"/>
      <c r="G157" s="643"/>
      <c r="H157" s="643"/>
      <c r="I157" s="643"/>
      <c r="J157" s="643"/>
      <c r="K157" s="643"/>
      <c r="L157" s="643"/>
      <c r="M157" s="643"/>
      <c r="N157" s="643"/>
      <c r="O157" s="643"/>
      <c r="P157" s="643"/>
      <c r="Q157" s="643"/>
      <c r="R157" s="643"/>
      <c r="S157" s="918" t="s">
        <v>207</v>
      </c>
      <c r="T157" s="919"/>
      <c r="U157" s="919"/>
      <c r="V157" s="920"/>
      <c r="W157" s="918" t="s">
        <v>208</v>
      </c>
      <c r="X157" s="919"/>
      <c r="Y157" s="919"/>
      <c r="Z157" s="919"/>
      <c r="AA157" s="920"/>
      <c r="AB157" s="998" t="s">
        <v>113</v>
      </c>
      <c r="AC157" s="999"/>
      <c r="AD157" s="999"/>
      <c r="AE157" s="1000"/>
      <c r="AF157" s="918" t="s">
        <v>207</v>
      </c>
      <c r="AG157" s="919"/>
      <c r="AH157" s="919"/>
      <c r="AI157" s="919"/>
      <c r="AJ157" s="920"/>
      <c r="AK157" s="918" t="s">
        <v>208</v>
      </c>
      <c r="AL157" s="919"/>
      <c r="AM157" s="919"/>
      <c r="AN157" s="920"/>
      <c r="AO157" s="998" t="s">
        <v>113</v>
      </c>
      <c r="AP157" s="999"/>
      <c r="AQ157" s="999"/>
      <c r="AR157" s="1000"/>
      <c r="AS157" s="474"/>
    </row>
    <row r="158" spans="1:49" ht="12.75" customHeight="1">
      <c r="A158" s="1"/>
      <c r="B158" s="1"/>
      <c r="C158" s="879"/>
      <c r="D158" s="423"/>
      <c r="E158" s="1162" t="str">
        <f>'3 Rapport détaillé des coûts'!C16</f>
        <v>A. Acquisition équipement/matériel</v>
      </c>
      <c r="F158" s="1163"/>
      <c r="G158" s="1163"/>
      <c r="H158" s="1163"/>
      <c r="I158" s="1163"/>
      <c r="J158" s="1163"/>
      <c r="K158" s="1163"/>
      <c r="L158" s="1163"/>
      <c r="M158" s="1163"/>
      <c r="N158" s="1163"/>
      <c r="O158" s="1163"/>
      <c r="P158" s="1163"/>
      <c r="Q158" s="1163"/>
      <c r="R158" s="1163"/>
      <c r="S158" s="1003">
        <f>'3 Rapport détaillé des coûts'!G28</f>
        <v>0</v>
      </c>
      <c r="T158" s="1004"/>
      <c r="U158" s="1004"/>
      <c r="V158" s="1004"/>
      <c r="W158" s="1003">
        <f>'3 Rapport détaillé des coûts'!H28</f>
        <v>0</v>
      </c>
      <c r="X158" s="1004"/>
      <c r="Y158" s="1004"/>
      <c r="Z158" s="1004"/>
      <c r="AA158" s="1020"/>
      <c r="AB158" s="1150">
        <f t="shared" ref="AB158:AB163" si="12">S158+W158</f>
        <v>0</v>
      </c>
      <c r="AC158" s="1150"/>
      <c r="AD158" s="1150"/>
      <c r="AE158" s="1150"/>
      <c r="AF158" s="1003">
        <f>'3 Rapport détaillé des coûts'!J28</f>
        <v>0</v>
      </c>
      <c r="AG158" s="1004"/>
      <c r="AH158" s="1004"/>
      <c r="AI158" s="1004"/>
      <c r="AJ158" s="1004"/>
      <c r="AK158" s="1003">
        <f>'3 Rapport détaillé des coûts'!K28</f>
        <v>0</v>
      </c>
      <c r="AL158" s="1004"/>
      <c r="AM158" s="1004"/>
      <c r="AN158" s="1020"/>
      <c r="AO158" s="1150">
        <f t="shared" ref="AO158:AO163" si="13">AF158+AK158</f>
        <v>0</v>
      </c>
      <c r="AP158" s="1150"/>
      <c r="AQ158" s="1150"/>
      <c r="AR158" s="1151"/>
      <c r="AS158" s="474"/>
    </row>
    <row r="159" spans="1:49" ht="12.75" customHeight="1">
      <c r="A159" s="1"/>
      <c r="B159" s="1"/>
      <c r="C159" s="879"/>
      <c r="D159" s="423"/>
      <c r="E159" s="1162" t="str">
        <f>'3 Rapport détaillé des coûts'!C50</f>
        <v>B. Ingénierie ou services professionnels</v>
      </c>
      <c r="F159" s="1163"/>
      <c r="G159" s="1163"/>
      <c r="H159" s="1163"/>
      <c r="I159" s="1163"/>
      <c r="J159" s="1163"/>
      <c r="K159" s="1163"/>
      <c r="L159" s="1163"/>
      <c r="M159" s="1163"/>
      <c r="N159" s="1163"/>
      <c r="O159" s="1163"/>
      <c r="P159" s="1163"/>
      <c r="Q159" s="1163"/>
      <c r="R159" s="1163"/>
      <c r="S159" s="1003">
        <f>'3 Rapport détaillé des coûts'!G56</f>
        <v>0</v>
      </c>
      <c r="T159" s="1004"/>
      <c r="U159" s="1004"/>
      <c r="V159" s="1004"/>
      <c r="W159" s="1003">
        <f>'3 Rapport détaillé des coûts'!H56</f>
        <v>0</v>
      </c>
      <c r="X159" s="1004"/>
      <c r="Y159" s="1004"/>
      <c r="Z159" s="1004"/>
      <c r="AA159" s="1020"/>
      <c r="AB159" s="1150">
        <f t="shared" si="12"/>
        <v>0</v>
      </c>
      <c r="AC159" s="1150"/>
      <c r="AD159" s="1150"/>
      <c r="AE159" s="1150"/>
      <c r="AF159" s="1003">
        <f>'3 Rapport détaillé des coûts'!J56</f>
        <v>0</v>
      </c>
      <c r="AG159" s="1004"/>
      <c r="AH159" s="1004"/>
      <c r="AI159" s="1004"/>
      <c r="AJ159" s="1004"/>
      <c r="AK159" s="1003">
        <f>'3 Rapport détaillé des coûts'!K56</f>
        <v>0</v>
      </c>
      <c r="AL159" s="1004"/>
      <c r="AM159" s="1004"/>
      <c r="AN159" s="1020"/>
      <c r="AO159" s="1150">
        <f t="shared" si="13"/>
        <v>0</v>
      </c>
      <c r="AP159" s="1150"/>
      <c r="AQ159" s="1150"/>
      <c r="AR159" s="1151"/>
      <c r="AS159" s="474"/>
    </row>
    <row r="160" spans="1:49" ht="12.75" customHeight="1">
      <c r="A160" s="1"/>
      <c r="B160" s="1"/>
      <c r="C160" s="879"/>
      <c r="D160" s="423"/>
      <c r="E160" s="1162" t="str">
        <f>'3 Rapport détaillé des coûts'!C58</f>
        <v>C. Installation et mise en fonction</v>
      </c>
      <c r="F160" s="1163"/>
      <c r="G160" s="1163"/>
      <c r="H160" s="1163"/>
      <c r="I160" s="1163"/>
      <c r="J160" s="1163"/>
      <c r="K160" s="1163"/>
      <c r="L160" s="1163"/>
      <c r="M160" s="1163"/>
      <c r="N160" s="1163"/>
      <c r="O160" s="1163"/>
      <c r="P160" s="1163"/>
      <c r="Q160" s="1163"/>
      <c r="R160" s="1163"/>
      <c r="S160" s="1003">
        <f>'3 Rapport détaillé des coûts'!G64</f>
        <v>0</v>
      </c>
      <c r="T160" s="1004"/>
      <c r="U160" s="1004"/>
      <c r="V160" s="1004"/>
      <c r="W160" s="1003">
        <f>'3 Rapport détaillé des coûts'!H64</f>
        <v>0</v>
      </c>
      <c r="X160" s="1004"/>
      <c r="Y160" s="1004"/>
      <c r="Z160" s="1004"/>
      <c r="AA160" s="1020"/>
      <c r="AB160" s="1150">
        <f t="shared" si="12"/>
        <v>0</v>
      </c>
      <c r="AC160" s="1150"/>
      <c r="AD160" s="1150"/>
      <c r="AE160" s="1150"/>
      <c r="AF160" s="1003">
        <f>'3 Rapport détaillé des coûts'!J64</f>
        <v>0</v>
      </c>
      <c r="AG160" s="1004"/>
      <c r="AH160" s="1004"/>
      <c r="AI160" s="1004"/>
      <c r="AJ160" s="1004"/>
      <c r="AK160" s="1003">
        <f>'3 Rapport détaillé des coûts'!K64</f>
        <v>0</v>
      </c>
      <c r="AL160" s="1004"/>
      <c r="AM160" s="1004"/>
      <c r="AN160" s="1020"/>
      <c r="AO160" s="1150">
        <f t="shared" si="13"/>
        <v>0</v>
      </c>
      <c r="AP160" s="1150"/>
      <c r="AQ160" s="1150"/>
      <c r="AR160" s="1151"/>
      <c r="AS160" s="474"/>
    </row>
    <row r="161" spans="1:45" ht="12.75" customHeight="1" thickBot="1">
      <c r="A161" s="1"/>
      <c r="B161" s="1"/>
      <c r="C161" s="879"/>
      <c r="D161" s="423"/>
      <c r="E161" s="1167" t="str">
        <f>'3 Rapport détaillé des coûts'!C66</f>
        <v>D. Contingences</v>
      </c>
      <c r="F161" s="1168"/>
      <c r="G161" s="1168"/>
      <c r="H161" s="1168"/>
      <c r="I161" s="1168"/>
      <c r="J161" s="1168"/>
      <c r="K161" s="1168"/>
      <c r="L161" s="1168"/>
      <c r="M161" s="1168"/>
      <c r="N161" s="1168"/>
      <c r="O161" s="1168"/>
      <c r="P161" s="1168"/>
      <c r="Q161" s="1168"/>
      <c r="R161" s="1168"/>
      <c r="S161" s="1021">
        <f>'3 Rapport détaillé des coûts'!G71</f>
        <v>0</v>
      </c>
      <c r="T161" s="921"/>
      <c r="U161" s="921"/>
      <c r="V161" s="921"/>
      <c r="W161" s="1021">
        <f>'3 Rapport détaillé des coûts'!H71</f>
        <v>0</v>
      </c>
      <c r="X161" s="921"/>
      <c r="Y161" s="921"/>
      <c r="Z161" s="921"/>
      <c r="AA161" s="1022"/>
      <c r="AB161" s="921">
        <f t="shared" si="12"/>
        <v>0</v>
      </c>
      <c r="AC161" s="921"/>
      <c r="AD161" s="921"/>
      <c r="AE161" s="921"/>
      <c r="AF161" s="1021">
        <f>'3 Rapport détaillé des coûts'!J71</f>
        <v>0</v>
      </c>
      <c r="AG161" s="921"/>
      <c r="AH161" s="921"/>
      <c r="AI161" s="921"/>
      <c r="AJ161" s="921"/>
      <c r="AK161" s="1021">
        <f>'3 Rapport détaillé des coûts'!K71</f>
        <v>0</v>
      </c>
      <c r="AL161" s="921"/>
      <c r="AM161" s="921"/>
      <c r="AN161" s="1022"/>
      <c r="AO161" s="921">
        <f t="shared" si="13"/>
        <v>0</v>
      </c>
      <c r="AP161" s="921"/>
      <c r="AQ161" s="921"/>
      <c r="AR161" s="1022"/>
      <c r="AS161" s="474"/>
    </row>
    <row r="162" spans="1:45" ht="12.75" hidden="1" customHeight="1">
      <c r="A162" s="1"/>
      <c r="B162" s="1"/>
      <c r="C162" s="879"/>
      <c r="D162" s="423"/>
      <c r="E162" s="1169"/>
      <c r="F162" s="1170"/>
      <c r="G162" s="1170"/>
      <c r="H162" s="1170"/>
      <c r="I162" s="1170"/>
      <c r="J162" s="1170"/>
      <c r="K162" s="1170"/>
      <c r="L162" s="1170"/>
      <c r="M162" s="1170"/>
      <c r="N162" s="1170"/>
      <c r="O162" s="1170"/>
      <c r="P162" s="1170"/>
      <c r="Q162" s="1170"/>
      <c r="R162" s="1170"/>
      <c r="S162" s="925">
        <v>0</v>
      </c>
      <c r="T162" s="926"/>
      <c r="U162" s="926"/>
      <c r="V162" s="926"/>
      <c r="W162" s="925">
        <v>0</v>
      </c>
      <c r="X162" s="926"/>
      <c r="Y162" s="926"/>
      <c r="Z162" s="926"/>
      <c r="AA162" s="927"/>
      <c r="AB162" s="890">
        <f t="shared" si="12"/>
        <v>0</v>
      </c>
      <c r="AC162" s="890"/>
      <c r="AD162" s="890"/>
      <c r="AE162" s="890"/>
      <c r="AF162" s="925">
        <v>0</v>
      </c>
      <c r="AG162" s="926"/>
      <c r="AH162" s="926"/>
      <c r="AI162" s="926"/>
      <c r="AJ162" s="926"/>
      <c r="AK162" s="925">
        <v>0</v>
      </c>
      <c r="AL162" s="926"/>
      <c r="AM162" s="926"/>
      <c r="AN162" s="927"/>
      <c r="AO162" s="890">
        <f t="shared" si="13"/>
        <v>0</v>
      </c>
      <c r="AP162" s="890"/>
      <c r="AQ162" s="890"/>
      <c r="AR162" s="891"/>
      <c r="AS162" s="474"/>
    </row>
    <row r="163" spans="1:45" ht="12.75" hidden="1" customHeight="1">
      <c r="A163" s="1"/>
      <c r="B163" s="1"/>
      <c r="C163" s="879"/>
      <c r="D163" s="423"/>
      <c r="E163" s="1162"/>
      <c r="F163" s="1163"/>
      <c r="G163" s="1163"/>
      <c r="H163" s="1163"/>
      <c r="I163" s="1163"/>
      <c r="J163" s="1163"/>
      <c r="K163" s="1163"/>
      <c r="L163" s="1163"/>
      <c r="M163" s="1163"/>
      <c r="N163" s="1163"/>
      <c r="O163" s="1163"/>
      <c r="P163" s="1163"/>
      <c r="Q163" s="1163"/>
      <c r="R163" s="1163"/>
      <c r="S163" s="1149">
        <v>0</v>
      </c>
      <c r="T163" s="1150"/>
      <c r="U163" s="1150"/>
      <c r="V163" s="1150"/>
      <c r="W163" s="1149">
        <v>0</v>
      </c>
      <c r="X163" s="1150"/>
      <c r="Y163" s="1150"/>
      <c r="Z163" s="1150"/>
      <c r="AA163" s="1151"/>
      <c r="AB163" s="1150">
        <f t="shared" si="12"/>
        <v>0</v>
      </c>
      <c r="AC163" s="1150"/>
      <c r="AD163" s="1150"/>
      <c r="AE163" s="1150"/>
      <c r="AF163" s="1149">
        <v>0</v>
      </c>
      <c r="AG163" s="1150"/>
      <c r="AH163" s="1150"/>
      <c r="AI163" s="1150"/>
      <c r="AJ163" s="1150"/>
      <c r="AK163" s="1149">
        <v>0</v>
      </c>
      <c r="AL163" s="1150"/>
      <c r="AM163" s="1150"/>
      <c r="AN163" s="1151"/>
      <c r="AO163" s="1150">
        <f t="shared" si="13"/>
        <v>0</v>
      </c>
      <c r="AP163" s="1150"/>
      <c r="AQ163" s="1150"/>
      <c r="AR163" s="1151"/>
      <c r="AS163" s="474"/>
    </row>
    <row r="164" spans="1:45">
      <c r="A164" s="1"/>
      <c r="B164" s="1"/>
      <c r="C164" s="879"/>
      <c r="D164" s="473"/>
      <c r="E164" s="915" t="s">
        <v>210</v>
      </c>
      <c r="F164" s="916"/>
      <c r="G164" s="916"/>
      <c r="H164" s="916"/>
      <c r="I164" s="916"/>
      <c r="J164" s="916"/>
      <c r="K164" s="916"/>
      <c r="L164" s="916"/>
      <c r="M164" s="916"/>
      <c r="N164" s="916"/>
      <c r="O164" s="916"/>
      <c r="P164" s="916"/>
      <c r="Q164" s="916"/>
      <c r="R164" s="917"/>
      <c r="S164" s="894">
        <f>SUM(S158:V163)</f>
        <v>0</v>
      </c>
      <c r="T164" s="895"/>
      <c r="U164" s="895"/>
      <c r="V164" s="896"/>
      <c r="W164" s="1176">
        <f>SUM(W158:AA163)</f>
        <v>0</v>
      </c>
      <c r="X164" s="1177"/>
      <c r="Y164" s="1177"/>
      <c r="Z164" s="1177"/>
      <c r="AA164" s="1178"/>
      <c r="AB164" s="895">
        <f>SUM(AB158:AE163)</f>
        <v>0</v>
      </c>
      <c r="AC164" s="895"/>
      <c r="AD164" s="895"/>
      <c r="AE164" s="896"/>
      <c r="AF164" s="894">
        <f>SUM(AF158:AJ163)</f>
        <v>0</v>
      </c>
      <c r="AG164" s="895"/>
      <c r="AH164" s="895"/>
      <c r="AI164" s="895"/>
      <c r="AJ164" s="896"/>
      <c r="AK164" s="894">
        <f>SUM(AK158:AN163)</f>
        <v>0</v>
      </c>
      <c r="AL164" s="895"/>
      <c r="AM164" s="895"/>
      <c r="AN164" s="896"/>
      <c r="AO164" s="895">
        <f>SUM(AN158:AR163)</f>
        <v>0</v>
      </c>
      <c r="AP164" s="895"/>
      <c r="AQ164" s="895"/>
      <c r="AR164" s="896"/>
      <c r="AS164" s="474"/>
    </row>
    <row r="165" spans="1:45" ht="13" thickBot="1">
      <c r="A165" s="1"/>
      <c r="B165" s="1"/>
      <c r="C165" s="880"/>
      <c r="D165" s="439"/>
      <c r="E165" s="893"/>
      <c r="F165" s="893"/>
      <c r="G165" s="893"/>
      <c r="H165" s="893"/>
      <c r="I165" s="893"/>
      <c r="J165" s="893"/>
      <c r="K165" s="893"/>
      <c r="L165" s="893"/>
      <c r="M165" s="893"/>
      <c r="N165" s="893"/>
      <c r="O165" s="893"/>
      <c r="P165" s="893"/>
      <c r="Q165" s="893"/>
      <c r="R165" s="893"/>
      <c r="S165" s="893"/>
      <c r="T165" s="893"/>
      <c r="U165" s="893"/>
      <c r="V165" s="893"/>
      <c r="W165" s="893"/>
      <c r="X165" s="893"/>
      <c r="Y165" s="893"/>
      <c r="Z165" s="893"/>
      <c r="AA165" s="893"/>
      <c r="AB165" s="893"/>
      <c r="AC165" s="893"/>
      <c r="AD165" s="893"/>
      <c r="AE165" s="893"/>
      <c r="AF165" s="893"/>
      <c r="AG165" s="893"/>
      <c r="AH165" s="893"/>
      <c r="AI165" s="893"/>
      <c r="AJ165" s="893"/>
      <c r="AK165" s="893"/>
      <c r="AL165" s="893"/>
      <c r="AM165" s="893"/>
      <c r="AN165" s="893"/>
      <c r="AO165" s="893"/>
      <c r="AP165" s="893"/>
      <c r="AQ165" s="893"/>
      <c r="AR165" s="893"/>
      <c r="AS165" s="426"/>
    </row>
    <row r="166" spans="1:45" ht="13" hidden="1" thickBot="1">
      <c r="A166" s="1"/>
      <c r="B166" s="1"/>
      <c r="C166" s="1144" t="s">
        <v>775</v>
      </c>
      <c r="D166" s="628"/>
      <c r="E166" s="928"/>
      <c r="F166" s="928"/>
      <c r="G166" s="928"/>
      <c r="H166" s="928"/>
      <c r="I166" s="928"/>
      <c r="J166" s="928"/>
      <c r="K166" s="928"/>
      <c r="L166" s="928"/>
      <c r="M166" s="928"/>
      <c r="N166" s="928"/>
      <c r="O166" s="928"/>
      <c r="P166" s="928"/>
      <c r="Q166" s="928"/>
      <c r="R166" s="928"/>
      <c r="S166" s="928"/>
      <c r="T166" s="928"/>
      <c r="U166" s="928"/>
      <c r="V166" s="928"/>
      <c r="W166" s="928"/>
      <c r="X166" s="928"/>
      <c r="Y166" s="928"/>
      <c r="Z166" s="928"/>
      <c r="AA166" s="928"/>
      <c r="AB166" s="928"/>
      <c r="AC166" s="928"/>
      <c r="AD166" s="928"/>
      <c r="AE166" s="928"/>
      <c r="AF166" s="928"/>
      <c r="AG166" s="928"/>
      <c r="AH166" s="928"/>
      <c r="AI166" s="928"/>
      <c r="AJ166" s="928"/>
      <c r="AK166" s="928"/>
      <c r="AL166" s="928"/>
      <c r="AM166" s="928"/>
      <c r="AN166" s="928"/>
      <c r="AO166" s="928"/>
      <c r="AP166" s="928"/>
      <c r="AQ166" s="928"/>
      <c r="AR166" s="928"/>
      <c r="AS166" s="644" t="b">
        <f>Data!E58</f>
        <v>0</v>
      </c>
    </row>
    <row r="167" spans="1:45" hidden="1">
      <c r="A167" s="1"/>
      <c r="B167" s="1"/>
      <c r="C167" s="1144"/>
      <c r="D167" s="2" t="str">
        <f>Data!AD30</f>
        <v/>
      </c>
      <c r="E167" s="1174" t="s">
        <v>781</v>
      </c>
      <c r="F167" s="1175"/>
      <c r="G167" s="1175"/>
      <c r="H167" s="1175"/>
      <c r="I167" s="1179" t="str">
        <f>IF(Data!B118=FALSE,"(remplir l'onglet rapport détaillé des coûts)","")</f>
        <v/>
      </c>
      <c r="J167" s="1179"/>
      <c r="K167" s="1179"/>
      <c r="L167" s="1179"/>
      <c r="M167" s="1179"/>
      <c r="N167" s="1179"/>
      <c r="O167" s="1179"/>
      <c r="P167" s="1179"/>
      <c r="Q167" s="1179"/>
      <c r="R167" s="1179"/>
      <c r="S167" s="929"/>
      <c r="T167" s="929"/>
      <c r="U167" s="929"/>
      <c r="V167" s="929"/>
      <c r="W167" s="892" t="s">
        <v>776</v>
      </c>
      <c r="X167" s="892"/>
      <c r="Y167" s="892"/>
      <c r="Z167" s="892"/>
      <c r="AA167" s="892"/>
      <c r="AB167" s="892"/>
      <c r="AC167" s="892"/>
      <c r="AD167" s="892"/>
      <c r="AE167" s="892"/>
      <c r="AF167" s="892"/>
      <c r="AG167" s="892"/>
      <c r="AH167" s="892"/>
      <c r="AI167" s="892"/>
      <c r="AJ167" s="892"/>
      <c r="AK167" s="929" t="s">
        <v>782</v>
      </c>
      <c r="AL167" s="929"/>
      <c r="AM167" s="929"/>
      <c r="AN167" s="929"/>
      <c r="AO167" s="645"/>
      <c r="AP167" s="646"/>
      <c r="AQ167" s="646"/>
      <c r="AR167" s="647"/>
      <c r="AS167" s="648" t="b">
        <f>Data!F60</f>
        <v>0</v>
      </c>
    </row>
    <row r="168" spans="1:45" hidden="1">
      <c r="A168" s="1"/>
      <c r="B168" s="1"/>
      <c r="C168" s="1144"/>
      <c r="D168" s="3" t="b">
        <f>Data!F60</f>
        <v>0</v>
      </c>
      <c r="E168" s="649"/>
      <c r="F168" s="650"/>
      <c r="G168" s="650"/>
      <c r="H168" s="650"/>
      <c r="I168" s="650"/>
      <c r="J168" s="650"/>
      <c r="K168" s="650"/>
      <c r="L168" s="650"/>
      <c r="M168" s="650"/>
      <c r="N168" s="650"/>
      <c r="O168" s="650"/>
      <c r="P168" s="650"/>
      <c r="Q168" s="650"/>
      <c r="R168" s="650"/>
      <c r="S168" s="929"/>
      <c r="T168" s="929"/>
      <c r="U168" s="929"/>
      <c r="V168" s="929"/>
      <c r="W168" s="1180" t="s">
        <v>207</v>
      </c>
      <c r="X168" s="1181"/>
      <c r="Y168" s="1181"/>
      <c r="Z168" s="1181"/>
      <c r="AA168" s="1182"/>
      <c r="AB168" s="892" t="s">
        <v>208</v>
      </c>
      <c r="AC168" s="892"/>
      <c r="AD168" s="892"/>
      <c r="AE168" s="892"/>
      <c r="AF168" s="892" t="s">
        <v>113</v>
      </c>
      <c r="AG168" s="892"/>
      <c r="AH168" s="892"/>
      <c r="AI168" s="892"/>
      <c r="AJ168" s="892"/>
      <c r="AK168" s="929"/>
      <c r="AL168" s="929"/>
      <c r="AM168" s="929"/>
      <c r="AN168" s="929"/>
      <c r="AO168" s="651"/>
      <c r="AP168" s="652"/>
      <c r="AQ168" s="652"/>
      <c r="AR168" s="653"/>
      <c r="AS168" s="37"/>
    </row>
    <row r="169" spans="1:45" hidden="1">
      <c r="A169" s="1"/>
      <c r="B169" s="1"/>
      <c r="C169" s="1144"/>
      <c r="D169" s="2" t="str">
        <f ca="1">IF(E169&lt;&gt;"Choisir…",INDEX(OFFSET(INDIRECT(Data!AD$30),,-1,,),MATCH(E169,INDIRECT(Data!AD$30),0)),"")</f>
        <v/>
      </c>
      <c r="E169" s="943" t="s">
        <v>173</v>
      </c>
      <c r="F169" s="944"/>
      <c r="G169" s="944"/>
      <c r="H169" s="944"/>
      <c r="I169" s="944"/>
      <c r="J169" s="944"/>
      <c r="K169" s="944"/>
      <c r="L169" s="944"/>
      <c r="M169" s="944"/>
      <c r="N169" s="944"/>
      <c r="O169" s="944"/>
      <c r="P169" s="944"/>
      <c r="Q169" s="944"/>
      <c r="R169" s="945"/>
      <c r="S169" s="942"/>
      <c r="T169" s="942"/>
      <c r="U169" s="942"/>
      <c r="V169" s="942"/>
      <c r="W169" s="889">
        <v>0</v>
      </c>
      <c r="X169" s="889"/>
      <c r="Y169" s="889"/>
      <c r="Z169" s="889"/>
      <c r="AA169" s="889"/>
      <c r="AB169" s="889">
        <v>0</v>
      </c>
      <c r="AC169" s="889"/>
      <c r="AD169" s="889"/>
      <c r="AE169" s="889"/>
      <c r="AF169" s="1152">
        <f t="shared" ref="AF169:AF175" si="14">W169+AB169</f>
        <v>0</v>
      </c>
      <c r="AG169" s="1153"/>
      <c r="AH169" s="1153"/>
      <c r="AI169" s="1153"/>
      <c r="AJ169" s="1154"/>
      <c r="AK169" s="889">
        <v>0</v>
      </c>
      <c r="AL169" s="889"/>
      <c r="AM169" s="889"/>
      <c r="AN169" s="889"/>
      <c r="AO169" s="933"/>
      <c r="AP169" s="934"/>
      <c r="AQ169" s="934"/>
      <c r="AR169" s="935"/>
      <c r="AS169" s="37"/>
    </row>
    <row r="170" spans="1:45" hidden="1">
      <c r="A170" s="1"/>
      <c r="B170" s="1"/>
      <c r="C170" s="1144"/>
      <c r="D170" s="2" t="str">
        <f ca="1">IF(E170&lt;&gt;"Choisir…",INDEX(OFFSET(INDIRECT(Data!AD$30),,-1,,),MATCH(E170,INDIRECT(Data!AD$30),0)),"")</f>
        <v/>
      </c>
      <c r="E170" s="943" t="s">
        <v>173</v>
      </c>
      <c r="F170" s="944"/>
      <c r="G170" s="944"/>
      <c r="H170" s="944"/>
      <c r="I170" s="944"/>
      <c r="J170" s="944"/>
      <c r="K170" s="944"/>
      <c r="L170" s="944"/>
      <c r="M170" s="944"/>
      <c r="N170" s="944"/>
      <c r="O170" s="944"/>
      <c r="P170" s="944"/>
      <c r="Q170" s="944"/>
      <c r="R170" s="945"/>
      <c r="S170" s="942"/>
      <c r="T170" s="942"/>
      <c r="U170" s="942"/>
      <c r="V170" s="942"/>
      <c r="W170" s="889">
        <v>0</v>
      </c>
      <c r="X170" s="889"/>
      <c r="Y170" s="889"/>
      <c r="Z170" s="889"/>
      <c r="AA170" s="889"/>
      <c r="AB170" s="889">
        <v>0</v>
      </c>
      <c r="AC170" s="889"/>
      <c r="AD170" s="889"/>
      <c r="AE170" s="889"/>
      <c r="AF170" s="1152">
        <f t="shared" si="14"/>
        <v>0</v>
      </c>
      <c r="AG170" s="1153"/>
      <c r="AH170" s="1153"/>
      <c r="AI170" s="1153"/>
      <c r="AJ170" s="1154"/>
      <c r="AK170" s="889">
        <v>0</v>
      </c>
      <c r="AL170" s="889"/>
      <c r="AM170" s="889"/>
      <c r="AN170" s="889"/>
      <c r="AO170" s="936"/>
      <c r="AP170" s="937"/>
      <c r="AQ170" s="937"/>
      <c r="AR170" s="938"/>
      <c r="AS170" s="37"/>
    </row>
    <row r="171" spans="1:45" hidden="1">
      <c r="A171" s="1"/>
      <c r="B171" s="1"/>
      <c r="C171" s="1144"/>
      <c r="D171" s="2" t="str">
        <f ca="1">IF(E171&lt;&gt;"Choisir…",INDEX(OFFSET(INDIRECT(Data!AD$30),,-1,,),MATCH(E171,INDIRECT(Data!AD$30),0)),"")</f>
        <v/>
      </c>
      <c r="E171" s="943" t="s">
        <v>173</v>
      </c>
      <c r="F171" s="944"/>
      <c r="G171" s="944"/>
      <c r="H171" s="944"/>
      <c r="I171" s="944"/>
      <c r="J171" s="944"/>
      <c r="K171" s="944"/>
      <c r="L171" s="944"/>
      <c r="M171" s="944"/>
      <c r="N171" s="944"/>
      <c r="O171" s="944"/>
      <c r="P171" s="944"/>
      <c r="Q171" s="944"/>
      <c r="R171" s="945"/>
      <c r="S171" s="942"/>
      <c r="T171" s="942"/>
      <c r="U171" s="942"/>
      <c r="V171" s="942"/>
      <c r="W171" s="889">
        <v>0</v>
      </c>
      <c r="X171" s="889"/>
      <c r="Y171" s="889"/>
      <c r="Z171" s="889"/>
      <c r="AA171" s="889"/>
      <c r="AB171" s="889">
        <v>0</v>
      </c>
      <c r="AC171" s="889"/>
      <c r="AD171" s="889"/>
      <c r="AE171" s="889"/>
      <c r="AF171" s="1152">
        <f t="shared" si="14"/>
        <v>0</v>
      </c>
      <c r="AG171" s="1153"/>
      <c r="AH171" s="1153"/>
      <c r="AI171" s="1153"/>
      <c r="AJ171" s="1154"/>
      <c r="AK171" s="889">
        <v>0</v>
      </c>
      <c r="AL171" s="889"/>
      <c r="AM171" s="889"/>
      <c r="AN171" s="889"/>
      <c r="AO171" s="936"/>
      <c r="AP171" s="937"/>
      <c r="AQ171" s="937"/>
      <c r="AR171" s="938"/>
      <c r="AS171" s="37"/>
    </row>
    <row r="172" spans="1:45" hidden="1">
      <c r="A172" s="1"/>
      <c r="B172" s="1"/>
      <c r="C172" s="1144"/>
      <c r="D172" s="2" t="str">
        <f ca="1">IF(E172&lt;&gt;"Choisir…",INDEX(OFFSET(INDIRECT(Data!AD$30),,-1,,),MATCH(E172,INDIRECT(Data!AD$30),0)),"")</f>
        <v/>
      </c>
      <c r="E172" s="943" t="s">
        <v>173</v>
      </c>
      <c r="F172" s="944"/>
      <c r="G172" s="944"/>
      <c r="H172" s="944"/>
      <c r="I172" s="944"/>
      <c r="J172" s="944"/>
      <c r="K172" s="944"/>
      <c r="L172" s="944"/>
      <c r="M172" s="944"/>
      <c r="N172" s="944"/>
      <c r="O172" s="944"/>
      <c r="P172" s="944"/>
      <c r="Q172" s="944"/>
      <c r="R172" s="945"/>
      <c r="S172" s="942"/>
      <c r="T172" s="942"/>
      <c r="U172" s="942"/>
      <c r="V172" s="942"/>
      <c r="W172" s="889">
        <v>0</v>
      </c>
      <c r="X172" s="889"/>
      <c r="Y172" s="889"/>
      <c r="Z172" s="889"/>
      <c r="AA172" s="889"/>
      <c r="AB172" s="889">
        <v>0</v>
      </c>
      <c r="AC172" s="889"/>
      <c r="AD172" s="889"/>
      <c r="AE172" s="889"/>
      <c r="AF172" s="1152">
        <f t="shared" si="14"/>
        <v>0</v>
      </c>
      <c r="AG172" s="1153"/>
      <c r="AH172" s="1153"/>
      <c r="AI172" s="1153"/>
      <c r="AJ172" s="1154"/>
      <c r="AK172" s="889">
        <v>0</v>
      </c>
      <c r="AL172" s="889"/>
      <c r="AM172" s="889"/>
      <c r="AN172" s="889"/>
      <c r="AO172" s="936"/>
      <c r="AP172" s="937"/>
      <c r="AQ172" s="937"/>
      <c r="AR172" s="938"/>
      <c r="AS172" s="37"/>
    </row>
    <row r="173" spans="1:45" hidden="1">
      <c r="A173" s="1"/>
      <c r="B173" s="1"/>
      <c r="C173" s="1144"/>
      <c r="D173" s="2" t="str">
        <f ca="1">IF(E173&lt;&gt;"Choisir…",INDEX(OFFSET(INDIRECT(Data!AD$30),,-1,,),MATCH(E173,INDIRECT(Data!AD$30),0)),"")</f>
        <v/>
      </c>
      <c r="E173" s="943" t="s">
        <v>173</v>
      </c>
      <c r="F173" s="944"/>
      <c r="G173" s="944"/>
      <c r="H173" s="944"/>
      <c r="I173" s="944"/>
      <c r="J173" s="944"/>
      <c r="K173" s="944"/>
      <c r="L173" s="944"/>
      <c r="M173" s="944"/>
      <c r="N173" s="944"/>
      <c r="O173" s="944"/>
      <c r="P173" s="944"/>
      <c r="Q173" s="944"/>
      <c r="R173" s="945"/>
      <c r="S173" s="942"/>
      <c r="T173" s="942"/>
      <c r="U173" s="942"/>
      <c r="V173" s="942"/>
      <c r="W173" s="889">
        <v>0</v>
      </c>
      <c r="X173" s="889"/>
      <c r="Y173" s="889"/>
      <c r="Z173" s="889"/>
      <c r="AA173" s="889"/>
      <c r="AB173" s="889">
        <v>0</v>
      </c>
      <c r="AC173" s="889"/>
      <c r="AD173" s="889"/>
      <c r="AE173" s="889"/>
      <c r="AF173" s="1152">
        <f t="shared" si="14"/>
        <v>0</v>
      </c>
      <c r="AG173" s="1153"/>
      <c r="AH173" s="1153"/>
      <c r="AI173" s="1153"/>
      <c r="AJ173" s="1154"/>
      <c r="AK173" s="889">
        <v>0</v>
      </c>
      <c r="AL173" s="889"/>
      <c r="AM173" s="889"/>
      <c r="AN173" s="889"/>
      <c r="AO173" s="936"/>
      <c r="AP173" s="937"/>
      <c r="AQ173" s="937"/>
      <c r="AR173" s="938"/>
      <c r="AS173" s="37"/>
    </row>
    <row r="174" spans="1:45" hidden="1">
      <c r="A174" s="1"/>
      <c r="B174" s="1"/>
      <c r="C174" s="1145"/>
      <c r="D174" s="2" t="str">
        <f ca="1">IF(E174&lt;&gt;"Choisir…",INDEX(OFFSET(INDIRECT(Data!AD$30),,-1,,),MATCH(E174,INDIRECT(Data!AD$30),0)),"")</f>
        <v/>
      </c>
      <c r="E174" s="943" t="s">
        <v>173</v>
      </c>
      <c r="F174" s="944"/>
      <c r="G174" s="944"/>
      <c r="H174" s="944"/>
      <c r="I174" s="944"/>
      <c r="J174" s="944"/>
      <c r="K174" s="944"/>
      <c r="L174" s="944"/>
      <c r="M174" s="944"/>
      <c r="N174" s="944"/>
      <c r="O174" s="944"/>
      <c r="P174" s="944"/>
      <c r="Q174" s="944"/>
      <c r="R174" s="945"/>
      <c r="S174" s="942"/>
      <c r="T174" s="942"/>
      <c r="U174" s="942"/>
      <c r="V174" s="942"/>
      <c r="W174" s="889">
        <v>0</v>
      </c>
      <c r="X174" s="889"/>
      <c r="Y174" s="889"/>
      <c r="Z174" s="889"/>
      <c r="AA174" s="889"/>
      <c r="AB174" s="889">
        <v>0</v>
      </c>
      <c r="AC174" s="889"/>
      <c r="AD174" s="889"/>
      <c r="AE174" s="889"/>
      <c r="AF174" s="1152">
        <f t="shared" si="14"/>
        <v>0</v>
      </c>
      <c r="AG174" s="1153"/>
      <c r="AH174" s="1153"/>
      <c r="AI174" s="1153"/>
      <c r="AJ174" s="1154"/>
      <c r="AK174" s="889">
        <v>0</v>
      </c>
      <c r="AL174" s="889"/>
      <c r="AM174" s="889"/>
      <c r="AN174" s="889"/>
      <c r="AO174" s="936"/>
      <c r="AP174" s="937"/>
      <c r="AQ174" s="937"/>
      <c r="AR174" s="938"/>
      <c r="AS174" s="37"/>
    </row>
    <row r="175" spans="1:45" hidden="1">
      <c r="A175" s="1"/>
      <c r="B175" s="1"/>
      <c r="C175" s="1145"/>
      <c r="D175" s="47"/>
      <c r="E175" s="1162" t="s">
        <v>210</v>
      </c>
      <c r="F175" s="1163"/>
      <c r="G175" s="1163"/>
      <c r="H175" s="1163"/>
      <c r="I175" s="1163"/>
      <c r="J175" s="1163"/>
      <c r="K175" s="1163"/>
      <c r="L175" s="1163"/>
      <c r="M175" s="1163"/>
      <c r="N175" s="1163"/>
      <c r="O175" s="1163"/>
      <c r="P175" s="1163"/>
      <c r="Q175" s="1163"/>
      <c r="R175" s="1187"/>
      <c r="S175" s="1193"/>
      <c r="T175" s="1193"/>
      <c r="U175" s="1193"/>
      <c r="V175" s="1193"/>
      <c r="W175" s="1010">
        <f>SUM(W169:AA174)</f>
        <v>0</v>
      </c>
      <c r="X175" s="1008"/>
      <c r="Y175" s="1008"/>
      <c r="Z175" s="1008"/>
      <c r="AA175" s="1009"/>
      <c r="AB175" s="1011">
        <f>SUM(AB169:AE174)</f>
        <v>0</v>
      </c>
      <c r="AC175" s="1012"/>
      <c r="AD175" s="1012"/>
      <c r="AE175" s="1013"/>
      <c r="AF175" s="1010">
        <f t="shared" si="14"/>
        <v>0</v>
      </c>
      <c r="AG175" s="1008"/>
      <c r="AH175" s="1008"/>
      <c r="AI175" s="1008"/>
      <c r="AJ175" s="1009"/>
      <c r="AK175" s="1191">
        <f>SUM(AK169:AN174)</f>
        <v>0</v>
      </c>
      <c r="AL175" s="1191"/>
      <c r="AM175" s="1191"/>
      <c r="AN175" s="1191"/>
      <c r="AO175" s="939"/>
      <c r="AP175" s="940"/>
      <c r="AQ175" s="940"/>
      <c r="AR175" s="941"/>
      <c r="AS175" s="37"/>
    </row>
    <row r="176" spans="1:45" ht="13" hidden="1" thickBot="1">
      <c r="A176" s="1"/>
      <c r="B176" s="1"/>
      <c r="C176" s="1145"/>
      <c r="D176" s="5"/>
      <c r="E176" s="1192"/>
      <c r="F176" s="1192"/>
      <c r="G176" s="1192"/>
      <c r="H176" s="1192"/>
      <c r="I176" s="1192"/>
      <c r="J176" s="1192"/>
      <c r="K176" s="1192"/>
      <c r="L176" s="1192"/>
      <c r="M176" s="1192"/>
      <c r="N176" s="1192"/>
      <c r="O176" s="1192"/>
      <c r="P176" s="1192"/>
      <c r="Q176" s="1192"/>
      <c r="R176" s="1192"/>
      <c r="S176" s="1192"/>
      <c r="T176" s="1192"/>
      <c r="U176" s="1192"/>
      <c r="V176" s="1192"/>
      <c r="W176" s="1192"/>
      <c r="X176" s="1192"/>
      <c r="Y176" s="1192"/>
      <c r="Z176" s="1192"/>
      <c r="AA176" s="1192"/>
      <c r="AB176" s="1192"/>
      <c r="AC176" s="1192"/>
      <c r="AD176" s="1192"/>
      <c r="AE176" s="1192"/>
      <c r="AF176" s="1192"/>
      <c r="AG176" s="1192"/>
      <c r="AH176" s="1192"/>
      <c r="AI176" s="1192"/>
      <c r="AJ176" s="1192"/>
      <c r="AK176" s="1192"/>
      <c r="AL176" s="1192"/>
      <c r="AM176" s="1192"/>
      <c r="AN176" s="1192"/>
      <c r="AO176" s="1192"/>
      <c r="AP176" s="1192"/>
      <c r="AQ176" s="1192"/>
      <c r="AR176" s="1192"/>
      <c r="AS176" s="7"/>
    </row>
    <row r="177" spans="1:50" ht="18" customHeight="1">
      <c r="A177" s="1"/>
      <c r="B177" s="1"/>
      <c r="C177" s="878" t="s">
        <v>5609</v>
      </c>
      <c r="D177" s="423"/>
      <c r="E177" s="1186" t="s">
        <v>913</v>
      </c>
      <c r="F177" s="1186"/>
      <c r="G177" s="1186"/>
      <c r="H177" s="1186"/>
      <c r="I177" s="1186"/>
      <c r="J177" s="1186"/>
      <c r="K177" s="1186"/>
      <c r="L177" s="1186"/>
      <c r="M177" s="1186"/>
      <c r="N177" s="1186"/>
      <c r="O177" s="1186"/>
      <c r="P177" s="1186"/>
      <c r="Q177" s="1186"/>
      <c r="R177" s="1186"/>
      <c r="S177" s="1186"/>
      <c r="T177" s="1186"/>
      <c r="U177" s="1186"/>
      <c r="V177" s="1186"/>
      <c r="W177" s="1186"/>
      <c r="X177" s="1186"/>
      <c r="Y177" s="1186"/>
      <c r="Z177" s="1186"/>
      <c r="AA177" s="1186"/>
      <c r="AB177" s="1186"/>
      <c r="AC177" s="1186"/>
      <c r="AD177" s="1186"/>
      <c r="AE177" s="1186"/>
      <c r="AF177" s="1186"/>
      <c r="AG177" s="1186"/>
      <c r="AH177" s="1186"/>
      <c r="AI177" s="1186"/>
      <c r="AJ177" s="1186"/>
      <c r="AK177" s="1186"/>
      <c r="AL177" s="1186"/>
      <c r="AM177" s="1186"/>
      <c r="AN177" s="1186"/>
      <c r="AO177" s="1186"/>
      <c r="AP177" s="1186"/>
      <c r="AQ177" s="1186"/>
      <c r="AR177" s="1186"/>
      <c r="AS177" s="474"/>
    </row>
    <row r="178" spans="1:50" ht="24" customHeight="1">
      <c r="A178" s="1"/>
      <c r="B178" s="1"/>
      <c r="C178" s="879"/>
      <c r="D178" s="423"/>
      <c r="E178" s="1026" t="s">
        <v>422</v>
      </c>
      <c r="F178" s="1027"/>
      <c r="G178" s="1027"/>
      <c r="H178" s="1027"/>
      <c r="I178" s="1027"/>
      <c r="J178" s="1027"/>
      <c r="K178" s="1027"/>
      <c r="L178" s="1027"/>
      <c r="M178" s="1027"/>
      <c r="N178" s="1027"/>
      <c r="O178" s="1027"/>
      <c r="P178" s="1027"/>
      <c r="Q178" s="1027"/>
      <c r="R178" s="1027"/>
      <c r="S178" s="1027"/>
      <c r="T178" s="1027"/>
      <c r="U178" s="1027"/>
      <c r="V178" s="1083"/>
      <c r="W178" s="1188" t="s">
        <v>904</v>
      </c>
      <c r="X178" s="1189"/>
      <c r="Y178" s="1189"/>
      <c r="Z178" s="1189"/>
      <c r="AA178" s="1189"/>
      <c r="AB178" s="1189"/>
      <c r="AC178" s="1189"/>
      <c r="AD178" s="1189"/>
      <c r="AE178" s="1189"/>
      <c r="AF178" s="1189"/>
      <c r="AG178" s="1189"/>
      <c r="AH178" s="1189"/>
      <c r="AI178" s="1189"/>
      <c r="AJ178" s="1189"/>
      <c r="AK178" s="1189"/>
      <c r="AL178" s="1189"/>
      <c r="AM178" s="1189"/>
      <c r="AN178" s="1190"/>
      <c r="AO178" s="1159">
        <v>0</v>
      </c>
      <c r="AP178" s="1160"/>
      <c r="AQ178" s="1160"/>
      <c r="AR178" s="1161"/>
      <c r="AS178" s="478"/>
    </row>
    <row r="179" spans="1:50" ht="20.5" customHeight="1">
      <c r="A179" s="1"/>
      <c r="B179" s="1"/>
      <c r="C179" s="879"/>
      <c r="D179" s="627" t="s">
        <v>680</v>
      </c>
      <c r="E179" s="1026" t="s">
        <v>681</v>
      </c>
      <c r="F179" s="1027"/>
      <c r="G179" s="1027"/>
      <c r="H179" s="1083"/>
      <c r="I179" s="1026" t="s">
        <v>892</v>
      </c>
      <c r="J179" s="1027"/>
      <c r="K179" s="1027"/>
      <c r="L179" s="1027"/>
      <c r="M179" s="1027"/>
      <c r="N179" s="1027"/>
      <c r="O179" s="1027"/>
      <c r="P179" s="1027"/>
      <c r="Q179" s="1027"/>
      <c r="R179" s="1027"/>
      <c r="S179" s="1027"/>
      <c r="T179" s="1027"/>
      <c r="U179" s="1027"/>
      <c r="V179" s="1083"/>
      <c r="W179" s="998" t="s">
        <v>164</v>
      </c>
      <c r="X179" s="999"/>
      <c r="Y179" s="999"/>
      <c r="Z179" s="999"/>
      <c r="AA179" s="999"/>
      <c r="AB179" s="999"/>
      <c r="AC179" s="999"/>
      <c r="AD179" s="999"/>
      <c r="AE179" s="1000"/>
      <c r="AF179" s="930" t="s">
        <v>5492</v>
      </c>
      <c r="AG179" s="931"/>
      <c r="AH179" s="931"/>
      <c r="AI179" s="931"/>
      <c r="AJ179" s="932"/>
      <c r="AK179" s="930" t="s">
        <v>5493</v>
      </c>
      <c r="AL179" s="931"/>
      <c r="AM179" s="931"/>
      <c r="AN179" s="932"/>
      <c r="AO179" s="930" t="s">
        <v>5494</v>
      </c>
      <c r="AP179" s="931"/>
      <c r="AQ179" s="931"/>
      <c r="AR179" s="932"/>
      <c r="AS179" s="479"/>
    </row>
    <row r="180" spans="1:50" ht="24" customHeight="1">
      <c r="A180" s="1"/>
      <c r="B180" s="1"/>
      <c r="C180" s="879"/>
      <c r="D180" s="423">
        <f t="shared" ref="D180:D186" ca="1" si="15">IF(E180&lt;&gt;"Choisir…",INDEX(OFFSET(Fin_Autre,,-1,,),MATCH(E180,Fin_Autre,0)),"")</f>
        <v>1</v>
      </c>
      <c r="E180" s="943" t="s">
        <v>886</v>
      </c>
      <c r="F180" s="944"/>
      <c r="G180" s="944"/>
      <c r="H180" s="945"/>
      <c r="I180" s="1183" t="s">
        <v>887</v>
      </c>
      <c r="J180" s="1184"/>
      <c r="K180" s="1184"/>
      <c r="L180" s="1184"/>
      <c r="M180" s="1184"/>
      <c r="N180" s="1184"/>
      <c r="O180" s="1184"/>
      <c r="P180" s="1184"/>
      <c r="Q180" s="1184"/>
      <c r="R180" s="1184"/>
      <c r="S180" s="1184"/>
      <c r="T180" s="1184"/>
      <c r="U180" s="1184"/>
      <c r="V180" s="1185"/>
      <c r="W180" s="922" t="s">
        <v>442</v>
      </c>
      <c r="X180" s="923"/>
      <c r="Y180" s="923"/>
      <c r="Z180" s="923"/>
      <c r="AA180" s="923"/>
      <c r="AB180" s="923"/>
      <c r="AC180" s="923"/>
      <c r="AD180" s="923"/>
      <c r="AE180" s="924"/>
      <c r="AF180" s="868">
        <f ca="1">MIN(0.8*'3 Rapport détaillé des coûts'!L75-AF182,2500*'2. Plan d''implantation'!AY50,3000000)</f>
        <v>0</v>
      </c>
      <c r="AG180" s="869"/>
      <c r="AH180" s="869"/>
      <c r="AI180" s="869"/>
      <c r="AJ180" s="870"/>
      <c r="AK180" s="868">
        <f ca="1">AF180</f>
        <v>0</v>
      </c>
      <c r="AL180" s="869"/>
      <c r="AM180" s="869"/>
      <c r="AN180" s="870"/>
      <c r="AO180" s="871">
        <f t="shared" ref="AO180:AO186" ca="1" si="16">IF(AF180=0, ,AF180/AF$187)</f>
        <v>0</v>
      </c>
      <c r="AP180" s="871"/>
      <c r="AQ180" s="871"/>
      <c r="AR180" s="872"/>
      <c r="AS180" s="479"/>
    </row>
    <row r="181" spans="1:50" ht="12.75" customHeight="1">
      <c r="A181" s="1"/>
      <c r="B181" s="1"/>
      <c r="C181" s="879"/>
      <c r="D181" s="423">
        <f ca="1">IF(E181&lt;&gt;"Choisir…",INDEX(OFFSET(Fin_Autre,,-1,,),MATCH(IF(E181="Participant","Requérant",E181),Fin_Autre,0)),"")</f>
        <v>16</v>
      </c>
      <c r="E181" s="943" t="s">
        <v>5376</v>
      </c>
      <c r="F181" s="944"/>
      <c r="G181" s="944"/>
      <c r="H181" s="945"/>
      <c r="I181" s="1183" t="str">
        <f>IF(I14="","",I14)</f>
        <v/>
      </c>
      <c r="J181" s="1184"/>
      <c r="K181" s="1184"/>
      <c r="L181" s="1184"/>
      <c r="M181" s="1184"/>
      <c r="N181" s="1184"/>
      <c r="O181" s="1184"/>
      <c r="P181" s="1184"/>
      <c r="Q181" s="1184"/>
      <c r="R181" s="1184"/>
      <c r="S181" s="1184"/>
      <c r="T181" s="1184"/>
      <c r="U181" s="1184"/>
      <c r="V181" s="1185"/>
      <c r="W181" s="922" t="s">
        <v>194</v>
      </c>
      <c r="X181" s="923"/>
      <c r="Y181" s="923"/>
      <c r="Z181" s="923"/>
      <c r="AA181" s="923"/>
      <c r="AB181" s="923"/>
      <c r="AC181" s="923"/>
      <c r="AD181" s="923"/>
      <c r="AE181" s="924"/>
      <c r="AF181" s="868">
        <f ca="1">AO164-AF180-AF182-AF183</f>
        <v>0</v>
      </c>
      <c r="AG181" s="869"/>
      <c r="AH181" s="869"/>
      <c r="AI181" s="869"/>
      <c r="AJ181" s="870"/>
      <c r="AK181" s="868">
        <f ca="1">AK187-AK180-AK182-AK183</f>
        <v>0</v>
      </c>
      <c r="AL181" s="869"/>
      <c r="AM181" s="869"/>
      <c r="AN181" s="870"/>
      <c r="AO181" s="871">
        <f t="shared" ca="1" si="16"/>
        <v>0</v>
      </c>
      <c r="AP181" s="871"/>
      <c r="AQ181" s="871"/>
      <c r="AR181" s="872"/>
      <c r="AS181" s="479"/>
      <c r="AV181" s="867"/>
      <c r="AW181" s="867"/>
      <c r="AX181" s="867"/>
    </row>
    <row r="182" spans="1:50" ht="12.75" customHeight="1">
      <c r="A182" s="1"/>
      <c r="B182" s="1"/>
      <c r="C182" s="879"/>
      <c r="D182" s="423">
        <f t="shared" ca="1" si="15"/>
        <v>2</v>
      </c>
      <c r="E182" s="943" t="s">
        <v>870</v>
      </c>
      <c r="F182" s="944"/>
      <c r="G182" s="944"/>
      <c r="H182" s="945"/>
      <c r="I182" s="943" t="s">
        <v>197</v>
      </c>
      <c r="J182" s="944"/>
      <c r="K182" s="944"/>
      <c r="L182" s="944"/>
      <c r="M182" s="944"/>
      <c r="N182" s="944"/>
      <c r="O182" s="944"/>
      <c r="P182" s="944"/>
      <c r="Q182" s="944"/>
      <c r="R182" s="944"/>
      <c r="S182" s="944"/>
      <c r="T182" s="944"/>
      <c r="U182" s="944"/>
      <c r="V182" s="945"/>
      <c r="W182" s="922" t="s">
        <v>442</v>
      </c>
      <c r="X182" s="923"/>
      <c r="Y182" s="923"/>
      <c r="Z182" s="923"/>
      <c r="AA182" s="923"/>
      <c r="AB182" s="923"/>
      <c r="AC182" s="923"/>
      <c r="AD182" s="923"/>
      <c r="AE182" s="924"/>
      <c r="AF182" s="868">
        <f>'4. Calcul Énergir et HQ'!Q92</f>
        <v>0</v>
      </c>
      <c r="AG182" s="869"/>
      <c r="AH182" s="869"/>
      <c r="AI182" s="869"/>
      <c r="AJ182" s="870"/>
      <c r="AK182" s="868">
        <f>'4. Calcul Énergir et HQ'!AH92</f>
        <v>0</v>
      </c>
      <c r="AL182" s="869"/>
      <c r="AM182" s="869"/>
      <c r="AN182" s="870"/>
      <c r="AO182" s="871">
        <f t="shared" si="16"/>
        <v>0</v>
      </c>
      <c r="AP182" s="871"/>
      <c r="AQ182" s="871"/>
      <c r="AR182" s="872"/>
      <c r="AS182" s="479"/>
      <c r="AU182" s="622"/>
      <c r="AV182" s="867"/>
      <c r="AW182" s="867"/>
      <c r="AX182" s="867"/>
    </row>
    <row r="183" spans="1:50" ht="12.65" customHeight="1">
      <c r="A183" s="1"/>
      <c r="B183" s="1"/>
      <c r="C183" s="879"/>
      <c r="D183" s="423">
        <f t="shared" ca="1" si="15"/>
        <v>3</v>
      </c>
      <c r="E183" s="943" t="s">
        <v>865</v>
      </c>
      <c r="F183" s="944"/>
      <c r="G183" s="944"/>
      <c r="H183" s="945"/>
      <c r="I183" s="943" t="s">
        <v>865</v>
      </c>
      <c r="J183" s="944"/>
      <c r="K183" s="944"/>
      <c r="L183" s="944"/>
      <c r="M183" s="944"/>
      <c r="N183" s="944"/>
      <c r="O183" s="944"/>
      <c r="P183" s="944"/>
      <c r="Q183" s="944"/>
      <c r="R183" s="944"/>
      <c r="S183" s="944"/>
      <c r="T183" s="944"/>
      <c r="U183" s="944"/>
      <c r="V183" s="945"/>
      <c r="W183" s="922" t="s">
        <v>442</v>
      </c>
      <c r="X183" s="923"/>
      <c r="Y183" s="923"/>
      <c r="Z183" s="923"/>
      <c r="AA183" s="923"/>
      <c r="AB183" s="923"/>
      <c r="AC183" s="923"/>
      <c r="AD183" s="923"/>
      <c r="AE183" s="924"/>
      <c r="AF183" s="868">
        <f>'4. Calcul Énergir et HQ'!Q90</f>
        <v>0</v>
      </c>
      <c r="AG183" s="869"/>
      <c r="AH183" s="869"/>
      <c r="AI183" s="869"/>
      <c r="AJ183" s="870"/>
      <c r="AK183" s="868">
        <f>'4. Calcul Énergir et HQ'!AH90</f>
        <v>0</v>
      </c>
      <c r="AL183" s="869"/>
      <c r="AM183" s="869"/>
      <c r="AN183" s="870"/>
      <c r="AO183" s="871">
        <f t="shared" si="16"/>
        <v>0</v>
      </c>
      <c r="AP183" s="871"/>
      <c r="AQ183" s="871"/>
      <c r="AR183" s="872"/>
      <c r="AS183" s="479"/>
      <c r="AV183" s="867"/>
      <c r="AW183" s="867"/>
      <c r="AX183" s="867"/>
    </row>
    <row r="184" spans="1:50" ht="12.75" customHeight="1">
      <c r="A184" s="1"/>
      <c r="B184" s="1"/>
      <c r="C184" s="879"/>
      <c r="D184" s="423">
        <f t="shared" ca="1" si="15"/>
        <v>45</v>
      </c>
      <c r="E184" s="943" t="s">
        <v>5519</v>
      </c>
      <c r="F184" s="944"/>
      <c r="G184" s="944"/>
      <c r="H184" s="945"/>
      <c r="I184" s="943" t="s">
        <v>5521</v>
      </c>
      <c r="J184" s="944"/>
      <c r="K184" s="944"/>
      <c r="L184" s="944"/>
      <c r="M184" s="944"/>
      <c r="N184" s="944"/>
      <c r="O184" s="944"/>
      <c r="P184" s="944"/>
      <c r="Q184" s="944"/>
      <c r="R184" s="944"/>
      <c r="S184" s="944"/>
      <c r="T184" s="944"/>
      <c r="U184" s="944"/>
      <c r="V184" s="945"/>
      <c r="W184" s="922" t="s">
        <v>442</v>
      </c>
      <c r="X184" s="923"/>
      <c r="Y184" s="923"/>
      <c r="Z184" s="923"/>
      <c r="AA184" s="923"/>
      <c r="AB184" s="923"/>
      <c r="AC184" s="923"/>
      <c r="AD184" s="923"/>
      <c r="AE184" s="924"/>
      <c r="AF184" s="868">
        <v>0</v>
      </c>
      <c r="AG184" s="869"/>
      <c r="AH184" s="869"/>
      <c r="AI184" s="869"/>
      <c r="AJ184" s="870"/>
      <c r="AK184" s="868">
        <v>0</v>
      </c>
      <c r="AL184" s="869"/>
      <c r="AM184" s="869"/>
      <c r="AN184" s="870"/>
      <c r="AO184" s="871">
        <f t="shared" si="16"/>
        <v>0</v>
      </c>
      <c r="AP184" s="871"/>
      <c r="AQ184" s="871"/>
      <c r="AR184" s="872"/>
      <c r="AS184" s="479"/>
      <c r="AU184" s="622"/>
    </row>
    <row r="185" spans="1:50" ht="12.75" customHeight="1">
      <c r="A185" s="1"/>
      <c r="B185" s="1"/>
      <c r="C185" s="879"/>
      <c r="D185" s="423">
        <f t="shared" ca="1" si="15"/>
        <v>46</v>
      </c>
      <c r="E185" s="943" t="s">
        <v>5520</v>
      </c>
      <c r="F185" s="944"/>
      <c r="G185" s="944"/>
      <c r="H185" s="945"/>
      <c r="I185" s="943" t="s">
        <v>5522</v>
      </c>
      <c r="J185" s="944"/>
      <c r="K185" s="944"/>
      <c r="L185" s="944"/>
      <c r="M185" s="944"/>
      <c r="N185" s="944"/>
      <c r="O185" s="944"/>
      <c r="P185" s="944"/>
      <c r="Q185" s="944"/>
      <c r="R185" s="944"/>
      <c r="S185" s="944"/>
      <c r="T185" s="944"/>
      <c r="U185" s="944"/>
      <c r="V185" s="945"/>
      <c r="W185" s="922" t="s">
        <v>442</v>
      </c>
      <c r="X185" s="923"/>
      <c r="Y185" s="923"/>
      <c r="Z185" s="923"/>
      <c r="AA185" s="923"/>
      <c r="AB185" s="923"/>
      <c r="AC185" s="923"/>
      <c r="AD185" s="923"/>
      <c r="AE185" s="924"/>
      <c r="AF185" s="868">
        <v>0</v>
      </c>
      <c r="AG185" s="869"/>
      <c r="AH185" s="869"/>
      <c r="AI185" s="869"/>
      <c r="AJ185" s="870"/>
      <c r="AK185" s="868">
        <v>0</v>
      </c>
      <c r="AL185" s="869"/>
      <c r="AM185" s="869"/>
      <c r="AN185" s="870"/>
      <c r="AO185" s="871">
        <f t="shared" si="16"/>
        <v>0</v>
      </c>
      <c r="AP185" s="871"/>
      <c r="AQ185" s="871"/>
      <c r="AR185" s="872"/>
      <c r="AS185" s="479"/>
    </row>
    <row r="186" spans="1:50" ht="0.65" customHeight="1">
      <c r="A186" s="1"/>
      <c r="B186" s="1"/>
      <c r="C186" s="879"/>
      <c r="D186" s="423" t="str">
        <f t="shared" ca="1" si="15"/>
        <v/>
      </c>
      <c r="E186" s="943" t="s">
        <v>173</v>
      </c>
      <c r="F186" s="944"/>
      <c r="G186" s="944"/>
      <c r="H186" s="945"/>
      <c r="I186" s="943"/>
      <c r="J186" s="944"/>
      <c r="K186" s="944"/>
      <c r="L186" s="944"/>
      <c r="M186" s="944"/>
      <c r="N186" s="944"/>
      <c r="O186" s="944"/>
      <c r="P186" s="944"/>
      <c r="Q186" s="944"/>
      <c r="R186" s="944"/>
      <c r="S186" s="944"/>
      <c r="T186" s="944"/>
      <c r="U186" s="944"/>
      <c r="V186" s="945"/>
      <c r="W186" s="922" t="s">
        <v>173</v>
      </c>
      <c r="X186" s="923"/>
      <c r="Y186" s="923"/>
      <c r="Z186" s="923"/>
      <c r="AA186" s="923"/>
      <c r="AB186" s="923"/>
      <c r="AC186" s="923"/>
      <c r="AD186" s="923"/>
      <c r="AE186" s="924"/>
      <c r="AF186" s="868">
        <v>0</v>
      </c>
      <c r="AG186" s="869"/>
      <c r="AH186" s="869"/>
      <c r="AI186" s="869"/>
      <c r="AJ186" s="870"/>
      <c r="AK186" s="868"/>
      <c r="AL186" s="869"/>
      <c r="AM186" s="869"/>
      <c r="AN186" s="870"/>
      <c r="AO186" s="871">
        <f t="shared" si="16"/>
        <v>0</v>
      </c>
      <c r="AP186" s="871"/>
      <c r="AQ186" s="871"/>
      <c r="AR186" s="872"/>
      <c r="AS186" s="479"/>
    </row>
    <row r="187" spans="1:50" ht="18" customHeight="1">
      <c r="A187" s="1"/>
      <c r="B187" s="1"/>
      <c r="C187" s="879"/>
      <c r="D187" s="473"/>
      <c r="E187" s="475"/>
      <c r="F187" s="475"/>
      <c r="G187" s="475"/>
      <c r="H187" s="475"/>
      <c r="I187" s="476"/>
      <c r="J187" s="476"/>
      <c r="K187" s="476"/>
      <c r="L187" s="476"/>
      <c r="M187" s="476"/>
      <c r="N187" s="476"/>
      <c r="O187" s="654"/>
      <c r="P187" s="475"/>
      <c r="Q187" s="475"/>
      <c r="R187" s="475"/>
      <c r="S187" s="475"/>
      <c r="T187" s="476"/>
      <c r="U187" s="476"/>
      <c r="V187" s="476"/>
      <c r="W187" s="1164" t="s">
        <v>209</v>
      </c>
      <c r="X187" s="1165"/>
      <c r="Y187" s="1165"/>
      <c r="Z187" s="1165"/>
      <c r="AA187" s="1165"/>
      <c r="AB187" s="1165"/>
      <c r="AC187" s="1165"/>
      <c r="AD187" s="1165"/>
      <c r="AE187" s="1166"/>
      <c r="AF187" s="1156">
        <f ca="1">SUM(AF180:AJ183)</f>
        <v>0</v>
      </c>
      <c r="AG187" s="1157"/>
      <c r="AH187" s="1157"/>
      <c r="AI187" s="1157"/>
      <c r="AJ187" s="1157"/>
      <c r="AK187" s="1156">
        <f ca="1">AF187*1.14975</f>
        <v>0</v>
      </c>
      <c r="AL187" s="1157"/>
      <c r="AM187" s="1157"/>
      <c r="AN187" s="1158"/>
      <c r="AO187" s="871">
        <f ca="1">SUM(AN180:AR186)</f>
        <v>0</v>
      </c>
      <c r="AP187" s="871"/>
      <c r="AQ187" s="871"/>
      <c r="AR187" s="872"/>
      <c r="AS187" s="479"/>
    </row>
    <row r="188" spans="1:50" ht="0.75" customHeight="1" thickBot="1">
      <c r="A188" s="1"/>
      <c r="B188" s="1"/>
      <c r="C188" s="880"/>
      <c r="D188" s="439"/>
      <c r="E188" s="1155"/>
      <c r="F188" s="1155"/>
      <c r="G188" s="1155"/>
      <c r="H188" s="1155"/>
      <c r="I188" s="1155"/>
      <c r="J188" s="1155"/>
      <c r="K188" s="1155"/>
      <c r="L188" s="1155"/>
      <c r="M188" s="1155"/>
      <c r="N188" s="1155"/>
      <c r="O188" s="1155"/>
      <c r="P188" s="1155"/>
      <c r="Q188" s="1155"/>
      <c r="R188" s="1155"/>
      <c r="S188" s="1155"/>
      <c r="T188" s="1155"/>
      <c r="U188" s="1155"/>
      <c r="V188" s="1155"/>
      <c r="W188" s="1155"/>
      <c r="X188" s="1155"/>
      <c r="Y188" s="1155"/>
      <c r="Z188" s="1155"/>
      <c r="AA188" s="1155"/>
      <c r="AB188" s="1155"/>
      <c r="AC188" s="1155"/>
      <c r="AD188" s="1155"/>
      <c r="AE188" s="1155"/>
      <c r="AF188" s="1155"/>
      <c r="AG188" s="1155"/>
      <c r="AH188" s="1155"/>
      <c r="AI188" s="1155"/>
      <c r="AJ188" s="1155"/>
      <c r="AK188" s="1155"/>
      <c r="AL188" s="1155"/>
      <c r="AM188" s="1155"/>
      <c r="AN188" s="1155"/>
      <c r="AO188" s="1155"/>
      <c r="AP188" s="1155"/>
      <c r="AQ188" s="1155"/>
      <c r="AR188" s="1155"/>
      <c r="AS188" s="477"/>
    </row>
    <row r="189" spans="1:50" ht="210" customHeight="1">
      <c r="A189" s="1"/>
      <c r="B189" s="1"/>
      <c r="C189" s="878" t="s">
        <v>5610</v>
      </c>
      <c r="D189" s="655"/>
      <c r="E189" s="1313"/>
      <c r="F189" s="1313"/>
      <c r="G189" s="1313"/>
      <c r="H189" s="1313"/>
      <c r="I189" s="1313"/>
      <c r="J189" s="1313"/>
      <c r="K189" s="1313"/>
      <c r="L189" s="1313"/>
      <c r="M189" s="1313"/>
      <c r="N189" s="1313"/>
      <c r="O189" s="1313"/>
      <c r="P189" s="1313"/>
      <c r="Q189" s="1313"/>
      <c r="R189" s="1313"/>
      <c r="S189" s="1313"/>
      <c r="T189" s="1313"/>
      <c r="U189" s="1313"/>
      <c r="V189" s="1313"/>
      <c r="W189" s="1313"/>
      <c r="X189" s="1313"/>
      <c r="Y189" s="1313"/>
      <c r="Z189" s="1313"/>
      <c r="AA189" s="1313"/>
      <c r="AB189" s="1313"/>
      <c r="AC189" s="1313"/>
      <c r="AD189" s="1313"/>
      <c r="AE189" s="1313"/>
      <c r="AF189" s="1313"/>
      <c r="AG189" s="1313"/>
      <c r="AH189" s="1313"/>
      <c r="AI189" s="1313"/>
      <c r="AJ189" s="1313"/>
      <c r="AK189" s="1313"/>
      <c r="AL189" s="1313"/>
      <c r="AM189" s="1313"/>
      <c r="AN189" s="1313"/>
      <c r="AO189" s="1313"/>
      <c r="AP189" s="1313"/>
      <c r="AQ189" s="1313"/>
      <c r="AR189" s="1313"/>
      <c r="AS189" s="656"/>
      <c r="AU189" s="622"/>
    </row>
    <row r="190" spans="1:50" ht="33" customHeight="1">
      <c r="A190" s="1"/>
      <c r="B190" s="1"/>
      <c r="C190" s="879"/>
      <c r="E190" s="881" t="s">
        <v>5666</v>
      </c>
      <c r="F190" s="881"/>
      <c r="G190" s="881"/>
      <c r="H190" s="881"/>
      <c r="I190" s="1"/>
      <c r="J190" s="1"/>
      <c r="K190" s="877"/>
      <c r="L190" s="877"/>
      <c r="M190" s="877"/>
      <c r="N190" s="877"/>
      <c r="O190" s="877"/>
      <c r="P190" s="877"/>
      <c r="Q190" s="877"/>
      <c r="R190" s="877"/>
      <c r="S190" s="877"/>
      <c r="T190" s="877"/>
      <c r="U190" s="877"/>
      <c r="V190" s="877"/>
      <c r="W190" s="877"/>
      <c r="X190" s="877"/>
      <c r="Y190" s="877"/>
      <c r="Z190" s="877"/>
      <c r="AA190" s="877"/>
      <c r="AB190" s="877"/>
      <c r="AC190" s="877"/>
      <c r="AD190" s="877"/>
      <c r="AE190" s="877"/>
      <c r="AF190" s="1"/>
      <c r="AG190" s="1"/>
      <c r="AH190" s="1"/>
      <c r="AI190" s="1"/>
      <c r="AJ190" s="657" t="s">
        <v>888</v>
      </c>
      <c r="AK190" s="1146"/>
      <c r="AL190" s="1147"/>
      <c r="AM190" s="1147"/>
      <c r="AN190" s="1147"/>
      <c r="AO190" s="1147"/>
      <c r="AP190" s="1147"/>
      <c r="AQ190" s="1147"/>
      <c r="AR190" s="1148"/>
      <c r="AS190" s="658"/>
      <c r="AU190" s="622"/>
    </row>
    <row r="191" spans="1:50" ht="1.5" hidden="1" customHeight="1">
      <c r="A191" s="12"/>
      <c r="B191" s="12"/>
      <c r="C191" s="879"/>
      <c r="E191" s="659" t="s">
        <v>5377</v>
      </c>
      <c r="F191" s="1"/>
      <c r="G191" s="1"/>
      <c r="H191" s="1"/>
      <c r="I191" s="1"/>
      <c r="J191" s="1"/>
      <c r="K191" s="1"/>
      <c r="L191" s="1"/>
      <c r="M191" s="660"/>
      <c r="N191" s="660"/>
      <c r="O191" s="660"/>
      <c r="P191" s="660"/>
      <c r="Q191" s="660"/>
      <c r="R191" s="660"/>
      <c r="S191" s="660"/>
      <c r="T191" s="660"/>
      <c r="U191" s="660"/>
      <c r="V191" s="660"/>
      <c r="W191" s="660"/>
      <c r="X191" s="660"/>
      <c r="Y191" s="660"/>
      <c r="Z191" s="660"/>
      <c r="AA191" s="660"/>
      <c r="AB191" s="660"/>
      <c r="AC191" s="660"/>
      <c r="AD191" s="660"/>
      <c r="AE191" s="661"/>
      <c r="AF191" s="1"/>
      <c r="AG191" s="1"/>
      <c r="AH191" s="1"/>
      <c r="AI191" s="1"/>
      <c r="AJ191" s="619"/>
      <c r="AK191" s="619"/>
      <c r="AL191" s="619"/>
      <c r="AM191" s="619"/>
      <c r="AN191" s="619"/>
      <c r="AO191" s="619"/>
      <c r="AP191" s="619"/>
      <c r="AQ191" s="1"/>
      <c r="AS191" s="658"/>
    </row>
    <row r="192" spans="1:50" ht="44.25" customHeight="1">
      <c r="C192" s="879"/>
      <c r="E192" s="881" t="s">
        <v>5667</v>
      </c>
      <c r="F192" s="881"/>
      <c r="G192" s="881"/>
      <c r="H192" s="881"/>
      <c r="I192" s="1"/>
      <c r="J192" s="1"/>
      <c r="K192" s="877"/>
      <c r="L192" s="877"/>
      <c r="M192" s="877"/>
      <c r="N192" s="877"/>
      <c r="O192" s="877"/>
      <c r="P192" s="877"/>
      <c r="Q192" s="877"/>
      <c r="R192" s="877"/>
      <c r="S192" s="877"/>
      <c r="T192" s="877"/>
      <c r="U192" s="877"/>
      <c r="V192" s="877"/>
      <c r="W192" s="877"/>
      <c r="X192" s="877"/>
      <c r="Y192" s="877"/>
      <c r="Z192" s="877"/>
      <c r="AA192" s="877"/>
      <c r="AB192" s="877"/>
      <c r="AC192" s="877"/>
      <c r="AD192" s="877"/>
      <c r="AE192" s="877"/>
      <c r="AS192" s="658"/>
    </row>
    <row r="193" spans="3:49" ht="12.75" customHeight="1" thickBot="1">
      <c r="C193" s="880"/>
      <c r="D193" s="662"/>
      <c r="E193" s="663"/>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62"/>
      <c r="AS193" s="664"/>
    </row>
    <row r="194" spans="3:49" ht="3" customHeight="1" thickBot="1">
      <c r="E194" s="8"/>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row>
    <row r="195" spans="3:49" ht="12.75" customHeight="1" thickBot="1">
      <c r="C195" s="900" t="s">
        <v>889</v>
      </c>
      <c r="D195" s="901"/>
      <c r="E195" s="901"/>
      <c r="F195" s="901"/>
      <c r="G195" s="901"/>
      <c r="H195" s="901"/>
      <c r="I195" s="901"/>
      <c r="J195" s="901"/>
      <c r="K195" s="901"/>
      <c r="L195" s="901"/>
      <c r="M195" s="901"/>
      <c r="N195" s="901"/>
      <c r="O195" s="901"/>
      <c r="P195" s="901"/>
      <c r="Q195" s="901"/>
      <c r="R195" s="901"/>
      <c r="S195" s="901"/>
      <c r="T195" s="901"/>
      <c r="U195" s="901"/>
      <c r="V195" s="901"/>
      <c r="W195" s="902"/>
      <c r="X195" s="15"/>
      <c r="Y195" s="900" t="s">
        <v>890</v>
      </c>
      <c r="Z195" s="901"/>
      <c r="AA195" s="901"/>
      <c r="AB195" s="901"/>
      <c r="AC195" s="901"/>
      <c r="AD195" s="901"/>
      <c r="AE195" s="901"/>
      <c r="AF195" s="901"/>
      <c r="AG195" s="901"/>
      <c r="AH195" s="901"/>
      <c r="AI195" s="901"/>
      <c r="AJ195" s="901"/>
      <c r="AK195" s="901"/>
      <c r="AL195" s="901"/>
      <c r="AM195" s="901"/>
      <c r="AN195" s="901"/>
      <c r="AO195" s="901"/>
      <c r="AP195" s="901"/>
      <c r="AQ195" s="901"/>
      <c r="AR195" s="901"/>
      <c r="AS195" s="902"/>
    </row>
    <row r="196" spans="3:49" ht="2.25" customHeight="1">
      <c r="C196" s="67"/>
      <c r="D196" s="68"/>
      <c r="E196" s="68"/>
      <c r="F196" s="68"/>
      <c r="G196" s="68"/>
      <c r="H196" s="68"/>
      <c r="I196" s="68"/>
      <c r="J196" s="68"/>
      <c r="K196" s="68"/>
      <c r="L196" s="68"/>
      <c r="M196" s="68"/>
      <c r="N196" s="68"/>
      <c r="O196" s="68"/>
      <c r="P196" s="68"/>
      <c r="Q196" s="68"/>
      <c r="R196" s="68"/>
      <c r="S196" s="68"/>
      <c r="T196" s="68"/>
      <c r="U196" s="68"/>
      <c r="V196" s="68"/>
      <c r="W196" s="69"/>
      <c r="X196" s="15"/>
      <c r="Y196" s="70"/>
      <c r="Z196" s="71"/>
      <c r="AA196" s="71"/>
      <c r="AB196" s="71"/>
      <c r="AC196" s="71"/>
      <c r="AD196" s="71"/>
      <c r="AE196" s="71"/>
      <c r="AF196" s="71"/>
      <c r="AG196" s="71"/>
      <c r="AH196" s="71"/>
      <c r="AI196" s="71"/>
      <c r="AJ196" s="71"/>
      <c r="AK196" s="71"/>
      <c r="AL196" s="71"/>
      <c r="AM196" s="71"/>
      <c r="AN196" s="71"/>
      <c r="AO196" s="71"/>
      <c r="AP196" s="71"/>
      <c r="AQ196" s="71"/>
      <c r="AR196" s="71"/>
      <c r="AS196" s="72"/>
    </row>
    <row r="197" spans="3:49" ht="12.75" customHeight="1">
      <c r="C197" s="530" t="s">
        <v>5611</v>
      </c>
      <c r="D197" s="68"/>
      <c r="E197" s="68"/>
      <c r="F197" s="68"/>
      <c r="G197" s="68"/>
      <c r="H197" s="68"/>
      <c r="I197" s="68"/>
      <c r="J197" s="68"/>
      <c r="K197" s="68"/>
      <c r="L197" s="68"/>
      <c r="M197" s="68"/>
      <c r="N197" s="68"/>
      <c r="O197" s="68"/>
      <c r="P197" s="68"/>
      <c r="Q197" s="68"/>
      <c r="R197" s="68"/>
      <c r="S197" s="68"/>
      <c r="T197" s="68"/>
      <c r="U197" s="68"/>
      <c r="V197" s="68"/>
      <c r="W197" s="529"/>
      <c r="X197" s="15"/>
      <c r="Y197" s="70"/>
      <c r="Z197" s="71"/>
      <c r="AA197" s="71"/>
      <c r="AB197" s="71"/>
      <c r="AC197" s="71"/>
      <c r="AD197" s="71"/>
      <c r="AE197" s="71"/>
      <c r="AF197" s="71"/>
      <c r="AG197" s="71"/>
      <c r="AH197" s="71"/>
      <c r="AI197" s="71"/>
      <c r="AJ197" s="71"/>
      <c r="AK197" s="71"/>
      <c r="AL197" s="71"/>
      <c r="AM197" s="71"/>
      <c r="AN197" s="71"/>
      <c r="AO197" s="71"/>
      <c r="AP197" s="71"/>
      <c r="AQ197" s="71"/>
      <c r="AR197" s="71"/>
      <c r="AS197" s="72"/>
    </row>
    <row r="198" spans="3:49" ht="2.25" customHeight="1">
      <c r="C198" s="67"/>
      <c r="D198" s="68"/>
      <c r="E198" s="68"/>
      <c r="F198" s="68"/>
      <c r="G198" s="68"/>
      <c r="H198" s="68"/>
      <c r="I198" s="68"/>
      <c r="J198" s="68"/>
      <c r="K198" s="68"/>
      <c r="L198" s="68"/>
      <c r="M198" s="68"/>
      <c r="N198" s="68"/>
      <c r="O198" s="68"/>
      <c r="P198" s="68"/>
      <c r="Q198" s="68"/>
      <c r="R198" s="68"/>
      <c r="S198" s="68"/>
      <c r="T198" s="68"/>
      <c r="U198" s="68"/>
      <c r="V198" s="68"/>
      <c r="W198" s="529"/>
      <c r="X198" s="15"/>
      <c r="Y198" s="70"/>
      <c r="Z198" s="71"/>
      <c r="AA198" s="71"/>
      <c r="AB198" s="71"/>
      <c r="AC198" s="71"/>
      <c r="AD198" s="71"/>
      <c r="AE198" s="71"/>
      <c r="AF198" s="71"/>
      <c r="AG198" s="71"/>
      <c r="AH198" s="71"/>
      <c r="AI198" s="71"/>
      <c r="AJ198" s="71"/>
      <c r="AK198" s="71"/>
      <c r="AL198" s="71"/>
      <c r="AM198" s="71"/>
      <c r="AN198" s="71"/>
      <c r="AO198" s="71"/>
      <c r="AP198" s="71"/>
      <c r="AQ198" s="71"/>
      <c r="AR198" s="71"/>
      <c r="AS198" s="72"/>
    </row>
    <row r="199" spans="3:49" ht="12.75" customHeight="1">
      <c r="C199" s="58"/>
      <c r="D199" s="44"/>
      <c r="E199" s="44" t="s">
        <v>5485</v>
      </c>
      <c r="F199" s="254"/>
      <c r="G199" s="44"/>
      <c r="H199" s="44"/>
      <c r="I199" s="44"/>
      <c r="J199" s="44"/>
      <c r="K199" s="44"/>
      <c r="L199" s="44"/>
      <c r="M199" s="44"/>
      <c r="N199" s="44"/>
      <c r="O199" s="44"/>
      <c r="P199" s="44"/>
      <c r="Q199" s="44"/>
      <c r="R199" s="44"/>
      <c r="S199" s="44"/>
      <c r="T199" s="44"/>
      <c r="U199" s="44"/>
      <c r="V199" s="44"/>
      <c r="W199" s="56"/>
      <c r="X199" s="45"/>
      <c r="Y199" s="54"/>
      <c r="Z199" s="374"/>
      <c r="AA199" s="532" t="s">
        <v>5487</v>
      </c>
      <c r="AB199" s="532"/>
      <c r="AC199" s="532"/>
      <c r="AD199" s="532"/>
      <c r="AE199" s="532"/>
      <c r="AF199" s="532"/>
      <c r="AG199" s="532"/>
      <c r="AH199" s="532"/>
      <c r="AI199" s="532"/>
      <c r="AJ199" s="665"/>
      <c r="AK199" s="532" t="s">
        <v>5490</v>
      </c>
      <c r="AL199" s="532"/>
      <c r="AM199" s="532"/>
      <c r="AN199" s="532"/>
      <c r="AO199" s="532"/>
      <c r="AP199" s="8"/>
      <c r="AQ199" s="44"/>
      <c r="AR199" s="44"/>
      <c r="AS199" s="56"/>
      <c r="AU199" s="622"/>
    </row>
    <row r="200" spans="3:49" ht="2.25" customHeight="1">
      <c r="C200" s="875"/>
      <c r="D200" s="876"/>
      <c r="E200" s="876"/>
      <c r="F200" s="44"/>
      <c r="G200" s="44"/>
      <c r="H200" s="44"/>
      <c r="I200" s="44"/>
      <c r="J200" s="44"/>
      <c r="K200" s="44"/>
      <c r="L200" s="44"/>
      <c r="M200" s="44"/>
      <c r="N200" s="44"/>
      <c r="O200" s="44"/>
      <c r="P200" s="44"/>
      <c r="Q200" s="44"/>
      <c r="R200" s="44"/>
      <c r="S200" s="44"/>
      <c r="T200" s="44"/>
      <c r="U200" s="44"/>
      <c r="V200" s="44"/>
      <c r="W200" s="56"/>
      <c r="X200" s="45"/>
      <c r="Y200" s="54"/>
      <c r="Z200" s="374"/>
      <c r="AA200" s="532"/>
      <c r="AB200" s="532"/>
      <c r="AC200" s="532"/>
      <c r="AD200" s="532"/>
      <c r="AE200" s="532"/>
      <c r="AF200" s="532"/>
      <c r="AG200" s="532"/>
      <c r="AH200" s="532"/>
      <c r="AI200" s="532"/>
      <c r="AJ200" s="532"/>
      <c r="AK200" s="532"/>
      <c r="AL200" s="532"/>
      <c r="AM200" s="532"/>
      <c r="AN200" s="533"/>
      <c r="AO200" s="533"/>
      <c r="AP200" s="533"/>
      <c r="AQ200" s="45"/>
      <c r="AR200" s="45"/>
      <c r="AS200" s="57"/>
    </row>
    <row r="201" spans="3:49" ht="21.75" customHeight="1">
      <c r="C201" s="58"/>
      <c r="D201" s="44"/>
      <c r="E201" s="865" t="s">
        <v>5659</v>
      </c>
      <c r="F201" s="865"/>
      <c r="G201" s="865"/>
      <c r="H201" s="865"/>
      <c r="I201" s="865"/>
      <c r="J201" s="865"/>
      <c r="K201" s="865"/>
      <c r="L201" s="865"/>
      <c r="M201" s="865"/>
      <c r="N201" s="865"/>
      <c r="O201" s="865"/>
      <c r="P201" s="865"/>
      <c r="Q201" s="865"/>
      <c r="R201" s="865"/>
      <c r="S201" s="865"/>
      <c r="T201" s="865"/>
      <c r="U201" s="865"/>
      <c r="V201" s="865"/>
      <c r="W201" s="56"/>
      <c r="X201" s="44"/>
      <c r="Y201" s="58"/>
      <c r="Z201" s="373"/>
      <c r="AA201" s="532" t="s">
        <v>5488</v>
      </c>
      <c r="AB201" s="532"/>
      <c r="AC201" s="532"/>
      <c r="AD201" s="532"/>
      <c r="AE201" s="532"/>
      <c r="AF201" s="532"/>
      <c r="AG201" s="532"/>
      <c r="AH201" s="532"/>
      <c r="AI201" s="532"/>
      <c r="AJ201" s="532"/>
      <c r="AK201" s="532" t="s">
        <v>5491</v>
      </c>
      <c r="AL201" s="532"/>
      <c r="AM201" s="532"/>
      <c r="AN201" s="532"/>
      <c r="AO201" s="532"/>
      <c r="AP201" s="8"/>
      <c r="AQ201" s="44"/>
      <c r="AR201" s="44"/>
      <c r="AS201" s="56"/>
      <c r="AU201" s="622"/>
      <c r="AW201" s="622"/>
    </row>
    <row r="202" spans="3:49" ht="2.25" hidden="1" customHeight="1">
      <c r="C202" s="58"/>
      <c r="D202" s="44"/>
      <c r="E202" s="44"/>
      <c r="F202" s="44"/>
      <c r="G202" s="44"/>
      <c r="H202" s="44"/>
      <c r="I202" s="44"/>
      <c r="J202" s="44"/>
      <c r="K202" s="44"/>
      <c r="L202" s="44"/>
      <c r="M202" s="44"/>
      <c r="N202" s="44"/>
      <c r="O202" s="44"/>
      <c r="P202" s="44"/>
      <c r="Q202" s="44"/>
      <c r="R202" s="44"/>
      <c r="S202" s="44"/>
      <c r="T202" s="44"/>
      <c r="U202" s="44"/>
      <c r="V202" s="44"/>
      <c r="W202" s="56"/>
      <c r="X202" s="44"/>
      <c r="Y202" s="58"/>
      <c r="Z202" s="181"/>
      <c r="AA202" s="531"/>
      <c r="AB202" s="531"/>
      <c r="AC202" s="531"/>
      <c r="AD202" s="531"/>
      <c r="AE202" s="531"/>
      <c r="AF202" s="531"/>
      <c r="AG202" s="532"/>
      <c r="AH202" s="532"/>
      <c r="AI202" s="532"/>
      <c r="AJ202" s="532"/>
      <c r="AK202" s="532"/>
      <c r="AL202" s="532"/>
      <c r="AM202" s="532"/>
      <c r="AN202" s="532"/>
      <c r="AO202" s="532"/>
      <c r="AP202" s="8"/>
      <c r="AQ202" s="44"/>
      <c r="AR202" s="44"/>
      <c r="AS202" s="56"/>
    </row>
    <row r="203" spans="3:49" ht="12.75" customHeight="1">
      <c r="C203" s="58"/>
      <c r="D203" s="44"/>
      <c r="E203" s="44" t="s">
        <v>5660</v>
      </c>
      <c r="W203" s="56"/>
      <c r="X203" s="45"/>
      <c r="Y203" s="54"/>
      <c r="Z203" s="181"/>
      <c r="AA203" s="531" t="s">
        <v>5489</v>
      </c>
      <c r="AB203" s="531"/>
      <c r="AC203" s="531"/>
      <c r="AD203" s="531"/>
      <c r="AE203" s="531"/>
      <c r="AF203" s="531"/>
      <c r="AG203" s="532"/>
      <c r="AH203" s="532"/>
      <c r="AI203" s="532"/>
      <c r="AJ203" s="532"/>
      <c r="AK203" s="532"/>
      <c r="AL203" s="532"/>
      <c r="AM203" s="532"/>
      <c r="AN203" s="533"/>
      <c r="AO203" s="533"/>
      <c r="AP203" s="533"/>
      <c r="AQ203" s="45"/>
      <c r="AR203" s="45"/>
      <c r="AS203" s="57"/>
    </row>
    <row r="204" spans="3:49" ht="2.25" customHeight="1">
      <c r="C204" s="58"/>
      <c r="D204" s="44"/>
      <c r="E204" s="44"/>
      <c r="F204" s="44"/>
      <c r="G204" s="44"/>
      <c r="H204" s="44"/>
      <c r="I204" s="44"/>
      <c r="J204" s="44"/>
      <c r="K204" s="44"/>
      <c r="L204" s="44"/>
      <c r="M204" s="44"/>
      <c r="N204" s="44"/>
      <c r="O204" s="44"/>
      <c r="P204" s="44"/>
      <c r="Q204" s="44"/>
      <c r="R204" s="44"/>
      <c r="S204" s="44"/>
      <c r="T204" s="44"/>
      <c r="U204" s="44"/>
      <c r="V204" s="44"/>
      <c r="W204" s="56"/>
      <c r="X204" s="44"/>
      <c r="Y204" s="58"/>
      <c r="Z204" s="44"/>
      <c r="AA204" s="533"/>
      <c r="AB204" s="533"/>
      <c r="AC204" s="533"/>
      <c r="AD204" s="533"/>
      <c r="AE204" s="533"/>
      <c r="AF204" s="533"/>
      <c r="AG204" s="533"/>
      <c r="AH204" s="533"/>
      <c r="AI204" s="533"/>
      <c r="AJ204" s="533"/>
      <c r="AK204" s="533"/>
      <c r="AL204" s="533"/>
      <c r="AM204" s="533"/>
      <c r="AN204" s="533"/>
      <c r="AO204" s="533"/>
      <c r="AP204" s="533"/>
      <c r="AQ204" s="45"/>
      <c r="AR204" s="45"/>
      <c r="AS204" s="57"/>
    </row>
    <row r="205" spans="3:49" ht="21" customHeight="1">
      <c r="C205" s="58"/>
      <c r="D205" s="44"/>
      <c r="E205" s="865" t="s">
        <v>5661</v>
      </c>
      <c r="F205" s="865"/>
      <c r="G205" s="865"/>
      <c r="H205" s="865"/>
      <c r="I205" s="865"/>
      <c r="J205" s="865"/>
      <c r="K205" s="865"/>
      <c r="L205" s="865"/>
      <c r="M205" s="865"/>
      <c r="N205" s="865"/>
      <c r="O205" s="865"/>
      <c r="P205" s="865"/>
      <c r="Q205" s="865"/>
      <c r="R205" s="865"/>
      <c r="S205" s="865"/>
      <c r="T205" s="865"/>
      <c r="U205" s="865"/>
      <c r="V205" s="865"/>
      <c r="W205" s="56"/>
      <c r="X205" s="45"/>
      <c r="Y205" s="54"/>
      <c r="Z205" s="45"/>
      <c r="AA205" s="9"/>
      <c r="AB205" s="533"/>
      <c r="AC205" s="533"/>
      <c r="AD205" s="533"/>
      <c r="AE205" s="533"/>
      <c r="AF205" s="533"/>
      <c r="AG205" s="533"/>
      <c r="AH205" s="533"/>
      <c r="AI205" s="533"/>
      <c r="AJ205" s="533"/>
      <c r="AK205" s="533"/>
      <c r="AL205" s="533"/>
      <c r="AM205" s="533"/>
      <c r="AN205" s="533"/>
      <c r="AO205" s="533"/>
      <c r="AP205" s="533"/>
      <c r="AQ205" s="45"/>
      <c r="AR205" s="45"/>
      <c r="AS205" s="57"/>
    </row>
    <row r="206" spans="3:49" ht="2.25" customHeight="1">
      <c r="C206" s="58"/>
      <c r="D206" s="44"/>
      <c r="E206" s="44"/>
      <c r="F206" s="666"/>
      <c r="G206" s="44"/>
      <c r="H206" s="44"/>
      <c r="I206" s="44"/>
      <c r="J206" s="44"/>
      <c r="K206" s="44"/>
      <c r="L206" s="44"/>
      <c r="M206" s="44"/>
      <c r="N206" s="44"/>
      <c r="O206" s="44"/>
      <c r="P206" s="44"/>
      <c r="Q206" s="44"/>
      <c r="R206" s="44"/>
      <c r="S206" s="44"/>
      <c r="T206" s="44"/>
      <c r="U206" s="44"/>
      <c r="V206" s="44"/>
      <c r="W206" s="56"/>
      <c r="X206" s="44"/>
      <c r="Y206" s="58"/>
      <c r="Z206" s="44"/>
      <c r="AA206" s="667"/>
      <c r="AB206" s="45"/>
      <c r="AC206" s="45"/>
      <c r="AD206" s="45"/>
      <c r="AE206" s="45"/>
      <c r="AF206" s="45"/>
      <c r="AG206" s="45"/>
      <c r="AH206" s="45"/>
      <c r="AI206" s="45"/>
      <c r="AJ206" s="45"/>
      <c r="AK206" s="45"/>
      <c r="AL206" s="45"/>
      <c r="AM206" s="45"/>
      <c r="AN206" s="45"/>
      <c r="AO206" s="45"/>
      <c r="AP206" s="45"/>
      <c r="AQ206" s="45"/>
      <c r="AR206" s="45"/>
      <c r="AS206" s="57"/>
    </row>
    <row r="207" spans="3:49" ht="12.75" customHeight="1">
      <c r="C207" s="411"/>
      <c r="D207" s="59"/>
      <c r="E207" s="44" t="s">
        <v>5662</v>
      </c>
      <c r="F207" s="254"/>
      <c r="G207" s="44"/>
      <c r="H207" s="44"/>
      <c r="I207" s="44"/>
      <c r="J207" s="44"/>
      <c r="K207" s="44"/>
      <c r="L207" s="44"/>
      <c r="M207" s="44"/>
      <c r="N207" s="44"/>
      <c r="O207" s="44"/>
      <c r="P207" s="44"/>
      <c r="Q207" s="44"/>
      <c r="R207" s="44"/>
      <c r="S207" s="44"/>
      <c r="T207" s="44"/>
      <c r="U207" s="44"/>
      <c r="V207" s="44"/>
      <c r="W207" s="56"/>
      <c r="X207" s="44"/>
      <c r="Y207" s="58"/>
      <c r="Z207" s="44"/>
      <c r="AA207" s="256" t="s">
        <v>891</v>
      </c>
      <c r="AB207" s="59"/>
      <c r="AC207" s="44"/>
      <c r="AD207" s="44"/>
      <c r="AE207" s="44"/>
      <c r="AF207" s="44"/>
      <c r="AG207" s="44"/>
      <c r="AH207" s="44"/>
      <c r="AI207" s="44"/>
      <c r="AJ207" s="44"/>
      <c r="AK207" s="44"/>
      <c r="AL207" s="44"/>
      <c r="AM207" s="44"/>
      <c r="AN207" s="44"/>
      <c r="AO207" s="44"/>
      <c r="AP207" s="44"/>
      <c r="AQ207" s="44"/>
      <c r="AR207" s="44"/>
      <c r="AS207" s="56"/>
    </row>
    <row r="208" spans="3:49" ht="2.25" customHeight="1">
      <c r="C208" s="875"/>
      <c r="D208" s="876"/>
      <c r="E208" s="876"/>
      <c r="F208" s="666"/>
      <c r="G208" s="44"/>
      <c r="H208" s="44"/>
      <c r="I208" s="44"/>
      <c r="J208" s="44"/>
      <c r="K208" s="44"/>
      <c r="L208" s="44"/>
      <c r="M208" s="44"/>
      <c r="N208" s="44"/>
      <c r="O208" s="44"/>
      <c r="P208" s="44"/>
      <c r="Q208" s="44"/>
      <c r="R208" s="44"/>
      <c r="S208" s="44"/>
      <c r="T208" s="44"/>
      <c r="U208" s="44"/>
      <c r="V208" s="44"/>
      <c r="W208" s="56"/>
      <c r="X208" s="45"/>
      <c r="Y208" s="54"/>
      <c r="Z208" s="45"/>
      <c r="AA208" s="667"/>
      <c r="AB208" s="45"/>
      <c r="AC208" s="45"/>
      <c r="AD208" s="45"/>
      <c r="AE208" s="45"/>
      <c r="AF208" s="45"/>
      <c r="AG208" s="45"/>
      <c r="AH208" s="45"/>
      <c r="AI208" s="45"/>
      <c r="AJ208" s="45"/>
      <c r="AK208" s="45"/>
      <c r="AL208" s="45"/>
      <c r="AM208" s="45"/>
      <c r="AN208" s="45"/>
      <c r="AO208" s="45"/>
      <c r="AP208" s="45"/>
      <c r="AQ208" s="45"/>
      <c r="AR208" s="45"/>
      <c r="AS208" s="57"/>
    </row>
    <row r="209" spans="3:74" ht="25.5" customHeight="1">
      <c r="C209" s="58"/>
      <c r="D209" s="44"/>
      <c r="E209" s="865" t="s">
        <v>5652</v>
      </c>
      <c r="F209" s="865"/>
      <c r="G209" s="865"/>
      <c r="H209" s="865"/>
      <c r="I209" s="865"/>
      <c r="J209" s="865"/>
      <c r="K209" s="865"/>
      <c r="L209" s="865"/>
      <c r="M209" s="865"/>
      <c r="N209" s="865"/>
      <c r="O209" s="865"/>
      <c r="P209" s="865"/>
      <c r="Q209" s="865"/>
      <c r="R209" s="865"/>
      <c r="S209" s="865"/>
      <c r="T209" s="865"/>
      <c r="U209" s="865"/>
      <c r="V209" s="865"/>
      <c r="W209" s="888"/>
      <c r="X209" s="44"/>
      <c r="Y209" s="58"/>
      <c r="Z209" s="44"/>
      <c r="AA209" s="45"/>
      <c r="AB209" s="59"/>
      <c r="AC209" s="59"/>
      <c r="AD209" s="59"/>
      <c r="AE209" s="59"/>
      <c r="AF209" s="59"/>
      <c r="AG209" s="59"/>
      <c r="AH209" s="59"/>
      <c r="AI209" s="59"/>
      <c r="AJ209" s="59"/>
      <c r="AK209" s="59"/>
      <c r="AL209" s="59"/>
      <c r="AM209" s="59"/>
      <c r="AN209" s="59"/>
      <c r="AO209" s="59"/>
      <c r="AP209" s="59"/>
      <c r="AQ209" s="59"/>
      <c r="AR209" s="59"/>
      <c r="AS209" s="56"/>
      <c r="BE209" s="584"/>
      <c r="BF209" s="584"/>
      <c r="BG209" s="584"/>
      <c r="BH209" s="584"/>
      <c r="BI209" s="584"/>
      <c r="BJ209" s="584"/>
      <c r="BK209" s="584"/>
      <c r="BL209" s="584"/>
      <c r="BM209" s="584"/>
      <c r="BN209" s="584"/>
      <c r="BO209" s="584"/>
      <c r="BP209" s="584"/>
      <c r="BQ209" s="584"/>
      <c r="BR209" s="584"/>
      <c r="BS209" s="584"/>
      <c r="BT209" s="584"/>
      <c r="BU209" s="584"/>
      <c r="BV209" s="584"/>
    </row>
    <row r="210" spans="3:74" ht="2.25" customHeight="1">
      <c r="C210" s="58"/>
      <c r="D210" s="44"/>
      <c r="E210" s="44"/>
      <c r="F210" s="666"/>
      <c r="G210" s="44"/>
      <c r="H210" s="44"/>
      <c r="I210" s="44"/>
      <c r="J210" s="44"/>
      <c r="K210" s="44"/>
      <c r="L210" s="44"/>
      <c r="M210" s="44"/>
      <c r="N210" s="44"/>
      <c r="O210" s="44"/>
      <c r="P210" s="44"/>
      <c r="Q210" s="44"/>
      <c r="R210" s="44"/>
      <c r="S210" s="44"/>
      <c r="T210" s="44"/>
      <c r="U210" s="44"/>
      <c r="V210" s="44"/>
      <c r="W210" s="56"/>
      <c r="X210" s="45"/>
      <c r="Y210" s="54"/>
      <c r="Z210" s="45"/>
      <c r="AA210" s="667"/>
      <c r="AB210" s="667"/>
      <c r="AC210" s="667"/>
      <c r="AD210" s="667"/>
      <c r="AE210" s="667"/>
      <c r="AF210" s="667"/>
      <c r="AG210" s="667"/>
      <c r="AH210" s="667"/>
      <c r="AI210" s="667"/>
      <c r="AJ210" s="667"/>
      <c r="AK210" s="667"/>
      <c r="AL210" s="667"/>
      <c r="AM210" s="667"/>
      <c r="AN210" s="667"/>
      <c r="AO210" s="667"/>
      <c r="AP210" s="667"/>
      <c r="AQ210" s="667"/>
      <c r="AR210" s="667"/>
      <c r="AS210" s="57"/>
    </row>
    <row r="211" spans="3:74" ht="14.15" customHeight="1">
      <c r="C211" s="58"/>
      <c r="D211" s="44"/>
      <c r="E211" s="44" t="s">
        <v>5486</v>
      </c>
      <c r="F211" s="666"/>
      <c r="G211" s="44"/>
      <c r="H211" s="44"/>
      <c r="I211" s="44"/>
      <c r="J211" s="44"/>
      <c r="K211" s="44"/>
      <c r="L211" s="44"/>
      <c r="M211" s="44"/>
      <c r="N211" s="44"/>
      <c r="O211" s="44"/>
      <c r="P211" s="44"/>
      <c r="Q211" s="44"/>
      <c r="R211" s="44"/>
      <c r="S211" s="44"/>
      <c r="T211" s="44"/>
      <c r="U211" s="44"/>
      <c r="V211" s="44"/>
      <c r="W211" s="56"/>
      <c r="X211" s="45"/>
      <c r="Y211" s="54"/>
      <c r="Z211" s="45"/>
      <c r="AA211" s="667"/>
      <c r="AB211" s="667"/>
      <c r="AC211" s="667"/>
      <c r="AD211" s="667"/>
      <c r="AE211" s="667"/>
      <c r="AF211" s="667"/>
      <c r="AG211" s="667"/>
      <c r="AH211" s="667"/>
      <c r="AI211" s="667"/>
      <c r="AJ211" s="667"/>
      <c r="AK211" s="667"/>
      <c r="AL211" s="667"/>
      <c r="AM211" s="667"/>
      <c r="AN211" s="667"/>
      <c r="AO211" s="667"/>
      <c r="AP211" s="667"/>
      <c r="AQ211" s="667"/>
      <c r="AR211" s="667"/>
      <c r="AS211" s="57"/>
    </row>
    <row r="212" spans="3:74" ht="3" customHeight="1">
      <c r="C212" s="58"/>
      <c r="D212" s="44"/>
      <c r="E212" s="44"/>
      <c r="F212" s="666"/>
      <c r="G212" s="44"/>
      <c r="H212" s="44"/>
      <c r="I212" s="44"/>
      <c r="J212" s="44"/>
      <c r="K212" s="44"/>
      <c r="L212" s="44"/>
      <c r="M212" s="44"/>
      <c r="N212" s="44"/>
      <c r="O212" s="44"/>
      <c r="P212" s="44"/>
      <c r="Q212" s="44"/>
      <c r="R212" s="44"/>
      <c r="S212" s="44"/>
      <c r="T212" s="44"/>
      <c r="U212" s="44"/>
      <c r="V212" s="44"/>
      <c r="W212" s="56"/>
      <c r="X212" s="45"/>
      <c r="Y212" s="54"/>
      <c r="Z212" s="45"/>
      <c r="AA212" s="667"/>
      <c r="AB212" s="667"/>
      <c r="AC212" s="667"/>
      <c r="AD212" s="667"/>
      <c r="AE212" s="667"/>
      <c r="AF212" s="667"/>
      <c r="AG212" s="667"/>
      <c r="AH212" s="667"/>
      <c r="AI212" s="667"/>
      <c r="AJ212" s="667"/>
      <c r="AK212" s="667"/>
      <c r="AL212" s="667"/>
      <c r="AM212" s="667"/>
      <c r="AN212" s="667"/>
      <c r="AO212" s="667"/>
      <c r="AP212" s="667"/>
      <c r="AQ212" s="667"/>
      <c r="AR212" s="667"/>
      <c r="AS212" s="57"/>
    </row>
    <row r="213" spans="3:74" ht="14.15" customHeight="1">
      <c r="C213" s="58"/>
      <c r="D213" s="44"/>
      <c r="E213" s="44" t="s">
        <v>5653</v>
      </c>
      <c r="F213" s="666"/>
      <c r="G213" s="44"/>
      <c r="H213" s="44"/>
      <c r="I213" s="44"/>
      <c r="J213" s="44"/>
      <c r="K213" s="44"/>
      <c r="L213" s="44"/>
      <c r="M213" s="44"/>
      <c r="N213" s="44"/>
      <c r="O213" s="44"/>
      <c r="P213" s="44"/>
      <c r="Q213" s="44"/>
      <c r="R213" s="44"/>
      <c r="S213" s="44"/>
      <c r="T213" s="44"/>
      <c r="U213" s="44"/>
      <c r="V213" s="44"/>
      <c r="W213" s="56"/>
      <c r="X213" s="45"/>
      <c r="Y213" s="54"/>
      <c r="Z213" s="45"/>
      <c r="AA213" s="667"/>
      <c r="AB213" s="667"/>
      <c r="AC213" s="667"/>
      <c r="AD213" s="667"/>
      <c r="AE213" s="667"/>
      <c r="AF213" s="667"/>
      <c r="AG213" s="667"/>
      <c r="AH213" s="667"/>
      <c r="AI213" s="667"/>
      <c r="AJ213" s="667"/>
      <c r="AK213" s="667"/>
      <c r="AL213" s="667"/>
      <c r="AM213" s="667"/>
      <c r="AN213" s="667"/>
      <c r="AO213" s="667"/>
      <c r="AP213" s="667"/>
      <c r="AQ213" s="667"/>
      <c r="AR213" s="667"/>
      <c r="AS213" s="57"/>
    </row>
    <row r="214" spans="3:74" ht="12.75" customHeight="1">
      <c r="C214" s="54"/>
      <c r="D214" s="45"/>
      <c r="E214" s="45"/>
      <c r="F214" s="668" t="str">
        <f>IF(Data!A58=TRUE,"Preuve de financement (si applicable)","")</f>
        <v/>
      </c>
      <c r="G214" s="44"/>
      <c r="H214" s="44"/>
      <c r="I214" s="44"/>
      <c r="J214" s="44"/>
      <c r="K214" s="44"/>
      <c r="L214" s="44"/>
      <c r="M214" s="44"/>
      <c r="N214" s="44"/>
      <c r="O214" s="44"/>
      <c r="P214" s="44"/>
      <c r="Q214" s="44"/>
      <c r="R214" s="44"/>
      <c r="S214" s="44"/>
      <c r="T214" s="44"/>
      <c r="U214" s="44"/>
      <c r="V214" s="44"/>
      <c r="W214" s="56"/>
      <c r="X214" s="44"/>
      <c r="Y214" s="58"/>
      <c r="Z214" s="44"/>
      <c r="AA214" s="45"/>
      <c r="AB214" s="59"/>
      <c r="AC214" s="59"/>
      <c r="AD214" s="59"/>
      <c r="AE214" s="59"/>
      <c r="AF214" s="59"/>
      <c r="AG214" s="59"/>
      <c r="AH214" s="59"/>
      <c r="AI214" s="59"/>
      <c r="AJ214" s="59"/>
      <c r="AK214" s="59"/>
      <c r="AL214" s="59"/>
      <c r="AM214" s="59"/>
      <c r="AN214" s="59"/>
      <c r="AO214" s="59"/>
      <c r="AP214" s="59"/>
      <c r="AQ214" s="59"/>
      <c r="AR214" s="59"/>
      <c r="AS214" s="56"/>
    </row>
    <row r="215" spans="3:74" ht="2.25" customHeight="1">
      <c r="C215" s="58"/>
      <c r="D215" s="44"/>
      <c r="E215" s="44"/>
      <c r="F215" s="667"/>
      <c r="G215" s="45"/>
      <c r="H215" s="45"/>
      <c r="I215" s="45"/>
      <c r="J215" s="45"/>
      <c r="K215" s="45"/>
      <c r="L215" s="45"/>
      <c r="M215" s="45"/>
      <c r="N215" s="45"/>
      <c r="O215" s="45"/>
      <c r="P215" s="45"/>
      <c r="Q215" s="45"/>
      <c r="R215" s="45"/>
      <c r="S215" s="45"/>
      <c r="T215" s="45"/>
      <c r="U215" s="45"/>
      <c r="V215" s="45"/>
      <c r="W215" s="57"/>
      <c r="X215" s="45"/>
      <c r="Y215" s="54"/>
      <c r="Z215" s="45"/>
      <c r="AA215" s="667"/>
      <c r="AB215" s="667"/>
      <c r="AC215" s="667"/>
      <c r="AD215" s="667"/>
      <c r="AE215" s="667"/>
      <c r="AF215" s="667"/>
      <c r="AG215" s="667"/>
      <c r="AH215" s="667"/>
      <c r="AI215" s="667"/>
      <c r="AJ215" s="667"/>
      <c r="AK215" s="667"/>
      <c r="AL215" s="667"/>
      <c r="AM215" s="667"/>
      <c r="AN215" s="667"/>
      <c r="AO215" s="667"/>
      <c r="AP215" s="667"/>
      <c r="AQ215" s="667"/>
      <c r="AR215" s="667"/>
      <c r="AS215" s="57"/>
    </row>
    <row r="216" spans="3:74" ht="12.75" customHeight="1">
      <c r="C216" s="58"/>
      <c r="D216" s="44"/>
      <c r="E216" s="44"/>
      <c r="F216" s="9" t="str">
        <f>IF(Data!A58=TRUE,"Curriculum vitæ des personnes et des organismes engagés","")</f>
        <v/>
      </c>
      <c r="G216" s="45"/>
      <c r="H216" s="45"/>
      <c r="I216" s="45"/>
      <c r="J216" s="45"/>
      <c r="K216" s="45"/>
      <c r="L216" s="45"/>
      <c r="M216" s="45"/>
      <c r="N216" s="45"/>
      <c r="O216" s="45"/>
      <c r="P216" s="45"/>
      <c r="Q216" s="45"/>
      <c r="R216" s="45"/>
      <c r="S216" s="45"/>
      <c r="T216" s="45"/>
      <c r="U216" s="45"/>
      <c r="V216" s="45"/>
      <c r="W216" s="57"/>
      <c r="X216" s="45"/>
      <c r="Y216" s="54"/>
      <c r="Z216" s="45"/>
      <c r="AA216" s="45"/>
      <c r="AB216" s="59"/>
      <c r="AC216" s="59"/>
      <c r="AD216" s="59"/>
      <c r="AE216" s="59"/>
      <c r="AF216" s="59"/>
      <c r="AG216" s="59"/>
      <c r="AH216" s="59"/>
      <c r="AI216" s="59"/>
      <c r="AJ216" s="59"/>
      <c r="AK216" s="59"/>
      <c r="AL216" s="59"/>
      <c r="AM216" s="59"/>
      <c r="AN216" s="59"/>
      <c r="AO216" s="59"/>
      <c r="AP216" s="59"/>
      <c r="AQ216" s="59"/>
      <c r="AR216" s="59"/>
      <c r="AS216" s="57"/>
    </row>
    <row r="217" spans="3:74" ht="12.75" customHeight="1">
      <c r="C217" s="58"/>
      <c r="D217" s="44"/>
      <c r="E217" s="44"/>
      <c r="F217" s="9"/>
      <c r="G217" s="45"/>
      <c r="H217" s="45"/>
      <c r="I217" s="45"/>
      <c r="J217" s="45"/>
      <c r="K217" s="45"/>
      <c r="L217" s="45"/>
      <c r="M217" s="45"/>
      <c r="N217" s="45"/>
      <c r="O217" s="45"/>
      <c r="P217" s="45"/>
      <c r="Q217" s="45"/>
      <c r="R217" s="45"/>
      <c r="S217" s="45"/>
      <c r="T217" s="45"/>
      <c r="U217" s="45"/>
      <c r="V217" s="45"/>
      <c r="W217" s="57"/>
      <c r="X217" s="45"/>
      <c r="Y217" s="54"/>
      <c r="Z217" s="45"/>
      <c r="AA217" s="45"/>
      <c r="AB217" s="59"/>
      <c r="AC217" s="59"/>
      <c r="AD217" s="59"/>
      <c r="AE217" s="59"/>
      <c r="AF217" s="59"/>
      <c r="AG217" s="59"/>
      <c r="AH217" s="59"/>
      <c r="AI217" s="59"/>
      <c r="AJ217" s="59"/>
      <c r="AK217" s="59"/>
      <c r="AL217" s="59"/>
      <c r="AM217" s="59"/>
      <c r="AN217" s="59"/>
      <c r="AO217" s="59"/>
      <c r="AP217" s="59"/>
      <c r="AQ217" s="59"/>
      <c r="AR217" s="59"/>
      <c r="AS217" s="57"/>
    </row>
    <row r="218" spans="3:74" ht="12.75" customHeight="1">
      <c r="C218" s="58"/>
      <c r="D218" s="44"/>
      <c r="E218" s="44"/>
      <c r="F218" s="9"/>
      <c r="G218" s="45"/>
      <c r="H218" s="45"/>
      <c r="I218" s="45"/>
      <c r="J218" s="45"/>
      <c r="K218" s="45"/>
      <c r="L218" s="45"/>
      <c r="M218" s="45"/>
      <c r="N218" s="45"/>
      <c r="O218" s="45"/>
      <c r="P218" s="45"/>
      <c r="Q218" s="45"/>
      <c r="R218" s="45"/>
      <c r="S218" s="45"/>
      <c r="T218" s="45"/>
      <c r="U218" s="45"/>
      <c r="V218" s="45"/>
      <c r="W218" s="57"/>
      <c r="X218" s="45"/>
      <c r="Y218" s="54"/>
      <c r="Z218" s="45"/>
      <c r="AA218" s="45"/>
      <c r="AB218" s="59"/>
      <c r="AC218" s="59"/>
      <c r="AD218" s="59"/>
      <c r="AE218" s="59"/>
      <c r="AF218" s="59"/>
      <c r="AG218" s="59"/>
      <c r="AH218" s="59"/>
      <c r="AI218" s="59"/>
      <c r="AJ218" s="59"/>
      <c r="AK218" s="59"/>
      <c r="AL218" s="59"/>
      <c r="AM218" s="59"/>
      <c r="AN218" s="59"/>
      <c r="AO218" s="59"/>
      <c r="AP218" s="59"/>
      <c r="AQ218" s="59"/>
      <c r="AR218" s="59"/>
      <c r="AS218" s="57"/>
    </row>
    <row r="219" spans="3:74" ht="12.75" customHeight="1">
      <c r="C219" s="530" t="s">
        <v>5612</v>
      </c>
      <c r="D219" s="44"/>
      <c r="E219" s="44"/>
      <c r="F219" s="9"/>
      <c r="G219" s="45"/>
      <c r="H219" s="45"/>
      <c r="I219" s="45"/>
      <c r="J219" s="45"/>
      <c r="K219" s="45"/>
      <c r="L219" s="45"/>
      <c r="M219" s="45"/>
      <c r="N219" s="45"/>
      <c r="O219" s="45"/>
      <c r="P219" s="45"/>
      <c r="Q219" s="45"/>
      <c r="R219" s="45"/>
      <c r="S219" s="45"/>
      <c r="T219" s="45"/>
      <c r="U219" s="45"/>
      <c r="V219" s="45"/>
      <c r="W219" s="57"/>
      <c r="X219" s="45"/>
      <c r="Y219" s="54"/>
      <c r="Z219" s="45"/>
      <c r="AA219" s="45"/>
      <c r="AB219" s="59"/>
      <c r="AC219" s="59"/>
      <c r="AD219" s="59"/>
      <c r="AE219" s="59"/>
      <c r="AF219" s="59"/>
      <c r="AG219" s="59"/>
      <c r="AH219" s="59"/>
      <c r="AI219" s="59"/>
      <c r="AJ219" s="59"/>
      <c r="AK219" s="59"/>
      <c r="AL219" s="59"/>
      <c r="AM219" s="59"/>
      <c r="AN219" s="59"/>
      <c r="AO219" s="59"/>
      <c r="AP219" s="59"/>
      <c r="AQ219" s="59"/>
      <c r="AR219" s="59"/>
      <c r="AS219" s="57"/>
    </row>
    <row r="220" spans="3:74" ht="3" customHeight="1">
      <c r="C220" s="58"/>
      <c r="D220" s="44"/>
      <c r="E220" s="44"/>
      <c r="F220" s="9"/>
      <c r="G220" s="45"/>
      <c r="H220" s="45"/>
      <c r="I220" s="45"/>
      <c r="J220" s="45"/>
      <c r="K220" s="45"/>
      <c r="L220" s="45"/>
      <c r="M220" s="45"/>
      <c r="N220" s="45"/>
      <c r="O220" s="45"/>
      <c r="P220" s="45"/>
      <c r="Q220" s="45"/>
      <c r="R220" s="45"/>
      <c r="S220" s="45"/>
      <c r="T220" s="45"/>
      <c r="U220" s="45"/>
      <c r="V220" s="45"/>
      <c r="W220" s="57"/>
      <c r="X220" s="45"/>
      <c r="Y220" s="54"/>
      <c r="Z220" s="45"/>
      <c r="AA220" s="45"/>
      <c r="AB220" s="59"/>
      <c r="AC220" s="59"/>
      <c r="AD220" s="59"/>
      <c r="AE220" s="59"/>
      <c r="AF220" s="59"/>
      <c r="AG220" s="59"/>
      <c r="AH220" s="59"/>
      <c r="AI220" s="59"/>
      <c r="AJ220" s="59"/>
      <c r="AK220" s="59"/>
      <c r="AL220" s="59"/>
      <c r="AM220" s="59"/>
      <c r="AN220" s="59"/>
      <c r="AO220" s="59"/>
      <c r="AP220" s="59"/>
      <c r="AQ220" s="59"/>
      <c r="AR220" s="59"/>
      <c r="AS220" s="57"/>
    </row>
    <row r="221" spans="3:74" ht="22.5" customHeight="1">
      <c r="C221" s="58"/>
      <c r="D221" s="44"/>
      <c r="E221" s="865" t="s">
        <v>5663</v>
      </c>
      <c r="F221" s="865"/>
      <c r="G221" s="865"/>
      <c r="H221" s="865"/>
      <c r="I221" s="865"/>
      <c r="J221" s="865"/>
      <c r="K221" s="865"/>
      <c r="L221" s="865"/>
      <c r="M221" s="865"/>
      <c r="N221" s="865"/>
      <c r="O221" s="865"/>
      <c r="P221" s="865"/>
      <c r="Q221" s="865"/>
      <c r="R221" s="865"/>
      <c r="S221" s="865"/>
      <c r="T221" s="865"/>
      <c r="U221" s="865"/>
      <c r="V221" s="865"/>
      <c r="W221" s="57"/>
      <c r="X221" s="45"/>
      <c r="Y221" s="54"/>
      <c r="Z221" s="45"/>
      <c r="AA221" s="45"/>
      <c r="AB221" s="59"/>
      <c r="AC221" s="59"/>
      <c r="AD221" s="59"/>
      <c r="AE221" s="59"/>
      <c r="AF221" s="59"/>
      <c r="AG221" s="59"/>
      <c r="AH221" s="59"/>
      <c r="AI221" s="59"/>
      <c r="AJ221" s="59"/>
      <c r="AK221" s="59"/>
      <c r="AL221" s="59"/>
      <c r="AM221" s="59"/>
      <c r="AN221" s="59"/>
      <c r="AO221" s="59"/>
      <c r="AP221" s="59"/>
      <c r="AQ221" s="59"/>
      <c r="AR221" s="59"/>
      <c r="AS221" s="57"/>
    </row>
    <row r="222" spans="3:74" ht="3" customHeight="1">
      <c r="C222" s="58"/>
      <c r="D222" s="44"/>
      <c r="E222" s="44"/>
      <c r="F222" s="9"/>
      <c r="G222" s="45"/>
      <c r="H222" s="45"/>
      <c r="I222" s="45"/>
      <c r="J222" s="45"/>
      <c r="K222" s="45"/>
      <c r="L222" s="45"/>
      <c r="M222" s="45"/>
      <c r="N222" s="45"/>
      <c r="O222" s="45"/>
      <c r="P222" s="45"/>
      <c r="Q222" s="45"/>
      <c r="R222" s="45"/>
      <c r="S222" s="45"/>
      <c r="T222" s="45"/>
      <c r="U222" s="45"/>
      <c r="V222" s="45"/>
      <c r="W222" s="57"/>
      <c r="X222" s="45"/>
      <c r="Y222" s="54"/>
      <c r="Z222" s="45"/>
      <c r="AA222" s="45"/>
      <c r="AB222" s="59"/>
      <c r="AC222" s="59"/>
      <c r="AD222" s="59"/>
      <c r="AE222" s="59"/>
      <c r="AF222" s="59"/>
      <c r="AG222" s="59"/>
      <c r="AH222" s="59"/>
      <c r="AI222" s="59"/>
      <c r="AJ222" s="59"/>
      <c r="AK222" s="59"/>
      <c r="AL222" s="59"/>
      <c r="AM222" s="59"/>
      <c r="AN222" s="59"/>
      <c r="AO222" s="59"/>
      <c r="AP222" s="59"/>
      <c r="AQ222" s="59"/>
      <c r="AR222" s="59"/>
      <c r="AS222" s="57"/>
    </row>
    <row r="223" spans="3:74" ht="25.5" customHeight="1">
      <c r="C223" s="58"/>
      <c r="D223" s="44"/>
      <c r="E223" s="865" t="s">
        <v>5664</v>
      </c>
      <c r="F223" s="866"/>
      <c r="G223" s="866"/>
      <c r="H223" s="866"/>
      <c r="I223" s="866"/>
      <c r="J223" s="866"/>
      <c r="K223" s="866"/>
      <c r="L223" s="866"/>
      <c r="M223" s="866"/>
      <c r="N223" s="866"/>
      <c r="O223" s="866"/>
      <c r="P223" s="866"/>
      <c r="Q223" s="866"/>
      <c r="R223" s="866"/>
      <c r="S223" s="866"/>
      <c r="T223" s="866"/>
      <c r="U223" s="866"/>
      <c r="V223" s="866"/>
      <c r="W223" s="57"/>
      <c r="X223" s="45"/>
      <c r="Y223" s="54"/>
      <c r="Z223" s="45"/>
      <c r="AA223" s="45"/>
      <c r="AB223" s="59"/>
      <c r="AC223" s="59"/>
      <c r="AD223" s="59"/>
      <c r="AE223" s="59"/>
      <c r="AF223" s="59"/>
      <c r="AG223" s="59"/>
      <c r="AH223" s="59"/>
      <c r="AI223" s="59"/>
      <c r="AJ223" s="59"/>
      <c r="AK223" s="59"/>
      <c r="AL223" s="59"/>
      <c r="AM223" s="59"/>
      <c r="AN223" s="59"/>
      <c r="AO223" s="59"/>
      <c r="AP223" s="59"/>
      <c r="AQ223" s="59"/>
      <c r="AR223" s="59"/>
      <c r="AS223" s="57"/>
    </row>
    <row r="224" spans="3:74" ht="3" customHeight="1">
      <c r="C224" s="58"/>
      <c r="D224" s="44"/>
      <c r="E224" s="44"/>
      <c r="F224" s="9"/>
      <c r="G224" s="45"/>
      <c r="H224" s="45"/>
      <c r="I224" s="45"/>
      <c r="J224" s="45"/>
      <c r="K224" s="45"/>
      <c r="L224" s="45"/>
      <c r="M224" s="45"/>
      <c r="N224" s="45"/>
      <c r="O224" s="45"/>
      <c r="P224" s="45"/>
      <c r="Q224" s="45"/>
      <c r="R224" s="45"/>
      <c r="S224" s="45"/>
      <c r="T224" s="45"/>
      <c r="U224" s="45"/>
      <c r="V224" s="45"/>
      <c r="W224" s="57"/>
      <c r="X224" s="45"/>
      <c r="Y224" s="54"/>
      <c r="Z224" s="45"/>
      <c r="AA224" s="45"/>
      <c r="AB224" s="59"/>
      <c r="AC224" s="59"/>
      <c r="AD224" s="59"/>
      <c r="AE224" s="59"/>
      <c r="AF224" s="59"/>
      <c r="AG224" s="59"/>
      <c r="AH224" s="59"/>
      <c r="AI224" s="59"/>
      <c r="AJ224" s="59"/>
      <c r="AK224" s="59"/>
      <c r="AL224" s="59"/>
      <c r="AM224" s="59"/>
      <c r="AN224" s="59"/>
      <c r="AO224" s="59"/>
      <c r="AP224" s="59"/>
      <c r="AQ224" s="59"/>
      <c r="AR224" s="59"/>
      <c r="AS224" s="57"/>
    </row>
    <row r="225" spans="3:45" ht="12.75" customHeight="1">
      <c r="C225" s="58"/>
      <c r="D225" s="44"/>
      <c r="E225" s="44" t="s">
        <v>5665</v>
      </c>
      <c r="F225" s="9"/>
      <c r="G225" s="45"/>
      <c r="H225" s="45"/>
      <c r="I225" s="45"/>
      <c r="J225" s="45"/>
      <c r="K225" s="45"/>
      <c r="L225" s="45"/>
      <c r="M225" s="45"/>
      <c r="N225" s="45"/>
      <c r="O225" s="45"/>
      <c r="P225" s="45"/>
      <c r="Q225" s="45"/>
      <c r="R225" s="45"/>
      <c r="S225" s="45"/>
      <c r="T225" s="45"/>
      <c r="U225" s="45"/>
      <c r="V225" s="45"/>
      <c r="W225" s="57"/>
      <c r="X225" s="45"/>
      <c r="Y225" s="54"/>
      <c r="Z225" s="45"/>
      <c r="AA225" s="45"/>
      <c r="AB225" s="59"/>
      <c r="AC225" s="59"/>
      <c r="AD225" s="59"/>
      <c r="AE225" s="59"/>
      <c r="AF225" s="59"/>
      <c r="AG225" s="59"/>
      <c r="AH225" s="59"/>
      <c r="AI225" s="59"/>
      <c r="AJ225" s="59"/>
      <c r="AK225" s="59"/>
      <c r="AL225" s="59"/>
      <c r="AM225" s="59"/>
      <c r="AN225" s="59"/>
      <c r="AO225" s="59"/>
      <c r="AP225" s="59"/>
      <c r="AQ225" s="59"/>
      <c r="AR225" s="59"/>
      <c r="AS225" s="57"/>
    </row>
    <row r="226" spans="3:45" ht="3" customHeight="1">
      <c r="C226" s="58"/>
      <c r="D226" s="44"/>
      <c r="E226" s="44"/>
      <c r="F226" s="9"/>
      <c r="G226" s="45"/>
      <c r="H226" s="45"/>
      <c r="I226" s="45"/>
      <c r="J226" s="45"/>
      <c r="K226" s="45"/>
      <c r="L226" s="45"/>
      <c r="M226" s="45"/>
      <c r="N226" s="45"/>
      <c r="O226" s="45"/>
      <c r="P226" s="45"/>
      <c r="Q226" s="45"/>
      <c r="R226" s="45"/>
      <c r="S226" s="45"/>
      <c r="T226" s="45"/>
      <c r="U226" s="45"/>
      <c r="V226" s="45"/>
      <c r="W226" s="57"/>
      <c r="X226" s="45"/>
      <c r="Y226" s="54"/>
      <c r="Z226" s="45"/>
      <c r="AA226" s="45"/>
      <c r="AB226" s="59"/>
      <c r="AC226" s="59"/>
      <c r="AD226" s="59"/>
      <c r="AE226" s="59"/>
      <c r="AF226" s="59"/>
      <c r="AG226" s="59"/>
      <c r="AH226" s="59"/>
      <c r="AI226" s="59"/>
      <c r="AJ226" s="59"/>
      <c r="AK226" s="59"/>
      <c r="AL226" s="59"/>
      <c r="AM226" s="59"/>
      <c r="AN226" s="59"/>
      <c r="AO226" s="59"/>
      <c r="AP226" s="59"/>
      <c r="AQ226" s="59"/>
      <c r="AR226" s="59"/>
      <c r="AS226" s="57"/>
    </row>
    <row r="227" spans="3:45" ht="12.75" customHeight="1">
      <c r="C227" s="58"/>
      <c r="D227" s="44"/>
      <c r="E227" s="44" t="s">
        <v>5613</v>
      </c>
      <c r="F227" s="9"/>
      <c r="G227" s="45"/>
      <c r="H227" s="45"/>
      <c r="I227" s="45"/>
      <c r="J227" s="45"/>
      <c r="K227" s="45"/>
      <c r="L227" s="45"/>
      <c r="M227" s="45"/>
      <c r="N227" s="45"/>
      <c r="O227" s="45"/>
      <c r="P227" s="45"/>
      <c r="Q227" s="45"/>
      <c r="R227" s="45"/>
      <c r="S227" s="45"/>
      <c r="T227" s="45"/>
      <c r="U227" s="45"/>
      <c r="V227" s="45"/>
      <c r="W227" s="57"/>
      <c r="X227" s="45"/>
      <c r="Y227" s="54"/>
      <c r="Z227" s="45"/>
      <c r="AA227" s="45"/>
      <c r="AB227" s="59"/>
      <c r="AC227" s="59"/>
      <c r="AD227" s="59"/>
      <c r="AE227" s="59"/>
      <c r="AF227" s="59"/>
      <c r="AG227" s="59"/>
      <c r="AH227" s="59"/>
      <c r="AI227" s="59"/>
      <c r="AJ227" s="59"/>
      <c r="AK227" s="59"/>
      <c r="AL227" s="59"/>
      <c r="AM227" s="59"/>
      <c r="AN227" s="59"/>
      <c r="AO227" s="59"/>
      <c r="AP227" s="59"/>
      <c r="AQ227" s="59"/>
      <c r="AR227" s="59"/>
      <c r="AS227" s="57"/>
    </row>
    <row r="228" spans="3:45" ht="3" customHeight="1">
      <c r="C228" s="58"/>
      <c r="D228" s="44"/>
      <c r="E228" s="44"/>
      <c r="F228" s="9"/>
      <c r="G228" s="45"/>
      <c r="H228" s="45"/>
      <c r="I228" s="45"/>
      <c r="J228" s="45"/>
      <c r="K228" s="45"/>
      <c r="L228" s="45"/>
      <c r="M228" s="45"/>
      <c r="N228" s="45"/>
      <c r="O228" s="45"/>
      <c r="P228" s="45"/>
      <c r="Q228" s="45"/>
      <c r="R228" s="45"/>
      <c r="S228" s="45"/>
      <c r="T228" s="45"/>
      <c r="U228" s="45"/>
      <c r="V228" s="45"/>
      <c r="W228" s="57"/>
      <c r="X228" s="45"/>
      <c r="Y228" s="54"/>
      <c r="Z228" s="45"/>
      <c r="AA228" s="45"/>
      <c r="AB228" s="59"/>
      <c r="AC228" s="59"/>
      <c r="AD228" s="59"/>
      <c r="AE228" s="59"/>
      <c r="AF228" s="59"/>
      <c r="AG228" s="59"/>
      <c r="AH228" s="59"/>
      <c r="AI228" s="59"/>
      <c r="AJ228" s="59"/>
      <c r="AK228" s="59"/>
      <c r="AL228" s="59"/>
      <c r="AM228" s="59"/>
      <c r="AN228" s="59"/>
      <c r="AO228" s="59"/>
      <c r="AP228" s="59"/>
      <c r="AQ228" s="59"/>
      <c r="AR228" s="59"/>
      <c r="AS228" s="57"/>
    </row>
    <row r="229" spans="3:45" ht="24.75" customHeight="1">
      <c r="C229" s="58"/>
      <c r="D229" s="44"/>
      <c r="E229" s="865" t="s">
        <v>5614</v>
      </c>
      <c r="F229" s="865"/>
      <c r="G229" s="865"/>
      <c r="H229" s="865"/>
      <c r="I229" s="865"/>
      <c r="J229" s="865"/>
      <c r="K229" s="865"/>
      <c r="L229" s="865"/>
      <c r="M229" s="865"/>
      <c r="N229" s="865"/>
      <c r="O229" s="865"/>
      <c r="P229" s="865"/>
      <c r="Q229" s="865"/>
      <c r="R229" s="865"/>
      <c r="S229" s="865"/>
      <c r="T229" s="865"/>
      <c r="U229" s="865"/>
      <c r="V229" s="865"/>
      <c r="W229" s="57"/>
      <c r="X229" s="45"/>
      <c r="Y229" s="54"/>
      <c r="Z229" s="45"/>
      <c r="AA229" s="45"/>
      <c r="AB229" s="59"/>
      <c r="AC229" s="59"/>
      <c r="AD229" s="59"/>
      <c r="AE229" s="59"/>
      <c r="AF229" s="59"/>
      <c r="AG229" s="59"/>
      <c r="AH229" s="59"/>
      <c r="AI229" s="59"/>
      <c r="AJ229" s="59"/>
      <c r="AK229" s="59"/>
      <c r="AL229" s="59"/>
      <c r="AM229" s="59"/>
      <c r="AN229" s="59"/>
      <c r="AO229" s="59"/>
      <c r="AP229" s="59"/>
      <c r="AQ229" s="59"/>
      <c r="AR229" s="59"/>
      <c r="AS229" s="57"/>
    </row>
    <row r="230" spans="3:45" ht="3" customHeight="1">
      <c r="C230" s="58"/>
      <c r="D230" s="44"/>
      <c r="E230" s="524"/>
      <c r="F230" s="524"/>
      <c r="G230" s="524"/>
      <c r="H230" s="524"/>
      <c r="I230" s="524"/>
      <c r="J230" s="524"/>
      <c r="K230" s="524"/>
      <c r="L230" s="524"/>
      <c r="M230" s="524"/>
      <c r="N230" s="524"/>
      <c r="O230" s="524"/>
      <c r="P230" s="524"/>
      <c r="Q230" s="524"/>
      <c r="R230" s="524"/>
      <c r="S230" s="524"/>
      <c r="T230" s="524"/>
      <c r="U230" s="524"/>
      <c r="V230" s="524"/>
      <c r="W230" s="57"/>
      <c r="X230" s="45"/>
      <c r="Y230" s="54"/>
      <c r="Z230" s="45"/>
      <c r="AA230" s="45"/>
      <c r="AB230" s="59"/>
      <c r="AC230" s="59"/>
      <c r="AD230" s="59"/>
      <c r="AE230" s="59"/>
      <c r="AF230" s="59"/>
      <c r="AG230" s="59"/>
      <c r="AH230" s="59"/>
      <c r="AI230" s="59"/>
      <c r="AJ230" s="59"/>
      <c r="AK230" s="59"/>
      <c r="AL230" s="59"/>
      <c r="AM230" s="59"/>
      <c r="AN230" s="59"/>
      <c r="AO230" s="59"/>
      <c r="AP230" s="59"/>
      <c r="AQ230" s="59"/>
      <c r="AR230" s="59"/>
      <c r="AS230" s="57"/>
    </row>
    <row r="231" spans="3:45" ht="12.75" customHeight="1">
      <c r="C231" s="58"/>
      <c r="D231" s="44"/>
      <c r="E231" s="44" t="s">
        <v>5615</v>
      </c>
      <c r="F231" s="524"/>
      <c r="G231" s="524"/>
      <c r="H231" s="524"/>
      <c r="I231" s="524"/>
      <c r="J231" s="524"/>
      <c r="K231" s="524"/>
      <c r="L231" s="524"/>
      <c r="M231" s="524"/>
      <c r="N231" s="524"/>
      <c r="O231" s="524"/>
      <c r="P231" s="524"/>
      <c r="Q231" s="524"/>
      <c r="R231" s="524"/>
      <c r="S231" s="524"/>
      <c r="T231" s="524"/>
      <c r="U231" s="524"/>
      <c r="V231" s="524"/>
      <c r="W231" s="57"/>
      <c r="X231" s="45"/>
      <c r="Y231" s="54"/>
      <c r="Z231" s="45"/>
      <c r="AA231" s="45"/>
      <c r="AB231" s="59"/>
      <c r="AC231" s="59"/>
      <c r="AD231" s="59"/>
      <c r="AE231" s="59"/>
      <c r="AF231" s="59"/>
      <c r="AG231" s="59"/>
      <c r="AH231" s="59"/>
      <c r="AI231" s="59"/>
      <c r="AJ231" s="59"/>
      <c r="AK231" s="59"/>
      <c r="AL231" s="59"/>
      <c r="AM231" s="59"/>
      <c r="AN231" s="59"/>
      <c r="AO231" s="59"/>
      <c r="AP231" s="59"/>
      <c r="AQ231" s="59"/>
      <c r="AR231" s="59"/>
      <c r="AS231" s="57"/>
    </row>
    <row r="232" spans="3:45" ht="3" customHeight="1" thickBot="1">
      <c r="C232" s="64"/>
      <c r="D232" s="65"/>
      <c r="E232" s="65"/>
      <c r="F232" s="66"/>
      <c r="G232" s="61"/>
      <c r="H232" s="61"/>
      <c r="I232" s="61"/>
      <c r="J232" s="61"/>
      <c r="K232" s="61"/>
      <c r="L232" s="61"/>
      <c r="M232" s="61"/>
      <c r="N232" s="61"/>
      <c r="O232" s="61"/>
      <c r="P232" s="61"/>
      <c r="Q232" s="61"/>
      <c r="R232" s="61"/>
      <c r="S232" s="61"/>
      <c r="T232" s="61"/>
      <c r="U232" s="61"/>
      <c r="V232" s="61"/>
      <c r="W232" s="63"/>
      <c r="X232" s="44"/>
      <c r="Y232" s="60"/>
      <c r="Z232" s="61"/>
      <c r="AA232" s="61"/>
      <c r="AB232" s="62"/>
      <c r="AC232" s="62"/>
      <c r="AD232" s="62"/>
      <c r="AE232" s="62"/>
      <c r="AF232" s="62"/>
      <c r="AG232" s="62"/>
      <c r="AH232" s="62"/>
      <c r="AI232" s="62"/>
      <c r="AJ232" s="62"/>
      <c r="AK232" s="62"/>
      <c r="AL232" s="62"/>
      <c r="AM232" s="62"/>
      <c r="AN232" s="62"/>
      <c r="AO232" s="62"/>
      <c r="AP232" s="62"/>
      <c r="AQ232" s="62"/>
      <c r="AR232" s="62"/>
      <c r="AS232" s="63"/>
    </row>
    <row r="233" spans="3:45" ht="5.65" customHeight="1" thickBot="1">
      <c r="C233" s="45"/>
      <c r="D233" s="45"/>
      <c r="E233" s="45"/>
      <c r="F233" s="55"/>
      <c r="G233" s="44"/>
      <c r="H233" s="44"/>
      <c r="I233" s="44"/>
      <c r="J233" s="44"/>
      <c r="K233" s="44"/>
      <c r="L233" s="44"/>
      <c r="M233" s="44"/>
      <c r="N233" s="44"/>
      <c r="O233" s="44"/>
      <c r="P233" s="44"/>
      <c r="Q233" s="44"/>
      <c r="R233" s="44"/>
      <c r="S233" s="44"/>
      <c r="T233" s="44"/>
      <c r="U233" s="44"/>
      <c r="V233" s="44"/>
      <c r="W233" s="44"/>
      <c r="X233" s="44"/>
      <c r="Y233" s="44"/>
      <c r="Z233" s="44"/>
      <c r="AA233" s="44"/>
      <c r="AB233" s="365"/>
      <c r="AC233" s="365"/>
      <c r="AD233" s="365"/>
      <c r="AE233" s="365"/>
      <c r="AF233" s="365"/>
      <c r="AG233" s="365"/>
      <c r="AH233" s="365"/>
      <c r="AI233" s="365"/>
      <c r="AJ233" s="365"/>
      <c r="AK233" s="365"/>
      <c r="AL233" s="365"/>
      <c r="AM233" s="365"/>
      <c r="AN233" s="365"/>
      <c r="AO233" s="365"/>
      <c r="AP233" s="365"/>
      <c r="AQ233" s="365"/>
      <c r="AR233" s="365"/>
      <c r="AS233" s="44"/>
    </row>
    <row r="234" spans="3:45" ht="12.75" customHeight="1" thickBot="1">
      <c r="C234" s="900" t="s">
        <v>5379</v>
      </c>
      <c r="D234" s="901"/>
      <c r="E234" s="901"/>
      <c r="F234" s="901"/>
      <c r="G234" s="901"/>
      <c r="H234" s="901"/>
      <c r="I234" s="901"/>
      <c r="J234" s="901"/>
      <c r="K234" s="901"/>
      <c r="L234" s="901"/>
      <c r="M234" s="901"/>
      <c r="N234" s="901"/>
      <c r="O234" s="901"/>
      <c r="P234" s="901"/>
      <c r="Q234" s="901"/>
      <c r="R234" s="901"/>
      <c r="S234" s="901"/>
      <c r="T234" s="901"/>
      <c r="U234" s="901"/>
      <c r="V234" s="901"/>
      <c r="W234" s="901"/>
      <c r="X234" s="901"/>
      <c r="Y234" s="901"/>
      <c r="Z234" s="901"/>
      <c r="AA234" s="901"/>
      <c r="AB234" s="901"/>
      <c r="AC234" s="901"/>
      <c r="AD234" s="901"/>
      <c r="AE234" s="901"/>
      <c r="AF234" s="901"/>
      <c r="AG234" s="901"/>
      <c r="AH234" s="901"/>
      <c r="AI234" s="901"/>
      <c r="AJ234" s="901"/>
      <c r="AK234" s="901"/>
      <c r="AL234" s="901"/>
      <c r="AM234" s="901"/>
      <c r="AN234" s="901"/>
      <c r="AO234" s="901"/>
      <c r="AP234" s="901"/>
      <c r="AQ234" s="901"/>
      <c r="AR234" s="901"/>
      <c r="AS234" s="902"/>
    </row>
    <row r="235" spans="3:45" ht="4.4000000000000004" customHeight="1">
      <c r="C235" s="366"/>
      <c r="D235" s="367"/>
      <c r="E235" s="367"/>
      <c r="F235" s="368"/>
      <c r="G235" s="369"/>
      <c r="H235" s="369"/>
      <c r="I235" s="369"/>
      <c r="J235" s="369"/>
      <c r="K235" s="369"/>
      <c r="L235" s="369"/>
      <c r="M235" s="369"/>
      <c r="N235" s="369"/>
      <c r="O235" s="369"/>
      <c r="P235" s="369"/>
      <c r="Q235" s="369"/>
      <c r="R235" s="369"/>
      <c r="S235" s="369"/>
      <c r="T235" s="369"/>
      <c r="U235" s="369"/>
      <c r="V235" s="369"/>
      <c r="W235" s="369"/>
      <c r="X235" s="369"/>
      <c r="Y235" s="369"/>
      <c r="Z235" s="369"/>
      <c r="AA235" s="369"/>
      <c r="AB235" s="370"/>
      <c r="AC235" s="370"/>
      <c r="AD235" s="370"/>
      <c r="AE235" s="370"/>
      <c r="AF235" s="370"/>
      <c r="AG235" s="370"/>
      <c r="AH235" s="370"/>
      <c r="AI235" s="370"/>
      <c r="AJ235" s="370"/>
      <c r="AK235" s="370"/>
      <c r="AL235" s="370"/>
      <c r="AM235" s="370"/>
      <c r="AN235" s="370"/>
      <c r="AO235" s="370"/>
      <c r="AP235" s="370"/>
      <c r="AQ235" s="370"/>
      <c r="AR235" s="370"/>
      <c r="AS235" s="371"/>
    </row>
    <row r="236" spans="3:45" ht="12.75" customHeight="1">
      <c r="C236" s="669" t="s">
        <v>5378</v>
      </c>
      <c r="D236" s="670"/>
      <c r="E236" s="670"/>
      <c r="F236" s="671"/>
      <c r="I236" s="657"/>
      <c r="J236" s="885"/>
      <c r="K236" s="886"/>
      <c r="L236" s="886"/>
      <c r="M236" s="886"/>
      <c r="N236" s="886"/>
      <c r="O236" s="886"/>
      <c r="P236" s="886"/>
      <c r="Q236" s="887"/>
      <c r="AJ236" s="657" t="s">
        <v>888</v>
      </c>
      <c r="AK236" s="882"/>
      <c r="AL236" s="883"/>
      <c r="AM236" s="883"/>
      <c r="AN236" s="883"/>
      <c r="AO236" s="883"/>
      <c r="AP236" s="883"/>
      <c r="AQ236" s="883"/>
      <c r="AR236" s="884"/>
      <c r="AS236" s="658"/>
    </row>
    <row r="237" spans="3:45" ht="3.65" customHeight="1" thickBot="1">
      <c r="C237" s="873"/>
      <c r="D237" s="874"/>
      <c r="E237" s="874"/>
      <c r="F237" s="672"/>
      <c r="G237" s="662"/>
      <c r="H237" s="662"/>
      <c r="I237" s="662"/>
      <c r="J237" s="662"/>
      <c r="K237" s="662"/>
      <c r="L237" s="662"/>
      <c r="M237" s="662"/>
      <c r="N237" s="662"/>
      <c r="O237" s="662"/>
      <c r="P237" s="662"/>
      <c r="Q237" s="662"/>
      <c r="R237" s="662"/>
      <c r="S237" s="662"/>
      <c r="T237" s="662"/>
      <c r="U237" s="662"/>
      <c r="V237" s="662"/>
      <c r="W237" s="662"/>
      <c r="X237" s="662"/>
      <c r="Y237" s="662"/>
      <c r="Z237" s="662"/>
      <c r="AA237" s="662"/>
      <c r="AB237" s="662"/>
      <c r="AC237" s="662"/>
      <c r="AD237" s="662"/>
      <c r="AE237" s="662"/>
      <c r="AF237" s="662"/>
      <c r="AG237" s="662"/>
      <c r="AH237" s="662"/>
      <c r="AI237" s="662"/>
      <c r="AJ237" s="662"/>
      <c r="AK237" s="662"/>
      <c r="AL237" s="662"/>
      <c r="AM237" s="662"/>
      <c r="AN237" s="662"/>
      <c r="AO237" s="662"/>
      <c r="AP237" s="662"/>
      <c r="AQ237" s="662"/>
      <c r="AR237" s="662"/>
      <c r="AS237" s="664"/>
    </row>
    <row r="238" spans="3:45" ht="11.15" customHeight="1">
      <c r="C238" s="673"/>
      <c r="D238" s="673"/>
      <c r="E238" s="673"/>
      <c r="F238" s="674"/>
    </row>
    <row r="239" spans="3:45" ht="12.75" customHeight="1">
      <c r="F239" s="675"/>
    </row>
    <row r="240" spans="3:45" ht="12.75" hidden="1" customHeight="1"/>
    <row r="241" ht="12.75" hidden="1" customHeight="1"/>
    <row r="242" ht="12.75" hidden="1" customHeight="1"/>
    <row r="243" ht="12.75" hidden="1" customHeight="1"/>
    <row r="244" ht="12.75" hidden="1" customHeight="1"/>
    <row r="245" ht="12.75" hidden="1" customHeight="1"/>
    <row r="246" ht="12.75" hidden="1" customHeight="1"/>
    <row r="247" ht="12.75" hidden="1" customHeight="1"/>
    <row r="248" ht="12.75" hidden="1" customHeight="1"/>
    <row r="249" ht="12.75" hidden="1" customHeight="1"/>
    <row r="250" ht="12.75" hidden="1" customHeight="1"/>
    <row r="251" ht="12.75" hidden="1" customHeight="1"/>
    <row r="252" ht="12.75" hidden="1" customHeight="1"/>
    <row r="253" ht="12.75" hidden="1" customHeight="1"/>
    <row r="254" ht="12.75" hidden="1" customHeight="1"/>
    <row r="255" ht="12.75" hidden="1" customHeight="1"/>
    <row r="256" ht="12.75" hidden="1" customHeight="1"/>
    <row r="257" ht="12.75" hidden="1" customHeight="1"/>
    <row r="258" ht="12.75" hidden="1" customHeight="1"/>
    <row r="259" ht="12.75" hidden="1" customHeight="1"/>
    <row r="260" ht="12.75" hidden="1" customHeight="1"/>
    <row r="261" ht="12.75" hidden="1" customHeight="1"/>
    <row r="262" ht="12.75" hidden="1" customHeight="1"/>
    <row r="263" ht="12.75" hidden="1" customHeight="1"/>
    <row r="264" ht="12.75" hidden="1" customHeight="1"/>
    <row r="265" ht="12.75" hidden="1" customHeight="1"/>
    <row r="266" ht="12.75" hidden="1" customHeight="1"/>
    <row r="267" ht="12.75" hidden="1" customHeight="1"/>
    <row r="268" ht="12.75" hidden="1" customHeight="1"/>
    <row r="269" ht="12.75" hidden="1" customHeight="1"/>
    <row r="270" ht="12.75" hidden="1" customHeight="1"/>
    <row r="271" ht="12.75" hidden="1" customHeight="1"/>
    <row r="272" ht="12.75" hidden="1" customHeight="1"/>
    <row r="273" ht="12.75" hidden="1" customHeight="1"/>
    <row r="274" ht="12.75" hidden="1" customHeight="1"/>
    <row r="275" ht="12.75" hidden="1" customHeight="1"/>
    <row r="276" ht="12.75" hidden="1" customHeight="1"/>
    <row r="277" ht="12.75" hidden="1" customHeight="1"/>
    <row r="278" ht="12.75" hidden="1" customHeight="1"/>
    <row r="279" ht="12.75" hidden="1" customHeight="1"/>
    <row r="280" ht="12.75" hidden="1" customHeight="1"/>
    <row r="281" ht="12.75" hidden="1" customHeight="1"/>
    <row r="282" ht="12.75" hidden="1" customHeight="1"/>
    <row r="283" ht="12.75" hidden="1" customHeight="1"/>
    <row r="284" ht="12.75" hidden="1" customHeight="1"/>
    <row r="285" ht="12.75" hidden="1" customHeight="1"/>
    <row r="286" ht="12.75" hidden="1" customHeight="1"/>
    <row r="287" ht="12.75" hidden="1" customHeight="1"/>
    <row r="288" ht="12.75" hidden="1" customHeight="1"/>
    <row r="289" ht="12.75" hidden="1" customHeight="1"/>
    <row r="290" ht="12.75" hidden="1" customHeight="1"/>
    <row r="291" ht="12.75" hidden="1" customHeight="1"/>
    <row r="292" ht="12.75" hidden="1" customHeight="1"/>
    <row r="293" ht="12.75" hidden="1" customHeight="1"/>
    <row r="294" ht="12.75" hidden="1" customHeight="1"/>
    <row r="295" ht="12.75" hidden="1" customHeight="1"/>
    <row r="296" ht="12.75" hidden="1" customHeight="1"/>
    <row r="297" ht="12.75" hidden="1" customHeight="1"/>
    <row r="298" ht="12.75" hidden="1" customHeight="1"/>
    <row r="299" ht="12.75" hidden="1" customHeight="1"/>
    <row r="300" ht="12.75" hidden="1" customHeight="1"/>
    <row r="301" ht="12.75" hidden="1" customHeight="1"/>
    <row r="302" ht="12.75" hidden="1" customHeight="1"/>
    <row r="303" ht="12.75" hidden="1" customHeight="1"/>
    <row r="304" ht="12.75" hidden="1" customHeight="1"/>
    <row r="305" ht="12.75" hidden="1" customHeight="1"/>
    <row r="306" ht="12.75" hidden="1" customHeight="1"/>
    <row r="307" ht="12.75" hidden="1" customHeight="1"/>
    <row r="308" ht="12.75" hidden="1" customHeight="1"/>
    <row r="309" ht="12.75" hidden="1" customHeight="1"/>
    <row r="310" ht="12.75" hidden="1" customHeight="1"/>
    <row r="311" ht="12.75" hidden="1" customHeight="1"/>
    <row r="312" ht="12.75" hidden="1" customHeight="1"/>
    <row r="313" ht="12.75" hidden="1" customHeight="1"/>
    <row r="314" ht="12.75" hidden="1" customHeight="1"/>
    <row r="315" ht="12.75" hidden="1" customHeight="1"/>
    <row r="316" ht="12.75" hidden="1" customHeight="1"/>
    <row r="317" ht="12.75" hidden="1" customHeight="1"/>
    <row r="318" ht="12.75" hidden="1" customHeight="1"/>
    <row r="319" ht="12.75" hidden="1" customHeight="1"/>
    <row r="320" ht="12.75" hidden="1" customHeight="1"/>
    <row r="321" ht="12.75" hidden="1" customHeight="1"/>
    <row r="322" ht="12.75" hidden="1" customHeight="1"/>
    <row r="323" ht="12.75" hidden="1" customHeight="1"/>
    <row r="324" ht="12.75" hidden="1" customHeight="1"/>
    <row r="325" ht="12.75" hidden="1" customHeight="1"/>
    <row r="326" ht="12.75" hidden="1" customHeight="1"/>
    <row r="327" ht="12.75" hidden="1" customHeight="1"/>
    <row r="328" ht="12.75" hidden="1" customHeight="1"/>
    <row r="329" ht="12.75" hidden="1" customHeight="1"/>
    <row r="330" ht="12.75" hidden="1" customHeight="1"/>
    <row r="331" ht="12.75" hidden="1" customHeight="1"/>
    <row r="332" ht="12.75" hidden="1" customHeight="1"/>
    <row r="333" ht="12.75" hidden="1" customHeight="1"/>
    <row r="334" ht="12.75" hidden="1" customHeight="1"/>
    <row r="335" ht="12.75" hidden="1" customHeight="1"/>
    <row r="336" ht="12.75" hidden="1" customHeight="1"/>
    <row r="337" spans="1:46" ht="12.75" hidden="1" customHeight="1"/>
    <row r="338" spans="1:46" ht="21" customHeight="1">
      <c r="C338" s="862" t="s">
        <v>5654</v>
      </c>
      <c r="D338" s="862"/>
      <c r="E338" s="862"/>
      <c r="F338" s="862"/>
      <c r="G338" s="862"/>
      <c r="H338" s="862"/>
      <c r="I338" s="862"/>
      <c r="J338" s="862"/>
      <c r="K338" s="862"/>
      <c r="L338" s="862"/>
      <c r="M338" s="862"/>
      <c r="N338" s="862"/>
      <c r="O338" s="862"/>
      <c r="P338" s="862"/>
      <c r="Q338" s="862"/>
      <c r="R338" s="862"/>
      <c r="S338" s="862"/>
      <c r="T338" s="862"/>
      <c r="U338" s="862"/>
      <c r="V338" s="862"/>
      <c r="W338" s="862"/>
      <c r="X338" s="862"/>
      <c r="Y338" s="862"/>
      <c r="Z338" s="862"/>
      <c r="AA338" s="862"/>
      <c r="AB338" s="862"/>
      <c r="AC338" s="862"/>
    </row>
    <row r="339" spans="1:46" ht="7.5" customHeight="1">
      <c r="C339" s="676"/>
      <c r="D339" s="676"/>
      <c r="E339" s="676"/>
      <c r="F339" s="676"/>
      <c r="G339" s="676"/>
      <c r="H339" s="676"/>
      <c r="I339" s="676"/>
      <c r="J339" s="676"/>
      <c r="K339" s="676"/>
      <c r="L339" s="676"/>
    </row>
    <row r="340" spans="1:46" ht="26.25" customHeight="1">
      <c r="C340" s="863" t="s">
        <v>5616</v>
      </c>
      <c r="D340" s="864"/>
      <c r="E340" s="864"/>
      <c r="F340" s="864"/>
      <c r="G340" s="864"/>
      <c r="H340" s="864"/>
      <c r="I340" s="864"/>
      <c r="J340" s="864"/>
      <c r="K340" s="864"/>
      <c r="L340" s="864"/>
      <c r="M340" s="864"/>
      <c r="N340" s="864"/>
      <c r="O340" s="864"/>
      <c r="P340" s="864"/>
      <c r="Q340" s="864"/>
      <c r="R340" s="864"/>
      <c r="S340" s="864"/>
      <c r="T340" s="864"/>
      <c r="U340" s="864"/>
      <c r="V340" s="864"/>
      <c r="W340" s="864"/>
      <c r="X340" s="864"/>
      <c r="Y340" s="864"/>
      <c r="Z340" s="864"/>
      <c r="AA340" s="864"/>
      <c r="AB340" s="864"/>
      <c r="AC340" s="864"/>
      <c r="AD340" s="864"/>
      <c r="AE340" s="864"/>
      <c r="AF340" s="864"/>
      <c r="AG340" s="864"/>
      <c r="AH340" s="864"/>
      <c r="AI340" s="864"/>
      <c r="AJ340" s="864"/>
      <c r="AK340" s="864"/>
      <c r="AL340" s="864"/>
      <c r="AM340" s="864"/>
      <c r="AN340" s="864"/>
      <c r="AO340" s="864"/>
      <c r="AP340" s="864"/>
      <c r="AQ340" s="864"/>
      <c r="AR340" s="864"/>
      <c r="AS340" s="864"/>
    </row>
    <row r="341" spans="1:46" ht="12.75" customHeight="1"/>
    <row r="342" spans="1:46" ht="12.75" customHeight="1">
      <c r="A342" s="476"/>
      <c r="B342" s="476"/>
      <c r="C342" s="476"/>
      <c r="D342" s="476"/>
      <c r="E342" s="476"/>
      <c r="F342" s="476"/>
      <c r="G342" s="476"/>
      <c r="H342" s="476"/>
      <c r="I342" s="476"/>
      <c r="J342" s="476"/>
      <c r="K342" s="476"/>
      <c r="L342" s="476"/>
      <c r="M342" s="476"/>
      <c r="N342" s="476"/>
      <c r="O342" s="476"/>
      <c r="P342" s="476"/>
      <c r="Q342" s="476"/>
      <c r="R342" s="476"/>
      <c r="S342" s="476"/>
      <c r="T342" s="476"/>
      <c r="U342" s="476"/>
      <c r="V342" s="476"/>
      <c r="W342" s="476"/>
      <c r="X342" s="476"/>
      <c r="Y342" s="476"/>
      <c r="Z342" s="476"/>
      <c r="AA342" s="476"/>
      <c r="AB342" s="476"/>
      <c r="AC342" s="476"/>
      <c r="AD342" s="476"/>
      <c r="AE342" s="476"/>
      <c r="AF342" s="476"/>
      <c r="AG342" s="476"/>
      <c r="AH342" s="476"/>
      <c r="AI342" s="476"/>
      <c r="AJ342" s="476"/>
      <c r="AK342" s="476"/>
      <c r="AL342" s="476"/>
      <c r="AM342" s="476"/>
      <c r="AN342" s="476"/>
      <c r="AO342" s="476"/>
      <c r="AP342" s="476"/>
      <c r="AQ342" s="476"/>
      <c r="AR342" s="476"/>
      <c r="AS342" s="476"/>
      <c r="AT342" s="476"/>
    </row>
    <row r="343" spans="1:46" ht="12.75" customHeight="1">
      <c r="A343" s="476"/>
      <c r="B343" s="476"/>
      <c r="C343" s="476"/>
      <c r="D343" s="476"/>
      <c r="E343" s="476"/>
      <c r="F343" s="476"/>
      <c r="G343" s="476"/>
      <c r="H343" s="476"/>
      <c r="I343" s="476"/>
      <c r="J343" s="476"/>
      <c r="K343" s="476"/>
      <c r="L343" s="476"/>
      <c r="M343" s="476"/>
      <c r="N343" s="476"/>
      <c r="O343" s="476"/>
      <c r="P343" s="476"/>
      <c r="Q343" s="476"/>
      <c r="R343" s="476"/>
      <c r="S343" s="476"/>
      <c r="T343" s="476"/>
      <c r="U343" s="476"/>
      <c r="V343" s="476"/>
      <c r="W343" s="476"/>
      <c r="X343" s="476"/>
      <c r="Y343" s="476"/>
      <c r="Z343" s="476"/>
      <c r="AA343" s="476"/>
      <c r="AB343" s="476"/>
      <c r="AC343" s="476"/>
      <c r="AD343" s="476"/>
      <c r="AE343" s="476"/>
      <c r="AF343" s="476"/>
      <c r="AG343" s="476"/>
      <c r="AH343" s="476"/>
      <c r="AI343" s="476"/>
      <c r="AJ343" s="476"/>
      <c r="AK343" s="476"/>
      <c r="AL343" s="476"/>
      <c r="AM343" s="476"/>
      <c r="AN343" s="476"/>
      <c r="AO343" s="476"/>
      <c r="AP343" s="476"/>
      <c r="AQ343" s="476"/>
      <c r="AR343" s="476"/>
      <c r="AS343" s="476"/>
      <c r="AT343" s="476"/>
    </row>
    <row r="344" spans="1:46" ht="12.75" customHeight="1">
      <c r="A344" s="476"/>
      <c r="B344" s="476"/>
      <c r="C344" s="476"/>
      <c r="D344" s="476"/>
      <c r="E344" s="476"/>
      <c r="F344" s="476"/>
      <c r="G344" s="476"/>
      <c r="H344" s="476"/>
      <c r="I344" s="476"/>
      <c r="J344" s="476"/>
      <c r="K344" s="476"/>
      <c r="L344" s="476"/>
      <c r="M344" s="476"/>
      <c r="N344" s="476"/>
      <c r="O344" s="476"/>
      <c r="P344" s="476"/>
      <c r="Q344" s="476"/>
      <c r="R344" s="476"/>
      <c r="S344" s="476"/>
      <c r="T344" s="476"/>
      <c r="U344" s="476"/>
      <c r="V344" s="476"/>
      <c r="W344" s="476"/>
      <c r="X344" s="476"/>
      <c r="Y344" s="476"/>
      <c r="Z344" s="476"/>
      <c r="AA344" s="476"/>
      <c r="AB344" s="476"/>
      <c r="AC344" s="476"/>
      <c r="AD344" s="476"/>
      <c r="AE344" s="476"/>
      <c r="AF344" s="476"/>
      <c r="AG344" s="476"/>
      <c r="AH344" s="476"/>
      <c r="AI344" s="476"/>
      <c r="AJ344" s="476"/>
      <c r="AK344" s="476"/>
      <c r="AL344" s="476"/>
      <c r="AM344" s="476"/>
      <c r="AN344" s="476"/>
      <c r="AO344" s="476"/>
      <c r="AP344" s="476"/>
      <c r="AQ344" s="476"/>
      <c r="AR344" s="476"/>
      <c r="AS344" s="476"/>
      <c r="AT344" s="476"/>
    </row>
    <row r="345" spans="1:46" ht="12.75" customHeight="1">
      <c r="A345" s="476"/>
      <c r="B345" s="476"/>
      <c r="C345" s="476"/>
      <c r="D345" s="476"/>
      <c r="E345" s="476"/>
      <c r="F345" s="476"/>
      <c r="G345" s="476"/>
      <c r="H345" s="476"/>
      <c r="I345" s="476"/>
      <c r="J345" s="476"/>
      <c r="K345" s="476"/>
      <c r="L345" s="476"/>
      <c r="M345" s="476"/>
      <c r="N345" s="476"/>
      <c r="O345" s="476"/>
      <c r="P345" s="476"/>
      <c r="Q345" s="476"/>
      <c r="R345" s="476"/>
      <c r="S345" s="476"/>
      <c r="T345" s="476"/>
      <c r="U345" s="476"/>
      <c r="V345" s="476"/>
      <c r="W345" s="476"/>
      <c r="X345" s="476"/>
      <c r="Y345" s="476"/>
      <c r="Z345" s="476"/>
      <c r="AA345" s="476"/>
      <c r="AB345" s="476"/>
      <c r="AC345" s="476"/>
      <c r="AD345" s="476"/>
      <c r="AE345" s="476"/>
      <c r="AF345" s="476"/>
      <c r="AG345" s="476"/>
      <c r="AH345" s="476"/>
      <c r="AI345" s="476"/>
      <c r="AJ345" s="476"/>
      <c r="AK345" s="476"/>
      <c r="AL345" s="476"/>
      <c r="AM345" s="476"/>
      <c r="AN345" s="476"/>
      <c r="AO345" s="476"/>
      <c r="AP345" s="476"/>
      <c r="AQ345" s="476"/>
      <c r="AR345" s="476"/>
      <c r="AS345" s="476"/>
      <c r="AT345" s="476"/>
    </row>
    <row r="346" spans="1:46" ht="12.75" customHeight="1">
      <c r="A346" s="476"/>
      <c r="B346" s="476"/>
      <c r="C346" s="476"/>
      <c r="D346" s="476"/>
      <c r="E346" s="476"/>
      <c r="F346" s="476"/>
      <c r="G346" s="476"/>
      <c r="H346" s="476"/>
      <c r="I346" s="476"/>
      <c r="J346" s="476"/>
      <c r="K346" s="476"/>
      <c r="L346" s="476"/>
      <c r="M346" s="476"/>
      <c r="N346" s="476"/>
      <c r="O346" s="476"/>
      <c r="P346" s="476"/>
      <c r="Q346" s="476"/>
      <c r="R346" s="476"/>
      <c r="S346" s="476"/>
      <c r="T346" s="476"/>
      <c r="U346" s="476"/>
      <c r="V346" s="476"/>
      <c r="W346" s="476"/>
      <c r="X346" s="476"/>
      <c r="Y346" s="476"/>
      <c r="Z346" s="476"/>
      <c r="AA346" s="476"/>
      <c r="AB346" s="476"/>
      <c r="AC346" s="476"/>
      <c r="AD346" s="476"/>
      <c r="AE346" s="476"/>
      <c r="AF346" s="476"/>
      <c r="AG346" s="476"/>
      <c r="AH346" s="476"/>
      <c r="AI346" s="476"/>
      <c r="AJ346" s="476"/>
      <c r="AK346" s="476"/>
      <c r="AL346" s="476"/>
      <c r="AM346" s="476"/>
      <c r="AN346" s="476"/>
      <c r="AO346" s="476"/>
      <c r="AP346" s="476"/>
      <c r="AQ346" s="476"/>
      <c r="AR346" s="476"/>
      <c r="AS346" s="476"/>
      <c r="AT346" s="476"/>
    </row>
    <row r="347" spans="1:46" ht="12.75" customHeight="1">
      <c r="A347" s="476"/>
      <c r="B347" s="476"/>
      <c r="C347" s="476"/>
      <c r="D347" s="476"/>
      <c r="E347" s="476"/>
      <c r="F347" s="476"/>
      <c r="G347" s="476"/>
      <c r="H347" s="476"/>
      <c r="I347" s="476"/>
      <c r="J347" s="476"/>
      <c r="K347" s="476"/>
      <c r="L347" s="476"/>
      <c r="M347" s="476"/>
      <c r="N347" s="476"/>
      <c r="O347" s="476"/>
      <c r="P347" s="476"/>
      <c r="Q347" s="476"/>
      <c r="R347" s="476"/>
      <c r="S347" s="476"/>
      <c r="T347" s="476"/>
      <c r="U347" s="476"/>
      <c r="V347" s="476"/>
      <c r="W347" s="476"/>
      <c r="X347" s="476"/>
      <c r="Y347" s="476"/>
      <c r="Z347" s="476"/>
      <c r="AA347" s="476"/>
      <c r="AB347" s="476"/>
      <c r="AC347" s="476"/>
      <c r="AD347" s="476"/>
      <c r="AE347" s="476"/>
      <c r="AF347" s="476"/>
      <c r="AG347" s="476"/>
      <c r="AH347" s="476"/>
      <c r="AI347" s="476"/>
      <c r="AJ347" s="476"/>
      <c r="AK347" s="476"/>
      <c r="AL347" s="476"/>
      <c r="AM347" s="476"/>
      <c r="AN347" s="476"/>
      <c r="AO347" s="476"/>
      <c r="AP347" s="476"/>
      <c r="AQ347" s="476"/>
      <c r="AR347" s="476"/>
      <c r="AS347" s="476"/>
      <c r="AT347" s="476"/>
    </row>
    <row r="348" spans="1:46" ht="12.75" customHeight="1">
      <c r="A348" s="476"/>
      <c r="B348" s="476"/>
      <c r="C348" s="476"/>
      <c r="D348" s="476"/>
      <c r="E348" s="476"/>
      <c r="F348" s="476"/>
      <c r="G348" s="476"/>
      <c r="H348" s="476"/>
      <c r="I348" s="476"/>
      <c r="J348" s="476"/>
      <c r="K348" s="476"/>
      <c r="L348" s="476"/>
      <c r="M348" s="476"/>
      <c r="N348" s="476"/>
      <c r="O348" s="476"/>
      <c r="P348" s="476"/>
      <c r="Q348" s="476"/>
      <c r="R348" s="476"/>
      <c r="S348" s="476"/>
      <c r="T348" s="476"/>
      <c r="U348" s="476"/>
      <c r="V348" s="476"/>
      <c r="W348" s="476"/>
      <c r="X348" s="476"/>
      <c r="Y348" s="476"/>
      <c r="Z348" s="476"/>
      <c r="AA348" s="476"/>
      <c r="AB348" s="476"/>
      <c r="AC348" s="476"/>
      <c r="AD348" s="476"/>
      <c r="AE348" s="476"/>
      <c r="AF348" s="476"/>
      <c r="AG348" s="476"/>
      <c r="AH348" s="476"/>
      <c r="AI348" s="476"/>
      <c r="AJ348" s="476"/>
      <c r="AK348" s="476"/>
      <c r="AL348" s="476"/>
      <c r="AM348" s="476"/>
      <c r="AN348" s="476"/>
      <c r="AO348" s="476"/>
      <c r="AP348" s="476"/>
      <c r="AQ348" s="476"/>
      <c r="AR348" s="476"/>
      <c r="AS348" s="476"/>
      <c r="AT348" s="476"/>
    </row>
    <row r="349" spans="1:46" ht="12.75" customHeight="1">
      <c r="A349" s="476"/>
      <c r="B349" s="476"/>
      <c r="C349" s="476"/>
      <c r="D349" s="476"/>
      <c r="E349" s="476"/>
      <c r="F349" s="476"/>
      <c r="G349" s="476"/>
      <c r="H349" s="476"/>
      <c r="I349" s="476"/>
      <c r="J349" s="476"/>
      <c r="K349" s="476"/>
      <c r="L349" s="476"/>
      <c r="M349" s="476"/>
      <c r="N349" s="476"/>
      <c r="O349" s="476"/>
      <c r="P349" s="476"/>
      <c r="Q349" s="476"/>
      <c r="R349" s="476"/>
      <c r="S349" s="476"/>
      <c r="T349" s="476"/>
      <c r="U349" s="476"/>
      <c r="V349" s="476"/>
      <c r="W349" s="476"/>
      <c r="X349" s="476"/>
      <c r="Y349" s="476"/>
      <c r="Z349" s="476"/>
      <c r="AA349" s="476"/>
      <c r="AB349" s="476"/>
      <c r="AC349" s="476"/>
      <c r="AD349" s="476"/>
      <c r="AE349" s="476"/>
      <c r="AF349" s="476"/>
      <c r="AG349" s="476"/>
      <c r="AH349" s="476"/>
      <c r="AI349" s="476"/>
      <c r="AJ349" s="476"/>
      <c r="AK349" s="476"/>
      <c r="AL349" s="476"/>
      <c r="AM349" s="476"/>
      <c r="AN349" s="476"/>
      <c r="AO349" s="476"/>
      <c r="AP349" s="476"/>
      <c r="AQ349" s="476"/>
      <c r="AR349" s="476"/>
      <c r="AS349" s="476"/>
      <c r="AT349" s="476"/>
    </row>
    <row r="350" spans="1:46" ht="12.75" customHeight="1">
      <c r="A350" s="476"/>
      <c r="B350" s="476"/>
      <c r="C350" s="476"/>
      <c r="D350" s="476"/>
      <c r="E350" s="476"/>
      <c r="F350" s="476"/>
      <c r="G350" s="476"/>
      <c r="H350" s="476"/>
      <c r="I350" s="476"/>
      <c r="J350" s="476"/>
      <c r="K350" s="476"/>
      <c r="L350" s="476"/>
      <c r="M350" s="476"/>
      <c r="N350" s="476"/>
      <c r="O350" s="476"/>
      <c r="P350" s="476"/>
      <c r="Q350" s="476"/>
      <c r="R350" s="476"/>
      <c r="S350" s="476"/>
      <c r="T350" s="476"/>
      <c r="U350" s="476"/>
      <c r="V350" s="476"/>
      <c r="W350" s="476"/>
      <c r="X350" s="476"/>
      <c r="Y350" s="476"/>
      <c r="Z350" s="476"/>
      <c r="AA350" s="476"/>
      <c r="AB350" s="476"/>
      <c r="AC350" s="476"/>
      <c r="AD350" s="476"/>
      <c r="AE350" s="476"/>
      <c r="AF350" s="476"/>
      <c r="AG350" s="476"/>
      <c r="AH350" s="476"/>
      <c r="AI350" s="476"/>
      <c r="AJ350" s="476"/>
      <c r="AK350" s="476"/>
      <c r="AL350" s="476"/>
      <c r="AM350" s="476"/>
      <c r="AN350" s="476"/>
      <c r="AO350" s="476"/>
      <c r="AP350" s="476"/>
      <c r="AQ350" s="476"/>
      <c r="AR350" s="476"/>
      <c r="AS350" s="476"/>
      <c r="AT350" s="476"/>
    </row>
    <row r="351" spans="1:46" ht="12.75" customHeight="1">
      <c r="A351" s="476"/>
      <c r="B351" s="476"/>
      <c r="C351" s="476"/>
      <c r="D351" s="476"/>
      <c r="E351" s="476"/>
      <c r="F351" s="476"/>
      <c r="G351" s="476"/>
      <c r="H351" s="476"/>
      <c r="I351" s="476"/>
      <c r="J351" s="476"/>
      <c r="K351" s="476"/>
      <c r="L351" s="476"/>
      <c r="M351" s="476"/>
      <c r="N351" s="476"/>
      <c r="O351" s="476"/>
      <c r="P351" s="476"/>
      <c r="Q351" s="476"/>
      <c r="R351" s="476"/>
      <c r="S351" s="476"/>
      <c r="T351" s="476"/>
      <c r="U351" s="476"/>
      <c r="V351" s="476"/>
      <c r="W351" s="476"/>
      <c r="X351" s="476"/>
      <c r="Y351" s="476"/>
      <c r="Z351" s="476"/>
      <c r="AA351" s="476"/>
      <c r="AB351" s="476"/>
      <c r="AC351" s="476"/>
      <c r="AD351" s="476"/>
      <c r="AE351" s="476"/>
      <c r="AF351" s="476"/>
      <c r="AG351" s="476"/>
      <c r="AH351" s="476"/>
      <c r="AI351" s="476"/>
      <c r="AJ351" s="476"/>
      <c r="AK351" s="476"/>
      <c r="AL351" s="476"/>
      <c r="AM351" s="476"/>
      <c r="AN351" s="476"/>
      <c r="AO351" s="476"/>
      <c r="AP351" s="476"/>
      <c r="AQ351" s="476"/>
      <c r="AR351" s="476"/>
      <c r="AS351" s="476"/>
      <c r="AT351" s="476"/>
    </row>
    <row r="352" spans="1:46" ht="12.75" customHeight="1">
      <c r="A352" s="476"/>
      <c r="B352" s="476"/>
      <c r="C352" s="476"/>
      <c r="D352" s="476"/>
      <c r="E352" s="476"/>
      <c r="F352" s="476"/>
      <c r="G352" s="476"/>
      <c r="H352" s="476"/>
      <c r="I352" s="476"/>
      <c r="J352" s="476"/>
      <c r="K352" s="476"/>
      <c r="L352" s="476"/>
      <c r="M352" s="476"/>
      <c r="N352" s="476"/>
      <c r="O352" s="476"/>
      <c r="P352" s="476"/>
      <c r="Q352" s="476"/>
      <c r="R352" s="476"/>
      <c r="S352" s="476"/>
      <c r="T352" s="476"/>
      <c r="U352" s="476"/>
      <c r="V352" s="476"/>
      <c r="W352" s="476"/>
      <c r="X352" s="476"/>
      <c r="Y352" s="476"/>
      <c r="Z352" s="476"/>
      <c r="AA352" s="476"/>
      <c r="AB352" s="476"/>
      <c r="AC352" s="476"/>
      <c r="AD352" s="476"/>
      <c r="AE352" s="476"/>
      <c r="AF352" s="476"/>
      <c r="AG352" s="476"/>
      <c r="AH352" s="476"/>
      <c r="AI352" s="476"/>
      <c r="AJ352" s="476"/>
      <c r="AK352" s="476"/>
      <c r="AL352" s="476"/>
      <c r="AM352" s="476"/>
      <c r="AN352" s="476"/>
      <c r="AO352" s="476"/>
      <c r="AP352" s="476"/>
      <c r="AQ352" s="476"/>
      <c r="AR352" s="476"/>
      <c r="AS352" s="476"/>
      <c r="AT352" s="476"/>
    </row>
    <row r="353" spans="1:46" ht="12.75" customHeight="1">
      <c r="A353" s="476"/>
      <c r="B353" s="476"/>
      <c r="C353" s="476"/>
      <c r="D353" s="476"/>
      <c r="E353" s="476"/>
      <c r="F353" s="476"/>
      <c r="G353" s="476"/>
      <c r="H353" s="476"/>
      <c r="I353" s="476"/>
      <c r="J353" s="476"/>
      <c r="K353" s="476"/>
      <c r="L353" s="476"/>
      <c r="M353" s="476"/>
      <c r="N353" s="476"/>
      <c r="O353" s="476"/>
      <c r="P353" s="476"/>
      <c r="Q353" s="476"/>
      <c r="R353" s="476"/>
      <c r="S353" s="476"/>
      <c r="T353" s="476"/>
      <c r="U353" s="476"/>
      <c r="V353" s="476"/>
      <c r="W353" s="476"/>
      <c r="X353" s="476"/>
      <c r="Y353" s="476"/>
      <c r="Z353" s="476"/>
      <c r="AA353" s="476"/>
      <c r="AB353" s="476"/>
      <c r="AC353" s="476"/>
      <c r="AD353" s="476"/>
      <c r="AE353" s="476"/>
      <c r="AF353" s="476"/>
      <c r="AG353" s="476"/>
      <c r="AH353" s="476"/>
      <c r="AI353" s="476"/>
      <c r="AJ353" s="476"/>
      <c r="AK353" s="476"/>
      <c r="AL353" s="476"/>
      <c r="AM353" s="476"/>
      <c r="AN353" s="476"/>
      <c r="AO353" s="476"/>
      <c r="AP353" s="476"/>
      <c r="AQ353" s="476"/>
      <c r="AR353" s="476"/>
      <c r="AS353" s="476"/>
      <c r="AT353" s="476"/>
    </row>
    <row r="354" spans="1:46" ht="12.75" customHeight="1">
      <c r="A354" s="476"/>
      <c r="B354" s="476"/>
      <c r="C354" s="476"/>
      <c r="D354" s="476"/>
      <c r="E354" s="476"/>
      <c r="F354" s="476"/>
      <c r="G354" s="476"/>
      <c r="H354" s="476"/>
      <c r="I354" s="476"/>
      <c r="J354" s="476"/>
      <c r="K354" s="476"/>
      <c r="L354" s="476"/>
      <c r="M354" s="476"/>
      <c r="N354" s="476"/>
      <c r="O354" s="476"/>
      <c r="P354" s="476"/>
      <c r="Q354" s="476"/>
      <c r="R354" s="476"/>
      <c r="S354" s="476"/>
      <c r="T354" s="476"/>
      <c r="U354" s="476"/>
      <c r="V354" s="476"/>
      <c r="W354" s="476"/>
      <c r="X354" s="476"/>
      <c r="Y354" s="476"/>
      <c r="Z354" s="476"/>
      <c r="AA354" s="476"/>
      <c r="AB354" s="476"/>
      <c r="AC354" s="476"/>
      <c r="AD354" s="476"/>
      <c r="AE354" s="476"/>
      <c r="AF354" s="476"/>
      <c r="AG354" s="476"/>
      <c r="AH354" s="476"/>
      <c r="AI354" s="476"/>
      <c r="AJ354" s="476"/>
      <c r="AK354" s="476"/>
      <c r="AL354" s="476"/>
      <c r="AM354" s="476"/>
      <c r="AN354" s="476"/>
      <c r="AO354" s="476"/>
      <c r="AP354" s="476"/>
      <c r="AQ354" s="476"/>
      <c r="AR354" s="476"/>
      <c r="AS354" s="476"/>
      <c r="AT354" s="476"/>
    </row>
    <row r="355" spans="1:46" ht="12.75" customHeight="1">
      <c r="A355" s="476"/>
      <c r="B355" s="476"/>
      <c r="C355" s="476"/>
      <c r="D355" s="476"/>
      <c r="E355" s="476"/>
      <c r="F355" s="476"/>
      <c r="G355" s="476"/>
      <c r="H355" s="476"/>
      <c r="I355" s="476"/>
      <c r="J355" s="476"/>
      <c r="K355" s="476"/>
      <c r="L355" s="476"/>
      <c r="M355" s="476"/>
      <c r="N355" s="476"/>
      <c r="O355" s="476"/>
      <c r="P355" s="476"/>
      <c r="Q355" s="476"/>
      <c r="R355" s="476"/>
      <c r="S355" s="476"/>
      <c r="T355" s="476"/>
      <c r="U355" s="476"/>
      <c r="V355" s="476"/>
      <c r="W355" s="476"/>
      <c r="X355" s="476"/>
      <c r="Y355" s="476"/>
      <c r="Z355" s="476"/>
      <c r="AA355" s="476"/>
      <c r="AB355" s="476"/>
      <c r="AC355" s="476"/>
      <c r="AD355" s="476"/>
      <c r="AE355" s="476"/>
      <c r="AF355" s="476"/>
      <c r="AG355" s="476"/>
      <c r="AH355" s="476"/>
      <c r="AI355" s="476"/>
      <c r="AJ355" s="476"/>
      <c r="AK355" s="476"/>
      <c r="AL355" s="476"/>
      <c r="AM355" s="476"/>
      <c r="AN355" s="476"/>
      <c r="AO355" s="476"/>
      <c r="AP355" s="476"/>
      <c r="AQ355" s="476"/>
      <c r="AR355" s="476"/>
      <c r="AS355" s="476"/>
      <c r="AT355" s="476"/>
    </row>
    <row r="356" spans="1:46" ht="12.75" customHeight="1">
      <c r="A356" s="476"/>
      <c r="B356" s="476"/>
      <c r="C356" s="476"/>
      <c r="D356" s="476"/>
      <c r="E356" s="476"/>
      <c r="F356" s="476"/>
      <c r="G356" s="476"/>
      <c r="H356" s="476"/>
      <c r="I356" s="476"/>
      <c r="J356" s="476"/>
      <c r="K356" s="476"/>
      <c r="L356" s="476"/>
      <c r="M356" s="476"/>
      <c r="N356" s="476"/>
      <c r="O356" s="476"/>
      <c r="P356" s="476"/>
      <c r="Q356" s="476"/>
      <c r="R356" s="476"/>
      <c r="S356" s="476"/>
      <c r="T356" s="476"/>
      <c r="U356" s="476"/>
      <c r="V356" s="476"/>
      <c r="W356" s="476"/>
      <c r="X356" s="476"/>
      <c r="Y356" s="476"/>
      <c r="Z356" s="476"/>
      <c r="AA356" s="476"/>
      <c r="AB356" s="476"/>
      <c r="AC356" s="476"/>
      <c r="AD356" s="476"/>
      <c r="AE356" s="476"/>
      <c r="AF356" s="476"/>
      <c r="AG356" s="476"/>
      <c r="AH356" s="476"/>
      <c r="AI356" s="476"/>
      <c r="AJ356" s="476"/>
      <c r="AK356" s="476"/>
      <c r="AL356" s="476"/>
      <c r="AM356" s="476"/>
      <c r="AN356" s="476"/>
      <c r="AO356" s="476"/>
      <c r="AP356" s="476"/>
      <c r="AQ356" s="476"/>
      <c r="AR356" s="476"/>
      <c r="AS356" s="476"/>
      <c r="AT356" s="476"/>
    </row>
    <row r="357" spans="1:46" ht="12.75" customHeight="1">
      <c r="A357" s="476"/>
      <c r="B357" s="476"/>
      <c r="C357" s="476"/>
      <c r="D357" s="476"/>
      <c r="E357" s="476"/>
      <c r="F357" s="476"/>
      <c r="G357" s="476"/>
      <c r="H357" s="476"/>
      <c r="I357" s="476"/>
      <c r="J357" s="476"/>
      <c r="K357" s="476"/>
      <c r="L357" s="476"/>
      <c r="M357" s="476"/>
      <c r="N357" s="476"/>
      <c r="O357" s="476"/>
      <c r="P357" s="476"/>
      <c r="Q357" s="476"/>
      <c r="R357" s="476"/>
      <c r="S357" s="476"/>
      <c r="T357" s="476"/>
      <c r="U357" s="476"/>
      <c r="V357" s="476"/>
      <c r="W357" s="476"/>
      <c r="X357" s="476"/>
      <c r="Y357" s="476"/>
      <c r="Z357" s="476"/>
      <c r="AA357" s="476"/>
      <c r="AB357" s="476"/>
      <c r="AC357" s="476"/>
      <c r="AD357" s="476"/>
      <c r="AE357" s="476"/>
      <c r="AF357" s="476"/>
      <c r="AG357" s="476"/>
      <c r="AH357" s="476"/>
      <c r="AI357" s="476"/>
      <c r="AJ357" s="476"/>
      <c r="AK357" s="476"/>
      <c r="AL357" s="476"/>
      <c r="AM357" s="476"/>
      <c r="AN357" s="476"/>
      <c r="AO357" s="476"/>
      <c r="AP357" s="476"/>
      <c r="AQ357" s="476"/>
      <c r="AR357" s="476"/>
      <c r="AS357" s="476"/>
      <c r="AT357" s="476"/>
    </row>
    <row r="358" spans="1:46" ht="12.75" customHeight="1">
      <c r="A358" s="476"/>
      <c r="B358" s="476"/>
      <c r="C358" s="476"/>
      <c r="D358" s="476"/>
      <c r="E358" s="476"/>
      <c r="F358" s="476"/>
      <c r="G358" s="476"/>
      <c r="H358" s="476"/>
      <c r="I358" s="476"/>
      <c r="J358" s="476"/>
      <c r="K358" s="476"/>
      <c r="L358" s="476"/>
      <c r="M358" s="476"/>
      <c r="N358" s="476"/>
      <c r="O358" s="476"/>
      <c r="P358" s="476"/>
      <c r="Q358" s="476"/>
      <c r="R358" s="476"/>
      <c r="S358" s="476"/>
      <c r="T358" s="476"/>
      <c r="U358" s="476"/>
      <c r="V358" s="476"/>
      <c r="W358" s="476"/>
      <c r="X358" s="476"/>
      <c r="Y358" s="476"/>
      <c r="Z358" s="476"/>
      <c r="AA358" s="476"/>
      <c r="AB358" s="476"/>
      <c r="AC358" s="476"/>
      <c r="AD358" s="476"/>
      <c r="AE358" s="476"/>
      <c r="AF358" s="476"/>
      <c r="AG358" s="476"/>
      <c r="AH358" s="476"/>
      <c r="AI358" s="476"/>
      <c r="AJ358" s="476"/>
      <c r="AK358" s="476"/>
      <c r="AL358" s="476"/>
      <c r="AM358" s="476"/>
      <c r="AN358" s="476"/>
      <c r="AO358" s="476"/>
      <c r="AP358" s="476"/>
      <c r="AQ358" s="476"/>
      <c r="AR358" s="476"/>
      <c r="AS358" s="476"/>
      <c r="AT358" s="476"/>
    </row>
    <row r="359" spans="1:46" ht="12.75" customHeight="1">
      <c r="A359" s="476"/>
      <c r="B359" s="476"/>
      <c r="C359" s="476"/>
      <c r="D359" s="476"/>
      <c r="E359" s="476"/>
      <c r="F359" s="476"/>
      <c r="G359" s="476"/>
      <c r="H359" s="476"/>
      <c r="I359" s="476"/>
      <c r="J359" s="476"/>
      <c r="K359" s="476"/>
      <c r="L359" s="476"/>
      <c r="M359" s="476"/>
      <c r="N359" s="476"/>
      <c r="O359" s="476"/>
      <c r="P359" s="476"/>
      <c r="Q359" s="476"/>
      <c r="R359" s="476"/>
      <c r="S359" s="476"/>
      <c r="T359" s="476"/>
      <c r="U359" s="476"/>
      <c r="V359" s="476"/>
      <c r="W359" s="476"/>
      <c r="X359" s="476"/>
      <c r="Y359" s="476"/>
      <c r="Z359" s="476"/>
      <c r="AA359" s="476"/>
      <c r="AB359" s="476"/>
      <c r="AC359" s="476"/>
      <c r="AD359" s="476"/>
      <c r="AE359" s="476"/>
      <c r="AF359" s="476"/>
      <c r="AG359" s="476"/>
      <c r="AH359" s="476"/>
      <c r="AI359" s="476"/>
      <c r="AJ359" s="476"/>
      <c r="AK359" s="476"/>
      <c r="AL359" s="476"/>
      <c r="AM359" s="476"/>
      <c r="AN359" s="476"/>
      <c r="AO359" s="476"/>
      <c r="AP359" s="476"/>
      <c r="AQ359" s="476"/>
      <c r="AR359" s="476"/>
      <c r="AS359" s="476"/>
      <c r="AT359" s="476"/>
    </row>
    <row r="360" spans="1:46" ht="12.75" customHeight="1">
      <c r="A360" s="476"/>
      <c r="B360" s="476"/>
      <c r="C360" s="476"/>
      <c r="D360" s="476"/>
      <c r="E360" s="476"/>
      <c r="F360" s="476"/>
      <c r="G360" s="476"/>
      <c r="H360" s="476"/>
      <c r="I360" s="476"/>
      <c r="J360" s="476"/>
      <c r="K360" s="476"/>
      <c r="L360" s="476"/>
      <c r="M360" s="476"/>
      <c r="N360" s="476"/>
      <c r="O360" s="476"/>
      <c r="P360" s="476"/>
      <c r="Q360" s="476"/>
      <c r="R360" s="476"/>
      <c r="S360" s="476"/>
      <c r="T360" s="476"/>
      <c r="U360" s="476"/>
      <c r="V360" s="476"/>
      <c r="W360" s="476"/>
      <c r="X360" s="476"/>
      <c r="Y360" s="476"/>
      <c r="Z360" s="476"/>
      <c r="AA360" s="476"/>
      <c r="AB360" s="476"/>
      <c r="AC360" s="476"/>
      <c r="AD360" s="476"/>
      <c r="AE360" s="476"/>
      <c r="AF360" s="476"/>
      <c r="AG360" s="476"/>
      <c r="AH360" s="476"/>
      <c r="AI360" s="476"/>
      <c r="AJ360" s="476"/>
      <c r="AK360" s="476"/>
      <c r="AL360" s="476"/>
      <c r="AM360" s="476"/>
      <c r="AN360" s="476"/>
      <c r="AO360" s="476"/>
      <c r="AP360" s="476"/>
      <c r="AQ360" s="476"/>
      <c r="AR360" s="476"/>
      <c r="AS360" s="476"/>
      <c r="AT360" s="476"/>
    </row>
    <row r="361" spans="1:46" ht="12.75" customHeight="1">
      <c r="A361" s="476"/>
      <c r="B361" s="476"/>
      <c r="C361" s="476"/>
      <c r="D361" s="476"/>
      <c r="E361" s="476"/>
      <c r="F361" s="476"/>
      <c r="G361" s="476"/>
      <c r="H361" s="476"/>
      <c r="I361" s="476"/>
      <c r="J361" s="476"/>
      <c r="K361" s="476"/>
      <c r="L361" s="476"/>
      <c r="M361" s="476"/>
      <c r="N361" s="476"/>
      <c r="O361" s="476"/>
      <c r="P361" s="476"/>
      <c r="Q361" s="476"/>
      <c r="R361" s="476"/>
      <c r="S361" s="476"/>
      <c r="T361" s="476"/>
      <c r="U361" s="476"/>
      <c r="V361" s="476"/>
      <c r="W361" s="476"/>
      <c r="X361" s="476"/>
      <c r="Y361" s="476"/>
      <c r="Z361" s="476"/>
      <c r="AA361" s="476"/>
      <c r="AB361" s="476"/>
      <c r="AC361" s="476"/>
      <c r="AD361" s="476"/>
      <c r="AE361" s="476"/>
      <c r="AF361" s="476"/>
      <c r="AG361" s="476"/>
      <c r="AH361" s="476"/>
      <c r="AI361" s="476"/>
      <c r="AJ361" s="476"/>
      <c r="AK361" s="476"/>
      <c r="AL361" s="476"/>
      <c r="AM361" s="476"/>
      <c r="AN361" s="476"/>
      <c r="AO361" s="476"/>
      <c r="AP361" s="476"/>
      <c r="AQ361" s="476"/>
      <c r="AR361" s="476"/>
      <c r="AS361" s="476"/>
      <c r="AT361" s="476"/>
    </row>
    <row r="362" spans="1:46" ht="12.75" customHeight="1">
      <c r="A362" s="476"/>
      <c r="B362" s="476"/>
      <c r="C362" s="476"/>
      <c r="D362" s="476"/>
      <c r="E362" s="476"/>
      <c r="F362" s="476"/>
      <c r="G362" s="476"/>
      <c r="H362" s="476"/>
      <c r="I362" s="476"/>
      <c r="J362" s="476"/>
      <c r="K362" s="476"/>
      <c r="L362" s="476"/>
      <c r="M362" s="476"/>
      <c r="N362" s="476"/>
      <c r="O362" s="476"/>
      <c r="P362" s="476"/>
      <c r="Q362" s="476"/>
      <c r="R362" s="476"/>
      <c r="S362" s="476"/>
      <c r="T362" s="476"/>
      <c r="U362" s="476"/>
      <c r="V362" s="476"/>
      <c r="W362" s="476"/>
      <c r="X362" s="476"/>
      <c r="Y362" s="476"/>
      <c r="Z362" s="476"/>
      <c r="AA362" s="476"/>
      <c r="AB362" s="476"/>
      <c r="AC362" s="476"/>
      <c r="AD362" s="476"/>
      <c r="AE362" s="476"/>
      <c r="AF362" s="476"/>
      <c r="AG362" s="476"/>
      <c r="AH362" s="476"/>
      <c r="AI362" s="476"/>
      <c r="AJ362" s="476"/>
      <c r="AK362" s="476"/>
      <c r="AL362" s="476"/>
      <c r="AM362" s="476"/>
      <c r="AN362" s="476"/>
      <c r="AO362" s="476"/>
      <c r="AP362" s="476"/>
      <c r="AQ362" s="476"/>
      <c r="AR362" s="476"/>
      <c r="AS362" s="476"/>
      <c r="AT362" s="476"/>
    </row>
    <row r="363" spans="1:46" ht="12.75" customHeight="1">
      <c r="A363" s="476"/>
      <c r="B363" s="476"/>
      <c r="C363" s="476"/>
      <c r="D363" s="476"/>
      <c r="E363" s="476"/>
      <c r="F363" s="476"/>
      <c r="G363" s="476"/>
      <c r="H363" s="476"/>
      <c r="I363" s="476"/>
      <c r="J363" s="476"/>
      <c r="K363" s="476"/>
      <c r="L363" s="476"/>
      <c r="M363" s="476"/>
      <c r="N363" s="476"/>
      <c r="O363" s="476"/>
      <c r="P363" s="476"/>
      <c r="Q363" s="476"/>
      <c r="R363" s="476"/>
      <c r="S363" s="476"/>
      <c r="T363" s="476"/>
      <c r="U363" s="476"/>
      <c r="V363" s="476"/>
      <c r="W363" s="476"/>
      <c r="X363" s="476"/>
      <c r="Y363" s="476"/>
      <c r="Z363" s="476"/>
      <c r="AA363" s="476"/>
      <c r="AB363" s="476"/>
      <c r="AC363" s="476"/>
      <c r="AD363" s="476"/>
      <c r="AE363" s="476"/>
      <c r="AF363" s="476"/>
      <c r="AG363" s="476"/>
      <c r="AH363" s="476"/>
      <c r="AI363" s="476"/>
      <c r="AJ363" s="476"/>
      <c r="AK363" s="476"/>
      <c r="AL363" s="476"/>
      <c r="AM363" s="476"/>
      <c r="AN363" s="476"/>
      <c r="AO363" s="476"/>
      <c r="AP363" s="476"/>
      <c r="AQ363" s="476"/>
      <c r="AR363" s="476"/>
      <c r="AS363" s="476"/>
      <c r="AT363" s="476"/>
    </row>
    <row r="364" spans="1:46" ht="12.75" customHeight="1">
      <c r="A364" s="476"/>
      <c r="B364" s="476"/>
      <c r="C364" s="476"/>
      <c r="D364" s="476"/>
      <c r="E364" s="476"/>
      <c r="F364" s="476"/>
      <c r="G364" s="476"/>
      <c r="H364" s="476"/>
      <c r="I364" s="476"/>
      <c r="J364" s="476"/>
      <c r="K364" s="476"/>
      <c r="L364" s="476"/>
      <c r="M364" s="476"/>
      <c r="N364" s="476"/>
      <c r="O364" s="476"/>
      <c r="P364" s="476"/>
      <c r="Q364" s="476"/>
      <c r="R364" s="476"/>
      <c r="S364" s="476"/>
      <c r="T364" s="476"/>
      <c r="U364" s="476"/>
      <c r="V364" s="476"/>
      <c r="W364" s="476"/>
      <c r="X364" s="476"/>
      <c r="Y364" s="476"/>
      <c r="Z364" s="476"/>
      <c r="AA364" s="476"/>
      <c r="AB364" s="476"/>
      <c r="AC364" s="476"/>
      <c r="AD364" s="476"/>
      <c r="AE364" s="476"/>
      <c r="AF364" s="476"/>
      <c r="AG364" s="476"/>
      <c r="AH364" s="476"/>
      <c r="AI364" s="476"/>
      <c r="AJ364" s="476"/>
      <c r="AK364" s="476"/>
      <c r="AL364" s="476"/>
      <c r="AM364" s="476"/>
      <c r="AN364" s="476"/>
      <c r="AO364" s="476"/>
      <c r="AP364" s="476"/>
      <c r="AQ364" s="476"/>
      <c r="AR364" s="476"/>
      <c r="AS364" s="476"/>
      <c r="AT364" s="476"/>
    </row>
    <row r="365" spans="1:46" ht="12.75" customHeight="1">
      <c r="A365" s="476"/>
      <c r="B365" s="476"/>
      <c r="C365" s="476"/>
      <c r="D365" s="476"/>
      <c r="E365" s="476"/>
      <c r="F365" s="476"/>
      <c r="G365" s="476"/>
      <c r="H365" s="476"/>
      <c r="I365" s="476"/>
      <c r="J365" s="476"/>
      <c r="K365" s="476"/>
      <c r="L365" s="476"/>
      <c r="M365" s="476"/>
      <c r="N365" s="476"/>
      <c r="O365" s="476"/>
      <c r="P365" s="476"/>
      <c r="Q365" s="476"/>
      <c r="R365" s="476"/>
      <c r="S365" s="476"/>
      <c r="T365" s="476"/>
      <c r="U365" s="476"/>
      <c r="V365" s="476"/>
      <c r="W365" s="476"/>
      <c r="X365" s="476"/>
      <c r="Y365" s="476"/>
      <c r="Z365" s="476"/>
      <c r="AA365" s="476"/>
      <c r="AB365" s="476"/>
      <c r="AC365" s="476"/>
      <c r="AD365" s="476"/>
      <c r="AE365" s="476"/>
      <c r="AF365" s="476"/>
      <c r="AG365" s="476"/>
      <c r="AH365" s="476"/>
      <c r="AI365" s="476"/>
      <c r="AJ365" s="476"/>
      <c r="AK365" s="476"/>
      <c r="AL365" s="476"/>
      <c r="AM365" s="476"/>
      <c r="AN365" s="476"/>
      <c r="AO365" s="476"/>
      <c r="AP365" s="476"/>
      <c r="AQ365" s="476"/>
      <c r="AR365" s="476"/>
      <c r="AS365" s="476"/>
      <c r="AT365" s="476"/>
    </row>
    <row r="366" spans="1:46" ht="12.75" customHeight="1">
      <c r="A366" s="476"/>
      <c r="B366" s="476"/>
      <c r="C366" s="476"/>
      <c r="D366" s="476"/>
      <c r="E366" s="476"/>
      <c r="F366" s="476"/>
      <c r="G366" s="476"/>
      <c r="H366" s="476"/>
      <c r="I366" s="476"/>
      <c r="J366" s="476"/>
      <c r="K366" s="476"/>
      <c r="L366" s="476"/>
      <c r="M366" s="476"/>
      <c r="N366" s="476"/>
      <c r="O366" s="476"/>
      <c r="P366" s="476"/>
      <c r="Q366" s="476"/>
      <c r="R366" s="476"/>
      <c r="S366" s="476"/>
      <c r="T366" s="476"/>
      <c r="U366" s="476"/>
      <c r="V366" s="476"/>
      <c r="W366" s="476"/>
      <c r="X366" s="476"/>
      <c r="Y366" s="476"/>
      <c r="Z366" s="476"/>
      <c r="AA366" s="476"/>
      <c r="AB366" s="476"/>
      <c r="AC366" s="476"/>
      <c r="AD366" s="476"/>
      <c r="AE366" s="476"/>
      <c r="AF366" s="476"/>
      <c r="AG366" s="476"/>
      <c r="AH366" s="476"/>
      <c r="AI366" s="476"/>
      <c r="AJ366" s="476"/>
      <c r="AK366" s="476"/>
      <c r="AL366" s="476"/>
      <c r="AM366" s="476"/>
      <c r="AN366" s="476"/>
      <c r="AO366" s="476"/>
      <c r="AP366" s="476"/>
      <c r="AQ366" s="476"/>
      <c r="AR366" s="476"/>
      <c r="AS366" s="476"/>
      <c r="AT366" s="476"/>
    </row>
    <row r="367" spans="1:46" ht="12.75" customHeight="1">
      <c r="A367" s="476"/>
      <c r="B367" s="476"/>
      <c r="C367" s="476"/>
      <c r="D367" s="476"/>
      <c r="E367" s="476"/>
      <c r="F367" s="476"/>
      <c r="G367" s="476"/>
      <c r="H367" s="476"/>
      <c r="I367" s="476"/>
      <c r="J367" s="476"/>
      <c r="K367" s="476"/>
      <c r="L367" s="476"/>
      <c r="M367" s="476"/>
      <c r="N367" s="476"/>
      <c r="O367" s="476"/>
      <c r="P367" s="476"/>
      <c r="Q367" s="476"/>
      <c r="R367" s="476"/>
      <c r="S367" s="476"/>
      <c r="T367" s="476"/>
      <c r="U367" s="476"/>
      <c r="V367" s="476"/>
      <c r="W367" s="476"/>
      <c r="X367" s="476"/>
      <c r="Y367" s="476"/>
      <c r="Z367" s="476"/>
      <c r="AA367" s="476"/>
      <c r="AB367" s="476"/>
      <c r="AC367" s="476"/>
      <c r="AD367" s="476"/>
      <c r="AE367" s="476"/>
      <c r="AF367" s="476"/>
      <c r="AG367" s="476"/>
      <c r="AH367" s="476"/>
      <c r="AI367" s="476"/>
      <c r="AJ367" s="476"/>
      <c r="AK367" s="476"/>
      <c r="AL367" s="476"/>
      <c r="AM367" s="476"/>
      <c r="AN367" s="476"/>
      <c r="AO367" s="476"/>
      <c r="AP367" s="476"/>
      <c r="AQ367" s="476"/>
      <c r="AR367" s="476"/>
      <c r="AS367" s="476"/>
      <c r="AT367" s="476"/>
    </row>
    <row r="368" spans="1:46" ht="12.75" customHeight="1">
      <c r="A368" s="476"/>
      <c r="B368" s="476"/>
      <c r="C368" s="476"/>
      <c r="D368" s="476"/>
      <c r="E368" s="476"/>
      <c r="F368" s="476"/>
      <c r="G368" s="476"/>
      <c r="H368" s="476"/>
      <c r="I368" s="476"/>
      <c r="J368" s="476"/>
      <c r="K368" s="476"/>
      <c r="L368" s="476"/>
      <c r="M368" s="476"/>
      <c r="N368" s="476"/>
      <c r="O368" s="476"/>
      <c r="P368" s="476"/>
      <c r="Q368" s="476"/>
      <c r="R368" s="476"/>
      <c r="S368" s="476"/>
      <c r="T368" s="476"/>
      <c r="U368" s="476"/>
      <c r="V368" s="476"/>
      <c r="W368" s="476"/>
      <c r="X368" s="476"/>
      <c r="Y368" s="476"/>
      <c r="Z368" s="476"/>
      <c r="AA368" s="476"/>
      <c r="AB368" s="476"/>
      <c r="AC368" s="476"/>
      <c r="AD368" s="476"/>
      <c r="AE368" s="476"/>
      <c r="AF368" s="476"/>
      <c r="AG368" s="476"/>
      <c r="AH368" s="476"/>
      <c r="AI368" s="476"/>
      <c r="AJ368" s="476"/>
      <c r="AK368" s="476"/>
      <c r="AL368" s="476"/>
      <c r="AM368" s="476"/>
      <c r="AN368" s="476"/>
      <c r="AO368" s="476"/>
      <c r="AP368" s="476"/>
      <c r="AQ368" s="476"/>
      <c r="AR368" s="476"/>
      <c r="AS368" s="476"/>
      <c r="AT368" s="476"/>
    </row>
    <row r="369" spans="1:46" ht="12.75" customHeight="1">
      <c r="A369" s="476"/>
      <c r="B369" s="476"/>
      <c r="C369" s="476"/>
      <c r="D369" s="476"/>
      <c r="E369" s="476"/>
      <c r="F369" s="476"/>
      <c r="G369" s="476"/>
      <c r="H369" s="476"/>
      <c r="I369" s="476"/>
      <c r="J369" s="476"/>
      <c r="K369" s="476"/>
      <c r="L369" s="476"/>
      <c r="M369" s="476"/>
      <c r="N369" s="476"/>
      <c r="O369" s="476"/>
      <c r="P369" s="476"/>
      <c r="Q369" s="476"/>
      <c r="R369" s="476"/>
      <c r="S369" s="476"/>
      <c r="T369" s="476"/>
      <c r="U369" s="476"/>
      <c r="V369" s="476"/>
      <c r="W369" s="476"/>
      <c r="X369" s="476"/>
      <c r="Y369" s="476"/>
      <c r="Z369" s="476"/>
      <c r="AA369" s="476"/>
      <c r="AB369" s="476"/>
      <c r="AC369" s="476"/>
      <c r="AD369" s="476"/>
      <c r="AE369" s="476"/>
      <c r="AF369" s="476"/>
      <c r="AG369" s="476"/>
      <c r="AH369" s="476"/>
      <c r="AI369" s="476"/>
      <c r="AJ369" s="476"/>
      <c r="AK369" s="476"/>
      <c r="AL369" s="476"/>
      <c r="AM369" s="476"/>
      <c r="AN369" s="476"/>
      <c r="AO369" s="476"/>
      <c r="AP369" s="476"/>
      <c r="AQ369" s="476"/>
      <c r="AR369" s="476"/>
      <c r="AS369" s="476"/>
      <c r="AT369" s="476"/>
    </row>
    <row r="370" spans="1:46" ht="12.75" customHeight="1">
      <c r="A370" s="476"/>
      <c r="B370" s="476"/>
      <c r="C370" s="476"/>
      <c r="D370" s="476"/>
      <c r="E370" s="476"/>
      <c r="F370" s="476"/>
      <c r="G370" s="476"/>
      <c r="H370" s="476"/>
      <c r="I370" s="476"/>
      <c r="J370" s="476"/>
      <c r="K370" s="476"/>
      <c r="L370" s="476"/>
      <c r="M370" s="476"/>
      <c r="N370" s="476"/>
      <c r="O370" s="476"/>
      <c r="P370" s="476"/>
      <c r="Q370" s="476"/>
      <c r="R370" s="476"/>
      <c r="S370" s="476"/>
      <c r="T370" s="476"/>
      <c r="U370" s="476"/>
      <c r="V370" s="476"/>
      <c r="W370" s="476"/>
      <c r="X370" s="476"/>
      <c r="Y370" s="476"/>
      <c r="Z370" s="476"/>
      <c r="AA370" s="476"/>
      <c r="AB370" s="476"/>
      <c r="AC370" s="476"/>
      <c r="AD370" s="476"/>
      <c r="AE370" s="476"/>
      <c r="AF370" s="476"/>
      <c r="AG370" s="476"/>
      <c r="AH370" s="476"/>
      <c r="AI370" s="476"/>
      <c r="AJ370" s="476"/>
      <c r="AK370" s="476"/>
      <c r="AL370" s="476"/>
      <c r="AM370" s="476"/>
      <c r="AN370" s="476"/>
      <c r="AO370" s="476"/>
      <c r="AP370" s="476"/>
      <c r="AQ370" s="476"/>
      <c r="AR370" s="476"/>
      <c r="AS370" s="476"/>
      <c r="AT370" s="476"/>
    </row>
    <row r="371" spans="1:46" ht="12.75" customHeight="1">
      <c r="A371" s="476"/>
      <c r="B371" s="476"/>
      <c r="C371" s="476"/>
      <c r="D371" s="476"/>
      <c r="E371" s="476"/>
      <c r="F371" s="476"/>
      <c r="G371" s="476"/>
      <c r="H371" s="476"/>
      <c r="I371" s="476"/>
      <c r="J371" s="476"/>
      <c r="K371" s="476"/>
      <c r="L371" s="476"/>
      <c r="M371" s="476"/>
      <c r="N371" s="476"/>
      <c r="O371" s="476"/>
      <c r="P371" s="476"/>
      <c r="Q371" s="476"/>
      <c r="R371" s="476"/>
      <c r="S371" s="476"/>
      <c r="T371" s="476"/>
      <c r="U371" s="476"/>
      <c r="V371" s="476"/>
      <c r="W371" s="476"/>
      <c r="X371" s="476"/>
      <c r="Y371" s="476"/>
      <c r="Z371" s="476"/>
      <c r="AA371" s="476"/>
      <c r="AB371" s="476"/>
      <c r="AC371" s="476"/>
      <c r="AD371" s="476"/>
      <c r="AE371" s="476"/>
      <c r="AF371" s="476"/>
      <c r="AG371" s="476"/>
      <c r="AH371" s="476"/>
      <c r="AI371" s="476"/>
      <c r="AJ371" s="476"/>
      <c r="AK371" s="476"/>
      <c r="AL371" s="476"/>
      <c r="AM371" s="476"/>
      <c r="AN371" s="476"/>
      <c r="AO371" s="476"/>
      <c r="AP371" s="476"/>
      <c r="AQ371" s="476"/>
      <c r="AR371" s="476"/>
      <c r="AS371" s="476"/>
      <c r="AT371" s="476"/>
    </row>
    <row r="372" spans="1:46" ht="12.75" customHeight="1">
      <c r="A372" s="476"/>
      <c r="B372" s="476"/>
      <c r="C372" s="476"/>
      <c r="D372" s="476"/>
      <c r="E372" s="476"/>
      <c r="F372" s="476"/>
      <c r="G372" s="476"/>
      <c r="H372" s="476"/>
      <c r="I372" s="476"/>
      <c r="J372" s="476"/>
      <c r="K372" s="476"/>
      <c r="L372" s="476"/>
      <c r="M372" s="476"/>
      <c r="N372" s="476"/>
      <c r="O372" s="476"/>
      <c r="P372" s="476"/>
      <c r="Q372" s="476"/>
      <c r="R372" s="476"/>
      <c r="S372" s="476"/>
      <c r="T372" s="476"/>
      <c r="U372" s="476"/>
      <c r="V372" s="476"/>
      <c r="W372" s="476"/>
      <c r="X372" s="476"/>
      <c r="Y372" s="476"/>
      <c r="Z372" s="476"/>
      <c r="AA372" s="476"/>
      <c r="AB372" s="476"/>
      <c r="AC372" s="476"/>
      <c r="AD372" s="476"/>
      <c r="AE372" s="476"/>
      <c r="AF372" s="476"/>
      <c r="AG372" s="476"/>
      <c r="AH372" s="476"/>
      <c r="AI372" s="476"/>
      <c r="AJ372" s="476"/>
      <c r="AK372" s="476"/>
      <c r="AL372" s="476"/>
      <c r="AM372" s="476"/>
      <c r="AN372" s="476"/>
      <c r="AO372" s="476"/>
      <c r="AP372" s="476"/>
      <c r="AQ372" s="476"/>
      <c r="AR372" s="476"/>
      <c r="AS372" s="476"/>
      <c r="AT372" s="476"/>
    </row>
    <row r="373" spans="1:46" ht="12.75" customHeight="1">
      <c r="A373" s="476"/>
      <c r="B373" s="476"/>
      <c r="C373" s="476"/>
      <c r="D373" s="476"/>
      <c r="E373" s="476"/>
      <c r="F373" s="476"/>
      <c r="G373" s="476"/>
      <c r="H373" s="476"/>
      <c r="I373" s="476"/>
      <c r="J373" s="476"/>
      <c r="K373" s="476"/>
      <c r="L373" s="476"/>
      <c r="M373" s="476"/>
      <c r="N373" s="476"/>
      <c r="O373" s="476"/>
      <c r="P373" s="476"/>
      <c r="Q373" s="476"/>
      <c r="R373" s="476"/>
      <c r="S373" s="476"/>
      <c r="T373" s="476"/>
      <c r="U373" s="476"/>
      <c r="V373" s="476"/>
      <c r="W373" s="476"/>
      <c r="X373" s="476"/>
      <c r="Y373" s="476"/>
      <c r="Z373" s="476"/>
      <c r="AA373" s="476"/>
      <c r="AB373" s="476"/>
      <c r="AC373" s="476"/>
      <c r="AD373" s="476"/>
      <c r="AE373" s="476"/>
      <c r="AF373" s="476"/>
      <c r="AG373" s="476"/>
      <c r="AH373" s="476"/>
      <c r="AI373" s="476"/>
      <c r="AJ373" s="476"/>
      <c r="AK373" s="476"/>
      <c r="AL373" s="476"/>
      <c r="AM373" s="476"/>
      <c r="AN373" s="476"/>
      <c r="AO373" s="476"/>
      <c r="AP373" s="476"/>
      <c r="AQ373" s="476"/>
      <c r="AR373" s="476"/>
      <c r="AS373" s="476"/>
      <c r="AT373" s="476"/>
    </row>
    <row r="374" spans="1:46" ht="12.75" customHeight="1">
      <c r="A374" s="476"/>
      <c r="B374" s="476"/>
      <c r="C374" s="476"/>
      <c r="D374" s="476"/>
      <c r="E374" s="476"/>
      <c r="F374" s="476"/>
      <c r="G374" s="476"/>
      <c r="H374" s="476"/>
      <c r="I374" s="476"/>
      <c r="J374" s="476"/>
      <c r="K374" s="476"/>
      <c r="L374" s="476"/>
      <c r="M374" s="476"/>
      <c r="N374" s="476"/>
      <c r="O374" s="476"/>
      <c r="P374" s="476"/>
      <c r="Q374" s="476"/>
      <c r="R374" s="476"/>
      <c r="S374" s="476"/>
      <c r="T374" s="476"/>
      <c r="U374" s="476"/>
      <c r="V374" s="476"/>
      <c r="W374" s="476"/>
      <c r="X374" s="476"/>
      <c r="Y374" s="476"/>
      <c r="Z374" s="476"/>
      <c r="AA374" s="476"/>
      <c r="AB374" s="476"/>
      <c r="AC374" s="476"/>
      <c r="AD374" s="476"/>
      <c r="AE374" s="476"/>
      <c r="AF374" s="476"/>
      <c r="AG374" s="476"/>
      <c r="AH374" s="476"/>
      <c r="AI374" s="476"/>
      <c r="AJ374" s="476"/>
      <c r="AK374" s="476"/>
      <c r="AL374" s="476"/>
      <c r="AM374" s="476"/>
      <c r="AN374" s="476"/>
      <c r="AO374" s="476"/>
      <c r="AP374" s="476"/>
      <c r="AQ374" s="476"/>
      <c r="AR374" s="476"/>
      <c r="AS374" s="476"/>
      <c r="AT374" s="476"/>
    </row>
    <row r="375" spans="1:46" ht="12.75" customHeight="1">
      <c r="A375" s="476"/>
      <c r="B375" s="476"/>
      <c r="C375" s="476"/>
      <c r="D375" s="476"/>
      <c r="E375" s="476"/>
      <c r="F375" s="476"/>
      <c r="G375" s="476"/>
      <c r="H375" s="476"/>
      <c r="I375" s="476"/>
      <c r="J375" s="476"/>
      <c r="K375" s="476"/>
      <c r="L375" s="476"/>
      <c r="M375" s="476"/>
      <c r="N375" s="476"/>
      <c r="O375" s="476"/>
      <c r="P375" s="476"/>
      <c r="Q375" s="476"/>
      <c r="R375" s="476"/>
      <c r="S375" s="476"/>
      <c r="T375" s="476"/>
      <c r="U375" s="476"/>
      <c r="V375" s="476"/>
      <c r="W375" s="476"/>
      <c r="X375" s="476"/>
      <c r="Y375" s="476"/>
      <c r="Z375" s="476"/>
      <c r="AA375" s="476"/>
      <c r="AB375" s="476"/>
      <c r="AC375" s="476"/>
      <c r="AD375" s="476"/>
      <c r="AE375" s="476"/>
      <c r="AF375" s="476"/>
      <c r="AG375" s="476"/>
      <c r="AH375" s="476"/>
      <c r="AI375" s="476"/>
      <c r="AJ375" s="476"/>
      <c r="AK375" s="476"/>
      <c r="AL375" s="476"/>
      <c r="AM375" s="476"/>
      <c r="AN375" s="476"/>
      <c r="AO375" s="476"/>
      <c r="AP375" s="476"/>
      <c r="AQ375" s="476"/>
      <c r="AR375" s="476"/>
      <c r="AS375" s="476"/>
      <c r="AT375" s="476"/>
    </row>
    <row r="376" spans="1:46" ht="12.75" customHeight="1">
      <c r="A376" s="476"/>
      <c r="B376" s="476"/>
      <c r="C376" s="476"/>
      <c r="D376" s="476"/>
      <c r="E376" s="476"/>
      <c r="F376" s="476"/>
      <c r="G376" s="476"/>
      <c r="H376" s="476"/>
      <c r="I376" s="476"/>
      <c r="J376" s="476"/>
      <c r="K376" s="476"/>
      <c r="L376" s="476"/>
      <c r="M376" s="476"/>
      <c r="N376" s="476"/>
      <c r="O376" s="476"/>
      <c r="P376" s="476"/>
      <c r="Q376" s="476"/>
      <c r="R376" s="476"/>
      <c r="S376" s="476"/>
      <c r="T376" s="476"/>
      <c r="U376" s="476"/>
      <c r="V376" s="476"/>
      <c r="W376" s="476"/>
      <c r="X376" s="476"/>
      <c r="Y376" s="476"/>
      <c r="Z376" s="476"/>
      <c r="AA376" s="476"/>
      <c r="AB376" s="476"/>
      <c r="AC376" s="476"/>
      <c r="AD376" s="476"/>
      <c r="AE376" s="476"/>
      <c r="AF376" s="476"/>
      <c r="AG376" s="476"/>
      <c r="AH376" s="476"/>
      <c r="AI376" s="476"/>
      <c r="AJ376" s="476"/>
      <c r="AK376" s="476"/>
      <c r="AL376" s="476"/>
      <c r="AM376" s="476"/>
      <c r="AN376" s="476"/>
      <c r="AO376" s="476"/>
      <c r="AP376" s="476"/>
      <c r="AQ376" s="476"/>
      <c r="AR376" s="476"/>
      <c r="AS376" s="476"/>
      <c r="AT376" s="476"/>
    </row>
    <row r="377" spans="1:46" ht="12.75" customHeight="1">
      <c r="A377" s="476"/>
      <c r="B377" s="476"/>
      <c r="C377" s="476"/>
      <c r="D377" s="476"/>
      <c r="E377" s="476"/>
      <c r="F377" s="476"/>
      <c r="G377" s="476"/>
      <c r="H377" s="476"/>
      <c r="I377" s="476"/>
      <c r="J377" s="476"/>
      <c r="K377" s="476"/>
      <c r="L377" s="476"/>
      <c r="M377" s="476"/>
      <c r="N377" s="476"/>
      <c r="O377" s="476"/>
      <c r="P377" s="476"/>
      <c r="Q377" s="476"/>
      <c r="R377" s="476"/>
      <c r="S377" s="476"/>
      <c r="T377" s="476"/>
      <c r="U377" s="476"/>
      <c r="V377" s="476"/>
      <c r="W377" s="476"/>
      <c r="X377" s="476"/>
      <c r="Y377" s="476"/>
      <c r="Z377" s="476"/>
      <c r="AA377" s="476"/>
      <c r="AB377" s="476"/>
      <c r="AC377" s="476"/>
      <c r="AD377" s="476"/>
      <c r="AE377" s="476"/>
      <c r="AF377" s="476"/>
      <c r="AG377" s="476"/>
      <c r="AH377" s="476"/>
      <c r="AI377" s="476"/>
      <c r="AJ377" s="476"/>
      <c r="AK377" s="476"/>
      <c r="AL377" s="476"/>
      <c r="AM377" s="476"/>
      <c r="AN377" s="476"/>
      <c r="AO377" s="476"/>
      <c r="AP377" s="476"/>
      <c r="AQ377" s="476"/>
      <c r="AR377" s="476"/>
      <c r="AS377" s="476"/>
      <c r="AT377" s="476"/>
    </row>
    <row r="378" spans="1:46" ht="12.75" customHeight="1">
      <c r="A378" s="476"/>
      <c r="B378" s="476"/>
      <c r="C378" s="476"/>
      <c r="D378" s="476"/>
      <c r="E378" s="476"/>
      <c r="F378" s="476"/>
      <c r="G378" s="476"/>
      <c r="H378" s="476"/>
      <c r="I378" s="476"/>
      <c r="J378" s="476"/>
      <c r="K378" s="476"/>
      <c r="L378" s="476"/>
      <c r="M378" s="476"/>
      <c r="N378" s="476"/>
      <c r="O378" s="476"/>
      <c r="P378" s="476"/>
      <c r="Q378" s="476"/>
      <c r="R378" s="476"/>
      <c r="S378" s="476"/>
      <c r="T378" s="476"/>
      <c r="U378" s="476"/>
      <c r="V378" s="476"/>
      <c r="W378" s="476"/>
      <c r="X378" s="476"/>
      <c r="Y378" s="476"/>
      <c r="Z378" s="476"/>
      <c r="AA378" s="476"/>
      <c r="AB378" s="476"/>
      <c r="AC378" s="476"/>
      <c r="AD378" s="476"/>
      <c r="AE378" s="476"/>
      <c r="AF378" s="476"/>
      <c r="AG378" s="476"/>
      <c r="AH378" s="476"/>
      <c r="AI378" s="476"/>
      <c r="AJ378" s="476"/>
      <c r="AK378" s="476"/>
      <c r="AL378" s="476"/>
      <c r="AM378" s="476"/>
      <c r="AN378" s="476"/>
      <c r="AO378" s="476"/>
      <c r="AP378" s="476"/>
      <c r="AQ378" s="476"/>
      <c r="AR378" s="476"/>
      <c r="AS378" s="476"/>
      <c r="AT378" s="476"/>
    </row>
    <row r="379" spans="1:46" ht="12.75" customHeight="1">
      <c r="A379" s="476"/>
      <c r="B379" s="476"/>
      <c r="C379" s="476"/>
      <c r="D379" s="476"/>
      <c r="E379" s="476"/>
      <c r="F379" s="476"/>
      <c r="G379" s="476"/>
      <c r="H379" s="476"/>
      <c r="I379" s="476"/>
      <c r="J379" s="476"/>
      <c r="K379" s="476"/>
      <c r="L379" s="476"/>
      <c r="M379" s="476"/>
      <c r="N379" s="476"/>
      <c r="O379" s="476"/>
      <c r="P379" s="476"/>
      <c r="Q379" s="476"/>
      <c r="R379" s="476"/>
      <c r="S379" s="476"/>
      <c r="T379" s="476"/>
      <c r="U379" s="476"/>
      <c r="V379" s="476"/>
      <c r="W379" s="476"/>
      <c r="X379" s="476"/>
      <c r="Y379" s="476"/>
      <c r="Z379" s="476"/>
      <c r="AA379" s="476"/>
      <c r="AB379" s="476"/>
      <c r="AC379" s="476"/>
      <c r="AD379" s="476"/>
      <c r="AE379" s="476"/>
      <c r="AF379" s="476"/>
      <c r="AG379" s="476"/>
      <c r="AH379" s="476"/>
      <c r="AI379" s="476"/>
      <c r="AJ379" s="476"/>
      <c r="AK379" s="476"/>
      <c r="AL379" s="476"/>
      <c r="AM379" s="476"/>
      <c r="AN379" s="476"/>
      <c r="AO379" s="476"/>
      <c r="AP379" s="476"/>
      <c r="AQ379" s="476"/>
      <c r="AR379" s="476"/>
      <c r="AS379" s="476"/>
      <c r="AT379" s="476"/>
    </row>
    <row r="380" spans="1:46" ht="12.75" customHeight="1">
      <c r="A380" s="476"/>
      <c r="B380" s="476"/>
      <c r="C380" s="476"/>
      <c r="D380" s="476"/>
      <c r="E380" s="476"/>
      <c r="F380" s="476"/>
      <c r="G380" s="476"/>
      <c r="H380" s="476"/>
      <c r="I380" s="476"/>
      <c r="J380" s="476"/>
      <c r="K380" s="476"/>
      <c r="L380" s="476"/>
      <c r="M380" s="476"/>
      <c r="N380" s="476"/>
      <c r="O380" s="476"/>
      <c r="P380" s="476"/>
      <c r="Q380" s="476"/>
      <c r="R380" s="476"/>
      <c r="S380" s="476"/>
      <c r="T380" s="476"/>
      <c r="U380" s="476"/>
      <c r="V380" s="476"/>
      <c r="W380" s="476"/>
      <c r="X380" s="476"/>
      <c r="Y380" s="476"/>
      <c r="Z380" s="476"/>
      <c r="AA380" s="476"/>
      <c r="AB380" s="476"/>
      <c r="AC380" s="476"/>
      <c r="AD380" s="476"/>
      <c r="AE380" s="476"/>
      <c r="AF380" s="476"/>
      <c r="AG380" s="476"/>
      <c r="AH380" s="476"/>
      <c r="AI380" s="476"/>
      <c r="AJ380" s="476"/>
      <c r="AK380" s="476"/>
      <c r="AL380" s="476"/>
      <c r="AM380" s="476"/>
      <c r="AN380" s="476"/>
      <c r="AO380" s="476"/>
      <c r="AP380" s="476"/>
      <c r="AQ380" s="476"/>
      <c r="AR380" s="476"/>
      <c r="AS380" s="476"/>
      <c r="AT380" s="476"/>
    </row>
    <row r="381" spans="1:46" ht="12.75" customHeight="1">
      <c r="A381" s="476"/>
      <c r="B381" s="476"/>
      <c r="C381" s="476"/>
      <c r="D381" s="476"/>
      <c r="E381" s="476"/>
      <c r="F381" s="476"/>
      <c r="G381" s="476"/>
      <c r="H381" s="476"/>
      <c r="I381" s="476"/>
      <c r="J381" s="476"/>
      <c r="K381" s="476"/>
      <c r="L381" s="476"/>
      <c r="M381" s="476"/>
      <c r="N381" s="476"/>
      <c r="O381" s="476"/>
      <c r="P381" s="476"/>
      <c r="Q381" s="476"/>
      <c r="R381" s="476"/>
      <c r="S381" s="476"/>
      <c r="T381" s="476"/>
      <c r="U381" s="476"/>
      <c r="V381" s="476"/>
      <c r="W381" s="476"/>
      <c r="X381" s="476"/>
      <c r="Y381" s="476"/>
      <c r="Z381" s="476"/>
      <c r="AA381" s="476"/>
      <c r="AB381" s="476"/>
      <c r="AC381" s="476"/>
      <c r="AD381" s="476"/>
      <c r="AE381" s="476"/>
      <c r="AF381" s="476"/>
      <c r="AG381" s="476"/>
      <c r="AH381" s="476"/>
      <c r="AI381" s="476"/>
      <c r="AJ381" s="476"/>
      <c r="AK381" s="476"/>
      <c r="AL381" s="476"/>
      <c r="AM381" s="476"/>
      <c r="AN381" s="476"/>
      <c r="AO381" s="476"/>
      <c r="AP381" s="476"/>
      <c r="AQ381" s="476"/>
      <c r="AR381" s="476"/>
      <c r="AS381" s="476"/>
      <c r="AT381" s="476"/>
    </row>
    <row r="382" spans="1:46" ht="12.75" customHeight="1">
      <c r="A382" s="476"/>
      <c r="B382" s="476"/>
      <c r="C382" s="476"/>
      <c r="D382" s="476"/>
      <c r="E382" s="476"/>
      <c r="F382" s="476"/>
      <c r="G382" s="476"/>
      <c r="H382" s="476"/>
      <c r="I382" s="476"/>
      <c r="J382" s="476"/>
      <c r="K382" s="476"/>
      <c r="L382" s="476"/>
      <c r="M382" s="476"/>
      <c r="N382" s="476"/>
      <c r="O382" s="476"/>
      <c r="P382" s="476"/>
      <c r="Q382" s="476"/>
      <c r="R382" s="476"/>
      <c r="S382" s="476"/>
      <c r="T382" s="476"/>
      <c r="U382" s="476"/>
      <c r="V382" s="476"/>
      <c r="W382" s="476"/>
      <c r="X382" s="476"/>
      <c r="Y382" s="476"/>
      <c r="Z382" s="476"/>
      <c r="AA382" s="476"/>
      <c r="AB382" s="476"/>
      <c r="AC382" s="476"/>
      <c r="AD382" s="476"/>
      <c r="AE382" s="476"/>
      <c r="AF382" s="476"/>
      <c r="AG382" s="476"/>
      <c r="AH382" s="476"/>
      <c r="AI382" s="476"/>
      <c r="AJ382" s="476"/>
      <c r="AK382" s="476"/>
      <c r="AL382" s="476"/>
      <c r="AM382" s="476"/>
      <c r="AN382" s="476"/>
      <c r="AO382" s="476"/>
      <c r="AP382" s="476"/>
      <c r="AQ382" s="476"/>
      <c r="AR382" s="476"/>
      <c r="AS382" s="476"/>
      <c r="AT382" s="476"/>
    </row>
    <row r="383" spans="1:46" ht="12.75" customHeight="1">
      <c r="A383" s="476"/>
      <c r="B383" s="476"/>
      <c r="C383" s="476"/>
      <c r="D383" s="476"/>
      <c r="E383" s="476"/>
      <c r="F383" s="476"/>
      <c r="G383" s="476"/>
      <c r="H383" s="476"/>
      <c r="I383" s="476"/>
      <c r="J383" s="476"/>
      <c r="K383" s="476"/>
      <c r="L383" s="476"/>
      <c r="M383" s="476"/>
      <c r="N383" s="476"/>
      <c r="O383" s="476"/>
      <c r="P383" s="476"/>
      <c r="Q383" s="476"/>
      <c r="R383" s="476"/>
      <c r="S383" s="476"/>
      <c r="T383" s="476"/>
      <c r="U383" s="476"/>
      <c r="V383" s="476"/>
      <c r="W383" s="476"/>
      <c r="X383" s="476"/>
      <c r="Y383" s="476"/>
      <c r="Z383" s="476"/>
      <c r="AA383" s="476"/>
      <c r="AB383" s="476"/>
      <c r="AC383" s="476"/>
      <c r="AD383" s="476"/>
      <c r="AE383" s="476"/>
      <c r="AF383" s="476"/>
      <c r="AG383" s="476"/>
      <c r="AH383" s="476"/>
      <c r="AI383" s="476"/>
      <c r="AJ383" s="476"/>
      <c r="AK383" s="476"/>
      <c r="AL383" s="476"/>
      <c r="AM383" s="476"/>
      <c r="AN383" s="476"/>
      <c r="AO383" s="476"/>
      <c r="AP383" s="476"/>
      <c r="AQ383" s="476"/>
      <c r="AR383" s="476"/>
      <c r="AS383" s="476"/>
      <c r="AT383" s="476"/>
    </row>
    <row r="384" spans="1:46" ht="12.75" customHeight="1">
      <c r="A384" s="476"/>
      <c r="B384" s="476"/>
      <c r="C384" s="476"/>
      <c r="D384" s="476"/>
      <c r="E384" s="476"/>
      <c r="F384" s="476"/>
      <c r="G384" s="476"/>
      <c r="H384" s="476"/>
      <c r="I384" s="476"/>
      <c r="J384" s="476"/>
      <c r="K384" s="476"/>
      <c r="L384" s="476"/>
      <c r="M384" s="476"/>
      <c r="N384" s="476"/>
      <c r="O384" s="476"/>
      <c r="P384" s="476"/>
      <c r="Q384" s="476"/>
      <c r="R384" s="476"/>
      <c r="S384" s="476"/>
      <c r="T384" s="476"/>
      <c r="U384" s="476"/>
      <c r="V384" s="476"/>
      <c r="W384" s="476"/>
      <c r="X384" s="476"/>
      <c r="Y384" s="476"/>
      <c r="Z384" s="476"/>
      <c r="AA384" s="476"/>
      <c r="AB384" s="476"/>
      <c r="AC384" s="476"/>
      <c r="AD384" s="476"/>
      <c r="AE384" s="476"/>
      <c r="AF384" s="476"/>
      <c r="AG384" s="476"/>
      <c r="AH384" s="476"/>
      <c r="AI384" s="476"/>
      <c r="AJ384" s="476"/>
      <c r="AK384" s="476"/>
      <c r="AL384" s="476"/>
      <c r="AM384" s="476"/>
      <c r="AN384" s="476"/>
      <c r="AO384" s="476"/>
      <c r="AP384" s="476"/>
      <c r="AQ384" s="476"/>
      <c r="AR384" s="476"/>
      <c r="AS384" s="476"/>
      <c r="AT384" s="476"/>
    </row>
    <row r="385" spans="1:46" ht="12.75" customHeight="1">
      <c r="A385" s="476"/>
      <c r="B385" s="476"/>
      <c r="C385" s="476"/>
      <c r="D385" s="476"/>
      <c r="E385" s="476"/>
      <c r="F385" s="476"/>
      <c r="G385" s="476"/>
      <c r="H385" s="476"/>
      <c r="I385" s="476"/>
      <c r="J385" s="476"/>
      <c r="K385" s="476"/>
      <c r="L385" s="476"/>
      <c r="M385" s="476"/>
      <c r="N385" s="476"/>
      <c r="O385" s="476"/>
      <c r="P385" s="476"/>
      <c r="Q385" s="476"/>
      <c r="R385" s="476"/>
      <c r="S385" s="476"/>
      <c r="T385" s="476"/>
      <c r="U385" s="476"/>
      <c r="V385" s="476"/>
      <c r="W385" s="476"/>
      <c r="X385" s="476"/>
      <c r="Y385" s="476"/>
      <c r="Z385" s="476"/>
      <c r="AA385" s="476"/>
      <c r="AB385" s="476"/>
      <c r="AC385" s="476"/>
      <c r="AD385" s="476"/>
      <c r="AE385" s="476"/>
      <c r="AF385" s="476"/>
      <c r="AG385" s="476"/>
      <c r="AH385" s="476"/>
      <c r="AI385" s="476"/>
      <c r="AJ385" s="476"/>
      <c r="AK385" s="476"/>
      <c r="AL385" s="476"/>
      <c r="AM385" s="476"/>
      <c r="AN385" s="476"/>
      <c r="AO385" s="476"/>
      <c r="AP385" s="476"/>
      <c r="AQ385" s="476"/>
      <c r="AR385" s="476"/>
      <c r="AS385" s="476"/>
      <c r="AT385" s="476"/>
    </row>
    <row r="386" spans="1:46" ht="12.75" customHeight="1">
      <c r="A386" s="476"/>
      <c r="B386" s="476"/>
      <c r="C386" s="476"/>
      <c r="D386" s="476"/>
      <c r="E386" s="476"/>
      <c r="F386" s="476"/>
      <c r="G386" s="476"/>
      <c r="H386" s="476"/>
      <c r="I386" s="476"/>
      <c r="J386" s="476"/>
      <c r="K386" s="476"/>
      <c r="L386" s="476"/>
      <c r="M386" s="476"/>
      <c r="N386" s="476"/>
      <c r="O386" s="476"/>
      <c r="P386" s="476"/>
      <c r="Q386" s="476"/>
      <c r="R386" s="476"/>
      <c r="S386" s="476"/>
      <c r="T386" s="476"/>
      <c r="U386" s="476"/>
      <c r="V386" s="476"/>
      <c r="W386" s="476"/>
      <c r="X386" s="476"/>
      <c r="Y386" s="476"/>
      <c r="Z386" s="476"/>
      <c r="AA386" s="476"/>
      <c r="AB386" s="476"/>
      <c r="AC386" s="476"/>
      <c r="AD386" s="476"/>
      <c r="AE386" s="476"/>
      <c r="AF386" s="476"/>
      <c r="AG386" s="476"/>
      <c r="AH386" s="476"/>
      <c r="AI386" s="476"/>
      <c r="AJ386" s="476"/>
      <c r="AK386" s="476"/>
      <c r="AL386" s="476"/>
      <c r="AM386" s="476"/>
      <c r="AN386" s="476"/>
      <c r="AO386" s="476"/>
      <c r="AP386" s="476"/>
      <c r="AQ386" s="476"/>
      <c r="AR386" s="476"/>
      <c r="AS386" s="476"/>
      <c r="AT386" s="476"/>
    </row>
    <row r="387" spans="1:46" ht="12.75" customHeight="1">
      <c r="A387" s="476"/>
      <c r="B387" s="476"/>
      <c r="C387" s="476"/>
      <c r="D387" s="476"/>
      <c r="E387" s="476"/>
      <c r="F387" s="476"/>
      <c r="G387" s="476"/>
      <c r="H387" s="476"/>
      <c r="I387" s="476"/>
      <c r="J387" s="476"/>
      <c r="K387" s="476"/>
      <c r="L387" s="476"/>
      <c r="M387" s="476"/>
      <c r="N387" s="476"/>
      <c r="O387" s="476"/>
      <c r="P387" s="476"/>
      <c r="Q387" s="476"/>
      <c r="R387" s="476"/>
      <c r="S387" s="476"/>
      <c r="T387" s="476"/>
      <c r="U387" s="476"/>
      <c r="V387" s="476"/>
      <c r="W387" s="476"/>
      <c r="X387" s="476"/>
      <c r="Y387" s="476"/>
      <c r="Z387" s="476"/>
      <c r="AA387" s="476"/>
      <c r="AB387" s="476"/>
      <c r="AC387" s="476"/>
      <c r="AD387" s="476"/>
      <c r="AE387" s="476"/>
      <c r="AF387" s="476"/>
      <c r="AG387" s="476"/>
      <c r="AH387" s="476"/>
      <c r="AI387" s="476"/>
      <c r="AJ387" s="476"/>
      <c r="AK387" s="476"/>
      <c r="AL387" s="476"/>
      <c r="AM387" s="476"/>
      <c r="AN387" s="476"/>
      <c r="AO387" s="476"/>
      <c r="AP387" s="476"/>
      <c r="AQ387" s="476"/>
      <c r="AR387" s="476"/>
      <c r="AS387" s="476"/>
      <c r="AT387" s="476"/>
    </row>
    <row r="388" spans="1:46" ht="12.75" customHeight="1">
      <c r="A388" s="476"/>
      <c r="B388" s="476"/>
      <c r="C388" s="476"/>
      <c r="D388" s="476"/>
      <c r="E388" s="476"/>
      <c r="F388" s="476"/>
      <c r="G388" s="476"/>
      <c r="H388" s="476"/>
      <c r="I388" s="476"/>
      <c r="J388" s="476"/>
      <c r="K388" s="476"/>
      <c r="L388" s="476"/>
      <c r="M388" s="476"/>
      <c r="N388" s="476"/>
      <c r="O388" s="476"/>
      <c r="P388" s="476"/>
      <c r="Q388" s="476"/>
      <c r="R388" s="476"/>
      <c r="S388" s="476"/>
      <c r="T388" s="476"/>
      <c r="U388" s="476"/>
      <c r="V388" s="476"/>
      <c r="W388" s="476"/>
      <c r="X388" s="476"/>
      <c r="Y388" s="476"/>
      <c r="Z388" s="476"/>
      <c r="AA388" s="476"/>
      <c r="AB388" s="476"/>
      <c r="AC388" s="476"/>
      <c r="AD388" s="476"/>
      <c r="AE388" s="476"/>
      <c r="AF388" s="476"/>
      <c r="AG388" s="476"/>
      <c r="AH388" s="476"/>
      <c r="AI388" s="476"/>
      <c r="AJ388" s="476"/>
      <c r="AK388" s="476"/>
      <c r="AL388" s="476"/>
      <c r="AM388" s="476"/>
      <c r="AN388" s="476"/>
      <c r="AO388" s="476"/>
      <c r="AP388" s="476"/>
      <c r="AQ388" s="476"/>
      <c r="AR388" s="476"/>
      <c r="AS388" s="476"/>
      <c r="AT388" s="476"/>
    </row>
    <row r="389" spans="1:46" ht="12.75" customHeight="1">
      <c r="A389" s="476"/>
      <c r="B389" s="476"/>
      <c r="C389" s="476"/>
      <c r="D389" s="476"/>
      <c r="E389" s="476"/>
      <c r="F389" s="476"/>
      <c r="G389" s="476"/>
      <c r="H389" s="476"/>
      <c r="I389" s="476"/>
      <c r="J389" s="476"/>
      <c r="K389" s="476"/>
      <c r="L389" s="476"/>
      <c r="M389" s="476"/>
      <c r="N389" s="476"/>
      <c r="O389" s="476"/>
      <c r="P389" s="476"/>
      <c r="Q389" s="476"/>
      <c r="R389" s="476"/>
      <c r="S389" s="476"/>
      <c r="T389" s="476"/>
      <c r="U389" s="476"/>
      <c r="V389" s="476"/>
      <c r="W389" s="476"/>
      <c r="X389" s="476"/>
      <c r="Y389" s="476"/>
      <c r="Z389" s="476"/>
      <c r="AA389" s="476"/>
      <c r="AB389" s="476"/>
      <c r="AC389" s="476"/>
      <c r="AD389" s="476"/>
      <c r="AE389" s="476"/>
      <c r="AF389" s="476"/>
      <c r="AG389" s="476"/>
      <c r="AH389" s="476"/>
      <c r="AI389" s="476"/>
      <c r="AJ389" s="476"/>
      <c r="AK389" s="476"/>
      <c r="AL389" s="476"/>
      <c r="AM389" s="476"/>
      <c r="AN389" s="476"/>
      <c r="AO389" s="476"/>
      <c r="AP389" s="476"/>
      <c r="AQ389" s="476"/>
      <c r="AR389" s="476"/>
      <c r="AS389" s="476"/>
      <c r="AT389" s="476"/>
    </row>
    <row r="390" spans="1:46" ht="12.75" customHeight="1">
      <c r="A390" s="476"/>
      <c r="B390" s="476"/>
      <c r="C390" s="476"/>
      <c r="D390" s="476"/>
      <c r="E390" s="476"/>
      <c r="F390" s="476"/>
      <c r="G390" s="476"/>
      <c r="H390" s="476"/>
      <c r="I390" s="476"/>
      <c r="J390" s="476"/>
      <c r="K390" s="476"/>
      <c r="L390" s="476"/>
      <c r="M390" s="476"/>
      <c r="N390" s="476"/>
      <c r="O390" s="476"/>
      <c r="P390" s="476"/>
      <c r="Q390" s="476"/>
      <c r="R390" s="476"/>
      <c r="S390" s="476"/>
      <c r="T390" s="476"/>
      <c r="U390" s="476"/>
      <c r="V390" s="476"/>
      <c r="W390" s="476"/>
      <c r="X390" s="476"/>
      <c r="Y390" s="476"/>
      <c r="Z390" s="476"/>
      <c r="AA390" s="476"/>
      <c r="AB390" s="476"/>
      <c r="AC390" s="476"/>
      <c r="AD390" s="476"/>
      <c r="AE390" s="476"/>
      <c r="AF390" s="476"/>
      <c r="AG390" s="476"/>
      <c r="AH390" s="476"/>
      <c r="AI390" s="476"/>
      <c r="AJ390" s="476"/>
      <c r="AK390" s="476"/>
      <c r="AL390" s="476"/>
      <c r="AM390" s="476"/>
      <c r="AN390" s="476"/>
      <c r="AO390" s="476"/>
      <c r="AP390" s="476"/>
      <c r="AQ390" s="476"/>
      <c r="AR390" s="476"/>
      <c r="AS390" s="476"/>
      <c r="AT390" s="476"/>
    </row>
    <row r="391" spans="1:46" ht="12.75" customHeight="1">
      <c r="A391" s="476"/>
      <c r="B391" s="476"/>
      <c r="C391" s="476"/>
      <c r="D391" s="476"/>
      <c r="E391" s="476"/>
      <c r="F391" s="476"/>
      <c r="G391" s="476"/>
      <c r="H391" s="476"/>
      <c r="I391" s="476"/>
      <c r="J391" s="476"/>
      <c r="K391" s="476"/>
      <c r="L391" s="476"/>
      <c r="M391" s="476"/>
      <c r="N391" s="476"/>
      <c r="O391" s="476"/>
      <c r="P391" s="476"/>
      <c r="Q391" s="476"/>
      <c r="R391" s="476"/>
      <c r="S391" s="476"/>
      <c r="T391" s="476"/>
      <c r="U391" s="476"/>
      <c r="V391" s="476"/>
      <c r="W391" s="476"/>
      <c r="X391" s="476"/>
      <c r="Y391" s="476"/>
      <c r="Z391" s="476"/>
      <c r="AA391" s="476"/>
      <c r="AB391" s="476"/>
      <c r="AC391" s="476"/>
      <c r="AD391" s="476"/>
      <c r="AE391" s="476"/>
      <c r="AF391" s="476"/>
      <c r="AG391" s="476"/>
      <c r="AH391" s="476"/>
      <c r="AI391" s="476"/>
      <c r="AJ391" s="476"/>
      <c r="AK391" s="476"/>
      <c r="AL391" s="476"/>
      <c r="AM391" s="476"/>
      <c r="AN391" s="476"/>
      <c r="AO391" s="476"/>
      <c r="AP391" s="476"/>
      <c r="AQ391" s="476"/>
      <c r="AR391" s="476"/>
      <c r="AS391" s="476"/>
      <c r="AT391" s="476"/>
    </row>
    <row r="392" spans="1:46" ht="12.75" customHeight="1">
      <c r="A392" s="476"/>
      <c r="B392" s="476"/>
      <c r="C392" s="476"/>
      <c r="D392" s="476"/>
      <c r="E392" s="476"/>
      <c r="F392" s="476"/>
      <c r="G392" s="476"/>
      <c r="H392" s="476"/>
      <c r="I392" s="476"/>
      <c r="J392" s="476"/>
      <c r="K392" s="476"/>
      <c r="L392" s="476"/>
      <c r="M392" s="476"/>
      <c r="N392" s="476"/>
      <c r="O392" s="476"/>
      <c r="P392" s="476"/>
      <c r="Q392" s="476"/>
      <c r="R392" s="476"/>
      <c r="S392" s="476"/>
      <c r="T392" s="476"/>
      <c r="U392" s="476"/>
      <c r="V392" s="476"/>
      <c r="W392" s="476"/>
      <c r="X392" s="476"/>
      <c r="Y392" s="476"/>
      <c r="Z392" s="476"/>
      <c r="AA392" s="476"/>
      <c r="AB392" s="476"/>
      <c r="AC392" s="476"/>
      <c r="AD392" s="476"/>
      <c r="AE392" s="476"/>
      <c r="AF392" s="476"/>
      <c r="AG392" s="476"/>
      <c r="AH392" s="476"/>
      <c r="AI392" s="476"/>
      <c r="AJ392" s="476"/>
      <c r="AK392" s="476"/>
      <c r="AL392" s="476"/>
      <c r="AM392" s="476"/>
      <c r="AN392" s="476"/>
      <c r="AO392" s="476"/>
      <c r="AP392" s="476"/>
      <c r="AQ392" s="476"/>
      <c r="AR392" s="476"/>
      <c r="AS392" s="476"/>
      <c r="AT392" s="476"/>
    </row>
    <row r="393" spans="1:46" ht="12.75" customHeight="1">
      <c r="A393" s="476"/>
      <c r="B393" s="476"/>
      <c r="C393" s="476"/>
      <c r="D393" s="476"/>
      <c r="E393" s="476"/>
      <c r="F393" s="476"/>
      <c r="G393" s="476"/>
      <c r="H393" s="476"/>
      <c r="I393" s="476"/>
      <c r="J393" s="476"/>
      <c r="K393" s="476"/>
      <c r="L393" s="476"/>
      <c r="M393" s="476"/>
      <c r="N393" s="476"/>
      <c r="O393" s="476"/>
      <c r="P393" s="476"/>
      <c r="Q393" s="476"/>
      <c r="R393" s="476"/>
      <c r="S393" s="476"/>
      <c r="T393" s="476"/>
      <c r="U393" s="476"/>
      <c r="V393" s="476"/>
      <c r="W393" s="476"/>
      <c r="X393" s="476"/>
      <c r="Y393" s="476"/>
      <c r="Z393" s="476"/>
      <c r="AA393" s="476"/>
      <c r="AB393" s="476"/>
      <c r="AC393" s="476"/>
      <c r="AD393" s="476"/>
      <c r="AE393" s="476"/>
      <c r="AF393" s="476"/>
      <c r="AG393" s="476"/>
      <c r="AH393" s="476"/>
      <c r="AI393" s="476"/>
      <c r="AJ393" s="476"/>
      <c r="AK393" s="476"/>
      <c r="AL393" s="476"/>
      <c r="AM393" s="476"/>
      <c r="AN393" s="476"/>
      <c r="AO393" s="476"/>
      <c r="AP393" s="476"/>
      <c r="AQ393" s="476"/>
      <c r="AR393" s="476"/>
      <c r="AS393" s="476"/>
      <c r="AT393" s="476"/>
    </row>
    <row r="394" spans="1:46" ht="12.75" customHeight="1">
      <c r="A394" s="476"/>
      <c r="B394" s="476"/>
      <c r="C394" s="476"/>
      <c r="D394" s="476"/>
      <c r="E394" s="476"/>
      <c r="F394" s="476"/>
      <c r="G394" s="476"/>
      <c r="H394" s="476"/>
      <c r="I394" s="476"/>
      <c r="J394" s="476"/>
      <c r="K394" s="476"/>
      <c r="L394" s="476"/>
      <c r="M394" s="476"/>
      <c r="N394" s="476"/>
      <c r="O394" s="476"/>
      <c r="P394" s="476"/>
      <c r="Q394" s="476"/>
      <c r="R394" s="476"/>
      <c r="S394" s="476"/>
      <c r="T394" s="476"/>
      <c r="U394" s="476"/>
      <c r="V394" s="476"/>
      <c r="W394" s="476"/>
      <c r="X394" s="476"/>
      <c r="Y394" s="476"/>
      <c r="Z394" s="476"/>
      <c r="AA394" s="476"/>
      <c r="AB394" s="476"/>
      <c r="AC394" s="476"/>
      <c r="AD394" s="476"/>
      <c r="AE394" s="476"/>
      <c r="AF394" s="476"/>
      <c r="AG394" s="476"/>
      <c r="AH394" s="476"/>
      <c r="AI394" s="476"/>
      <c r="AJ394" s="476"/>
      <c r="AK394" s="476"/>
      <c r="AL394" s="476"/>
      <c r="AM394" s="476"/>
      <c r="AN394" s="476"/>
      <c r="AO394" s="476"/>
      <c r="AP394" s="476"/>
      <c r="AQ394" s="476"/>
      <c r="AR394" s="476"/>
      <c r="AS394" s="476"/>
      <c r="AT394" s="476"/>
    </row>
    <row r="395" spans="1:46" ht="12.75" customHeight="1">
      <c r="A395" s="476"/>
      <c r="B395" s="476"/>
      <c r="C395" s="476"/>
      <c r="D395" s="476"/>
      <c r="E395" s="476"/>
      <c r="F395" s="476"/>
      <c r="G395" s="476"/>
      <c r="H395" s="476"/>
      <c r="I395" s="476"/>
      <c r="J395" s="476"/>
      <c r="K395" s="476"/>
      <c r="L395" s="476"/>
      <c r="M395" s="476"/>
      <c r="N395" s="476"/>
      <c r="O395" s="476"/>
      <c r="P395" s="476"/>
      <c r="Q395" s="476"/>
      <c r="R395" s="476"/>
      <c r="S395" s="476"/>
      <c r="T395" s="476"/>
      <c r="U395" s="476"/>
      <c r="V395" s="476"/>
      <c r="W395" s="476"/>
      <c r="X395" s="476"/>
      <c r="Y395" s="476"/>
      <c r="Z395" s="476"/>
      <c r="AA395" s="476"/>
      <c r="AB395" s="476"/>
      <c r="AC395" s="476"/>
      <c r="AD395" s="476"/>
      <c r="AE395" s="476"/>
      <c r="AF395" s="476"/>
      <c r="AG395" s="476"/>
      <c r="AH395" s="476"/>
      <c r="AI395" s="476"/>
      <c r="AJ395" s="476"/>
      <c r="AK395" s="476"/>
      <c r="AL395" s="476"/>
      <c r="AM395" s="476"/>
      <c r="AN395" s="476"/>
      <c r="AO395" s="476"/>
      <c r="AP395" s="476"/>
      <c r="AQ395" s="476"/>
      <c r="AR395" s="476"/>
      <c r="AS395" s="476"/>
      <c r="AT395" s="476"/>
    </row>
    <row r="396" spans="1:46" ht="12.75" customHeight="1">
      <c r="A396" s="476"/>
      <c r="B396" s="476"/>
      <c r="C396" s="476"/>
      <c r="D396" s="476"/>
      <c r="E396" s="476"/>
      <c r="F396" s="476"/>
      <c r="G396" s="476"/>
      <c r="H396" s="476"/>
      <c r="I396" s="476"/>
      <c r="J396" s="476"/>
      <c r="K396" s="476"/>
      <c r="L396" s="476"/>
      <c r="M396" s="476"/>
      <c r="N396" s="476"/>
      <c r="O396" s="476"/>
      <c r="P396" s="476"/>
      <c r="Q396" s="476"/>
      <c r="R396" s="476"/>
      <c r="S396" s="476"/>
      <c r="T396" s="476"/>
      <c r="U396" s="476"/>
      <c r="V396" s="476"/>
      <c r="W396" s="476"/>
      <c r="X396" s="476"/>
      <c r="Y396" s="476"/>
      <c r="Z396" s="476"/>
      <c r="AA396" s="476"/>
      <c r="AB396" s="476"/>
      <c r="AC396" s="476"/>
      <c r="AD396" s="476"/>
      <c r="AE396" s="476"/>
      <c r="AF396" s="476"/>
      <c r="AG396" s="476"/>
      <c r="AH396" s="476"/>
      <c r="AI396" s="476"/>
      <c r="AJ396" s="476"/>
      <c r="AK396" s="476"/>
      <c r="AL396" s="476"/>
      <c r="AM396" s="476"/>
      <c r="AN396" s="476"/>
      <c r="AO396" s="476"/>
      <c r="AP396" s="476"/>
      <c r="AQ396" s="476"/>
      <c r="AR396" s="476"/>
      <c r="AS396" s="476"/>
      <c r="AT396" s="476"/>
    </row>
    <row r="397" spans="1:46" ht="12.75" customHeight="1">
      <c r="A397" s="476"/>
      <c r="B397" s="476"/>
      <c r="C397" s="476"/>
      <c r="D397" s="476"/>
      <c r="E397" s="476"/>
      <c r="F397" s="476"/>
      <c r="G397" s="476"/>
      <c r="H397" s="476"/>
      <c r="I397" s="476"/>
      <c r="J397" s="476"/>
      <c r="K397" s="476"/>
      <c r="L397" s="476"/>
      <c r="M397" s="476"/>
      <c r="N397" s="476"/>
      <c r="O397" s="476"/>
      <c r="P397" s="476"/>
      <c r="Q397" s="476"/>
      <c r="R397" s="476"/>
      <c r="S397" s="476"/>
      <c r="T397" s="476"/>
      <c r="U397" s="476"/>
      <c r="V397" s="476"/>
      <c r="W397" s="476"/>
      <c r="X397" s="476"/>
      <c r="Y397" s="476"/>
      <c r="Z397" s="476"/>
      <c r="AA397" s="476"/>
      <c r="AB397" s="476"/>
      <c r="AC397" s="476"/>
      <c r="AD397" s="476"/>
      <c r="AE397" s="476"/>
      <c r="AF397" s="476"/>
      <c r="AG397" s="476"/>
      <c r="AH397" s="476"/>
      <c r="AI397" s="476"/>
      <c r="AJ397" s="476"/>
      <c r="AK397" s="476"/>
      <c r="AL397" s="476"/>
      <c r="AM397" s="476"/>
      <c r="AN397" s="476"/>
      <c r="AO397" s="476"/>
      <c r="AP397" s="476"/>
      <c r="AQ397" s="476"/>
      <c r="AR397" s="476"/>
      <c r="AS397" s="476"/>
      <c r="AT397" s="476"/>
    </row>
    <row r="398" spans="1:46" ht="12.75" customHeight="1">
      <c r="A398" s="476"/>
      <c r="B398" s="476"/>
      <c r="C398" s="476"/>
      <c r="D398" s="476"/>
      <c r="E398" s="476"/>
      <c r="F398" s="476"/>
      <c r="G398" s="476"/>
      <c r="H398" s="476"/>
      <c r="I398" s="476"/>
      <c r="J398" s="476"/>
      <c r="K398" s="476"/>
      <c r="L398" s="476"/>
      <c r="M398" s="476"/>
      <c r="N398" s="476"/>
      <c r="O398" s="476"/>
      <c r="P398" s="476"/>
      <c r="Q398" s="476"/>
      <c r="R398" s="476"/>
      <c r="S398" s="476"/>
      <c r="T398" s="476"/>
      <c r="U398" s="476"/>
      <c r="V398" s="476"/>
      <c r="W398" s="476"/>
      <c r="X398" s="476"/>
      <c r="Y398" s="476"/>
      <c r="Z398" s="476"/>
      <c r="AA398" s="476"/>
      <c r="AB398" s="476"/>
      <c r="AC398" s="476"/>
      <c r="AD398" s="476"/>
      <c r="AE398" s="476"/>
      <c r="AF398" s="476"/>
      <c r="AG398" s="476"/>
      <c r="AH398" s="476"/>
      <c r="AI398" s="476"/>
      <c r="AJ398" s="476"/>
      <c r="AK398" s="476"/>
      <c r="AL398" s="476"/>
      <c r="AM398" s="476"/>
      <c r="AN398" s="476"/>
      <c r="AO398" s="476"/>
      <c r="AP398" s="476"/>
      <c r="AQ398" s="476"/>
      <c r="AR398" s="476"/>
      <c r="AS398" s="476"/>
      <c r="AT398" s="476"/>
    </row>
    <row r="399" spans="1:46" ht="12.75" customHeight="1">
      <c r="A399" s="476"/>
      <c r="B399" s="476"/>
      <c r="C399" s="476"/>
      <c r="D399" s="476"/>
      <c r="E399" s="476"/>
      <c r="F399" s="476"/>
      <c r="G399" s="476"/>
      <c r="H399" s="476"/>
      <c r="I399" s="476"/>
      <c r="J399" s="476"/>
      <c r="K399" s="476"/>
      <c r="L399" s="476"/>
      <c r="M399" s="476"/>
      <c r="N399" s="476"/>
      <c r="O399" s="476"/>
      <c r="P399" s="476"/>
      <c r="Q399" s="476"/>
      <c r="R399" s="476"/>
      <c r="S399" s="476"/>
      <c r="T399" s="476"/>
      <c r="U399" s="476"/>
      <c r="V399" s="476"/>
      <c r="W399" s="476"/>
      <c r="X399" s="476"/>
      <c r="Y399" s="476"/>
      <c r="Z399" s="476"/>
      <c r="AA399" s="476"/>
      <c r="AB399" s="476"/>
      <c r="AC399" s="476"/>
      <c r="AD399" s="476"/>
      <c r="AE399" s="476"/>
      <c r="AF399" s="476"/>
      <c r="AG399" s="476"/>
      <c r="AH399" s="476"/>
      <c r="AI399" s="476"/>
      <c r="AJ399" s="476"/>
      <c r="AK399" s="476"/>
      <c r="AL399" s="476"/>
      <c r="AM399" s="476"/>
      <c r="AN399" s="476"/>
      <c r="AO399" s="476"/>
      <c r="AP399" s="476"/>
      <c r="AQ399" s="476"/>
      <c r="AR399" s="476"/>
      <c r="AS399" s="476"/>
      <c r="AT399" s="476"/>
    </row>
    <row r="400" spans="1:46" ht="12.75" customHeight="1">
      <c r="A400" s="476"/>
      <c r="B400" s="476"/>
      <c r="C400" s="476"/>
      <c r="D400" s="476"/>
      <c r="E400" s="476"/>
      <c r="F400" s="476"/>
      <c r="G400" s="476"/>
      <c r="H400" s="476"/>
      <c r="I400" s="476"/>
      <c r="J400" s="476"/>
      <c r="K400" s="476"/>
      <c r="L400" s="476"/>
      <c r="M400" s="476"/>
      <c r="N400" s="476"/>
      <c r="O400" s="476"/>
      <c r="P400" s="476"/>
      <c r="Q400" s="476"/>
      <c r="R400" s="476"/>
      <c r="S400" s="476"/>
      <c r="T400" s="476"/>
      <c r="U400" s="476"/>
      <c r="V400" s="476"/>
      <c r="W400" s="476"/>
      <c r="X400" s="476"/>
      <c r="Y400" s="476"/>
      <c r="Z400" s="476"/>
      <c r="AA400" s="476"/>
      <c r="AB400" s="476"/>
      <c r="AC400" s="476"/>
      <c r="AD400" s="476"/>
      <c r="AE400" s="476"/>
      <c r="AF400" s="476"/>
      <c r="AG400" s="476"/>
      <c r="AH400" s="476"/>
      <c r="AI400" s="476"/>
      <c r="AJ400" s="476"/>
      <c r="AK400" s="476"/>
      <c r="AL400" s="476"/>
      <c r="AM400" s="476"/>
      <c r="AN400" s="476"/>
      <c r="AO400" s="476"/>
      <c r="AP400" s="476"/>
      <c r="AQ400" s="476"/>
      <c r="AR400" s="476"/>
      <c r="AS400" s="476"/>
      <c r="AT400" s="476"/>
    </row>
    <row r="401" spans="1:46" ht="12.75" customHeight="1">
      <c r="A401" s="476"/>
      <c r="B401" s="476"/>
      <c r="C401" s="476"/>
      <c r="D401" s="476"/>
      <c r="E401" s="476"/>
      <c r="F401" s="476"/>
      <c r="G401" s="476"/>
      <c r="H401" s="476"/>
      <c r="I401" s="476"/>
      <c r="J401" s="476"/>
      <c r="K401" s="476"/>
      <c r="L401" s="476"/>
      <c r="M401" s="476"/>
      <c r="N401" s="476"/>
      <c r="O401" s="476"/>
      <c r="P401" s="476"/>
      <c r="Q401" s="476"/>
      <c r="R401" s="476"/>
      <c r="S401" s="476"/>
      <c r="T401" s="476"/>
      <c r="U401" s="476"/>
      <c r="V401" s="476"/>
      <c r="W401" s="476"/>
      <c r="X401" s="476"/>
      <c r="Y401" s="476"/>
      <c r="Z401" s="476"/>
      <c r="AA401" s="476"/>
      <c r="AB401" s="476"/>
      <c r="AC401" s="476"/>
      <c r="AD401" s="476"/>
      <c r="AE401" s="476"/>
      <c r="AF401" s="476"/>
      <c r="AG401" s="476"/>
      <c r="AH401" s="476"/>
      <c r="AI401" s="476"/>
      <c r="AJ401" s="476"/>
      <c r="AK401" s="476"/>
      <c r="AL401" s="476"/>
      <c r="AM401" s="476"/>
      <c r="AN401" s="476"/>
      <c r="AO401" s="476"/>
      <c r="AP401" s="476"/>
      <c r="AQ401" s="476"/>
      <c r="AR401" s="476"/>
      <c r="AS401" s="476"/>
      <c r="AT401" s="476"/>
    </row>
    <row r="402" spans="1:46" ht="12.75" customHeight="1">
      <c r="A402" s="476"/>
      <c r="B402" s="476"/>
      <c r="C402" s="476"/>
      <c r="D402" s="476"/>
      <c r="E402" s="476"/>
      <c r="F402" s="476"/>
      <c r="G402" s="476"/>
      <c r="H402" s="476"/>
      <c r="I402" s="476"/>
      <c r="J402" s="476"/>
      <c r="K402" s="476"/>
      <c r="L402" s="476"/>
      <c r="M402" s="476"/>
      <c r="N402" s="476"/>
      <c r="O402" s="476"/>
      <c r="P402" s="476"/>
      <c r="Q402" s="476"/>
      <c r="R402" s="476"/>
      <c r="S402" s="476"/>
      <c r="T402" s="476"/>
      <c r="U402" s="476"/>
      <c r="V402" s="476"/>
      <c r="W402" s="476"/>
      <c r="X402" s="476"/>
      <c r="Y402" s="476"/>
      <c r="Z402" s="476"/>
      <c r="AA402" s="476"/>
      <c r="AB402" s="476"/>
      <c r="AC402" s="476"/>
      <c r="AD402" s="476"/>
      <c r="AE402" s="476"/>
      <c r="AF402" s="476"/>
      <c r="AG402" s="476"/>
      <c r="AH402" s="476"/>
      <c r="AI402" s="476"/>
      <c r="AJ402" s="476"/>
      <c r="AK402" s="476"/>
      <c r="AL402" s="476"/>
      <c r="AM402" s="476"/>
      <c r="AN402" s="476"/>
      <c r="AO402" s="476"/>
      <c r="AP402" s="476"/>
      <c r="AQ402" s="476"/>
      <c r="AR402" s="476"/>
      <c r="AS402" s="476"/>
      <c r="AT402" s="476"/>
    </row>
    <row r="403" spans="1:46" ht="12.75" customHeight="1">
      <c r="A403" s="476"/>
      <c r="B403" s="476"/>
      <c r="C403" s="476"/>
      <c r="D403" s="476"/>
      <c r="E403" s="476"/>
      <c r="F403" s="476"/>
      <c r="G403" s="476"/>
      <c r="H403" s="476"/>
      <c r="I403" s="476"/>
      <c r="J403" s="476"/>
      <c r="K403" s="476"/>
      <c r="L403" s="476"/>
      <c r="M403" s="476"/>
      <c r="N403" s="476"/>
      <c r="O403" s="476"/>
      <c r="P403" s="476"/>
      <c r="Q403" s="476"/>
      <c r="R403" s="476"/>
      <c r="S403" s="476"/>
      <c r="T403" s="476"/>
      <c r="U403" s="476"/>
      <c r="V403" s="476"/>
      <c r="W403" s="476"/>
      <c r="X403" s="476"/>
      <c r="Y403" s="476"/>
      <c r="Z403" s="476"/>
      <c r="AA403" s="476"/>
      <c r="AB403" s="476"/>
      <c r="AC403" s="476"/>
      <c r="AD403" s="476"/>
      <c r="AE403" s="476"/>
      <c r="AF403" s="476"/>
      <c r="AG403" s="476"/>
      <c r="AH403" s="476"/>
      <c r="AI403" s="476"/>
      <c r="AJ403" s="476"/>
      <c r="AK403" s="476"/>
      <c r="AL403" s="476"/>
      <c r="AM403" s="476"/>
      <c r="AN403" s="476"/>
      <c r="AO403" s="476"/>
      <c r="AP403" s="476"/>
      <c r="AQ403" s="476"/>
      <c r="AR403" s="476"/>
      <c r="AS403" s="476"/>
      <c r="AT403" s="476"/>
    </row>
    <row r="404" spans="1:46" ht="12.75" customHeight="1">
      <c r="A404" s="476"/>
      <c r="B404" s="476"/>
      <c r="C404" s="476"/>
      <c r="D404" s="476"/>
      <c r="E404" s="476"/>
      <c r="F404" s="476"/>
      <c r="G404" s="476"/>
      <c r="H404" s="476"/>
      <c r="I404" s="476"/>
      <c r="J404" s="476"/>
      <c r="K404" s="476"/>
      <c r="L404" s="476"/>
      <c r="M404" s="476"/>
      <c r="N404" s="476"/>
      <c r="O404" s="476"/>
      <c r="P404" s="476"/>
      <c r="Q404" s="476"/>
      <c r="R404" s="476"/>
      <c r="S404" s="476"/>
      <c r="T404" s="476"/>
      <c r="U404" s="476"/>
      <c r="V404" s="476"/>
      <c r="W404" s="476"/>
      <c r="X404" s="476"/>
      <c r="Y404" s="476"/>
      <c r="Z404" s="476"/>
      <c r="AA404" s="476"/>
      <c r="AB404" s="476"/>
      <c r="AC404" s="476"/>
      <c r="AD404" s="476"/>
      <c r="AE404" s="476"/>
      <c r="AF404" s="476"/>
      <c r="AG404" s="476"/>
      <c r="AH404" s="476"/>
      <c r="AI404" s="476"/>
      <c r="AJ404" s="476"/>
      <c r="AK404" s="476"/>
      <c r="AL404" s="476"/>
      <c r="AM404" s="476"/>
      <c r="AN404" s="476"/>
      <c r="AO404" s="476"/>
      <c r="AP404" s="476"/>
      <c r="AQ404" s="476"/>
      <c r="AR404" s="476"/>
      <c r="AS404" s="476"/>
      <c r="AT404" s="476"/>
    </row>
    <row r="405" spans="1:46" ht="12.75" customHeight="1">
      <c r="A405" s="476"/>
      <c r="B405" s="476"/>
      <c r="C405" s="476"/>
      <c r="D405" s="476"/>
      <c r="E405" s="476"/>
      <c r="F405" s="476"/>
      <c r="G405" s="476"/>
      <c r="H405" s="476"/>
      <c r="I405" s="476"/>
      <c r="J405" s="476"/>
      <c r="K405" s="476"/>
      <c r="L405" s="476"/>
      <c r="M405" s="476"/>
      <c r="N405" s="476"/>
      <c r="O405" s="476"/>
      <c r="P405" s="476"/>
      <c r="Q405" s="476"/>
      <c r="R405" s="476"/>
      <c r="S405" s="476"/>
      <c r="T405" s="476"/>
      <c r="U405" s="476"/>
      <c r="V405" s="476"/>
      <c r="W405" s="476"/>
      <c r="X405" s="476"/>
      <c r="Y405" s="476"/>
      <c r="Z405" s="476"/>
      <c r="AA405" s="476"/>
      <c r="AB405" s="476"/>
      <c r="AC405" s="476"/>
      <c r="AD405" s="476"/>
      <c r="AE405" s="476"/>
      <c r="AF405" s="476"/>
      <c r="AG405" s="476"/>
      <c r="AH405" s="476"/>
      <c r="AI405" s="476"/>
      <c r="AJ405" s="476"/>
      <c r="AK405" s="476"/>
      <c r="AL405" s="476"/>
      <c r="AM405" s="476"/>
      <c r="AN405" s="476"/>
      <c r="AO405" s="476"/>
      <c r="AP405" s="476"/>
      <c r="AQ405" s="476"/>
      <c r="AR405" s="476"/>
      <c r="AS405" s="476"/>
      <c r="AT405" s="476"/>
    </row>
    <row r="406" spans="1:46" ht="12.75" customHeight="1">
      <c r="A406" s="476"/>
      <c r="B406" s="476"/>
      <c r="C406" s="476"/>
      <c r="D406" s="476"/>
      <c r="E406" s="476"/>
      <c r="F406" s="476"/>
      <c r="G406" s="476"/>
      <c r="H406" s="476"/>
      <c r="I406" s="476"/>
      <c r="J406" s="476"/>
      <c r="K406" s="476"/>
      <c r="L406" s="476"/>
      <c r="M406" s="476"/>
      <c r="N406" s="476"/>
      <c r="O406" s="476"/>
      <c r="P406" s="476"/>
      <c r="Q406" s="476"/>
      <c r="R406" s="476"/>
      <c r="S406" s="476"/>
      <c r="T406" s="476"/>
      <c r="U406" s="476"/>
      <c r="V406" s="476"/>
      <c r="W406" s="476"/>
      <c r="X406" s="476"/>
      <c r="Y406" s="476"/>
      <c r="Z406" s="476"/>
      <c r="AA406" s="476"/>
      <c r="AB406" s="476"/>
      <c r="AC406" s="476"/>
      <c r="AD406" s="476"/>
      <c r="AE406" s="476"/>
      <c r="AF406" s="476"/>
      <c r="AG406" s="476"/>
      <c r="AH406" s="476"/>
      <c r="AI406" s="476"/>
      <c r="AJ406" s="476"/>
      <c r="AK406" s="476"/>
      <c r="AL406" s="476"/>
      <c r="AM406" s="476"/>
      <c r="AN406" s="476"/>
      <c r="AO406" s="476"/>
      <c r="AP406" s="476"/>
      <c r="AQ406" s="476"/>
      <c r="AR406" s="476"/>
      <c r="AS406" s="476"/>
      <c r="AT406" s="476"/>
    </row>
    <row r="407" spans="1:46" ht="12.75" customHeight="1">
      <c r="A407" s="476"/>
      <c r="B407" s="476"/>
      <c r="C407" s="476"/>
      <c r="D407" s="476"/>
      <c r="E407" s="476"/>
      <c r="F407" s="476"/>
      <c r="G407" s="476"/>
      <c r="H407" s="476"/>
      <c r="I407" s="476"/>
      <c r="J407" s="476"/>
      <c r="K407" s="476"/>
      <c r="L407" s="476"/>
      <c r="M407" s="476"/>
      <c r="N407" s="476"/>
      <c r="O407" s="476"/>
      <c r="P407" s="476"/>
      <c r="Q407" s="476"/>
      <c r="R407" s="476"/>
      <c r="S407" s="476"/>
      <c r="T407" s="476"/>
      <c r="U407" s="476"/>
      <c r="V407" s="476"/>
      <c r="W407" s="476"/>
      <c r="X407" s="476"/>
      <c r="Y407" s="476"/>
      <c r="Z407" s="476"/>
      <c r="AA407" s="476"/>
      <c r="AB407" s="476"/>
      <c r="AC407" s="476"/>
      <c r="AD407" s="476"/>
      <c r="AE407" s="476"/>
      <c r="AF407" s="476"/>
      <c r="AG407" s="476"/>
      <c r="AH407" s="476"/>
      <c r="AI407" s="476"/>
      <c r="AJ407" s="476"/>
      <c r="AK407" s="476"/>
      <c r="AL407" s="476"/>
      <c r="AM407" s="476"/>
      <c r="AN407" s="476"/>
      <c r="AO407" s="476"/>
      <c r="AP407" s="476"/>
      <c r="AQ407" s="476"/>
      <c r="AR407" s="476"/>
      <c r="AS407" s="476"/>
      <c r="AT407" s="476"/>
    </row>
    <row r="408" spans="1:46" ht="12.75" customHeight="1">
      <c r="A408" s="476"/>
      <c r="B408" s="476"/>
      <c r="C408" s="476"/>
      <c r="D408" s="476"/>
      <c r="E408" s="476"/>
      <c r="F408" s="476"/>
      <c r="G408" s="476"/>
      <c r="H408" s="476"/>
      <c r="I408" s="476"/>
      <c r="J408" s="476"/>
      <c r="K408" s="476"/>
      <c r="L408" s="476"/>
      <c r="M408" s="476"/>
      <c r="N408" s="476"/>
      <c r="O408" s="476"/>
      <c r="P408" s="476"/>
      <c r="Q408" s="476"/>
      <c r="R408" s="476"/>
      <c r="S408" s="476"/>
      <c r="T408" s="476"/>
      <c r="U408" s="476"/>
      <c r="V408" s="476"/>
      <c r="W408" s="476"/>
      <c r="X408" s="476"/>
      <c r="Y408" s="476"/>
      <c r="Z408" s="476"/>
      <c r="AA408" s="476"/>
      <c r="AB408" s="476"/>
      <c r="AC408" s="476"/>
      <c r="AD408" s="476"/>
      <c r="AE408" s="476"/>
      <c r="AF408" s="476"/>
      <c r="AG408" s="476"/>
      <c r="AH408" s="476"/>
      <c r="AI408" s="476"/>
      <c r="AJ408" s="476"/>
      <c r="AK408" s="476"/>
      <c r="AL408" s="476"/>
      <c r="AM408" s="476"/>
      <c r="AN408" s="476"/>
      <c r="AO408" s="476"/>
      <c r="AP408" s="476"/>
      <c r="AQ408" s="476"/>
      <c r="AR408" s="476"/>
      <c r="AS408" s="476"/>
      <c r="AT408" s="476"/>
    </row>
    <row r="409" spans="1:46" ht="12.75" customHeight="1">
      <c r="A409" s="476"/>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6"/>
      <c r="AT409" s="476"/>
    </row>
    <row r="410" spans="1:46" ht="12.75" customHeight="1">
      <c r="A410" s="476"/>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6"/>
      <c r="AT410" s="476"/>
    </row>
    <row r="411" spans="1:46" ht="12.75" customHeight="1">
      <c r="A411" s="476"/>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6"/>
      <c r="AT411" s="476"/>
    </row>
    <row r="412" spans="1:46" ht="12.75" customHeight="1">
      <c r="A412" s="476"/>
      <c r="B412" s="476"/>
      <c r="C412" s="476"/>
      <c r="D412" s="476"/>
      <c r="E412" s="476"/>
      <c r="F412" s="476"/>
      <c r="G412" s="476"/>
      <c r="H412" s="476"/>
      <c r="I412" s="476"/>
      <c r="J412" s="476"/>
      <c r="K412" s="476"/>
      <c r="L412" s="476"/>
      <c r="M412" s="476"/>
      <c r="N412" s="476"/>
      <c r="O412" s="476"/>
      <c r="P412" s="476"/>
      <c r="Q412" s="476"/>
      <c r="R412" s="476"/>
      <c r="S412" s="476"/>
      <c r="T412" s="476"/>
      <c r="U412" s="476"/>
      <c r="V412" s="476"/>
      <c r="W412" s="476"/>
      <c r="X412" s="476"/>
      <c r="Y412" s="476"/>
      <c r="Z412" s="476"/>
      <c r="AA412" s="476"/>
      <c r="AB412" s="476"/>
      <c r="AC412" s="476"/>
      <c r="AD412" s="476"/>
      <c r="AE412" s="476"/>
      <c r="AF412" s="476"/>
      <c r="AG412" s="476"/>
      <c r="AH412" s="476"/>
      <c r="AI412" s="476"/>
      <c r="AJ412" s="476"/>
      <c r="AK412" s="476"/>
      <c r="AL412" s="476"/>
      <c r="AM412" s="476"/>
      <c r="AN412" s="476"/>
      <c r="AO412" s="476"/>
      <c r="AP412" s="476"/>
      <c r="AQ412" s="476"/>
      <c r="AR412" s="476"/>
      <c r="AS412" s="476"/>
      <c r="AT412" s="476"/>
    </row>
    <row r="413" spans="1:46" ht="12.75" customHeight="1">
      <c r="A413" s="476"/>
      <c r="B413" s="476"/>
      <c r="C413" s="476"/>
      <c r="D413" s="476"/>
      <c r="E413" s="476"/>
      <c r="F413" s="476"/>
      <c r="G413" s="476"/>
      <c r="H413" s="476"/>
      <c r="I413" s="476"/>
      <c r="J413" s="476"/>
      <c r="K413" s="476"/>
      <c r="L413" s="476"/>
      <c r="M413" s="476"/>
      <c r="N413" s="476"/>
      <c r="O413" s="476"/>
      <c r="P413" s="476"/>
      <c r="Q413" s="476"/>
      <c r="R413" s="476"/>
      <c r="S413" s="476"/>
      <c r="T413" s="476"/>
      <c r="U413" s="476"/>
      <c r="V413" s="476"/>
      <c r="W413" s="476"/>
      <c r="X413" s="476"/>
      <c r="Y413" s="476"/>
      <c r="Z413" s="476"/>
      <c r="AA413" s="476"/>
      <c r="AB413" s="476"/>
      <c r="AC413" s="476"/>
      <c r="AD413" s="476"/>
      <c r="AE413" s="476"/>
      <c r="AF413" s="476"/>
      <c r="AG413" s="476"/>
      <c r="AH413" s="476"/>
      <c r="AI413" s="476"/>
      <c r="AJ413" s="476"/>
      <c r="AK413" s="476"/>
      <c r="AL413" s="476"/>
      <c r="AM413" s="476"/>
      <c r="AN413" s="476"/>
      <c r="AO413" s="476"/>
      <c r="AP413" s="476"/>
      <c r="AQ413" s="476"/>
      <c r="AR413" s="476"/>
      <c r="AS413" s="476"/>
      <c r="AT413" s="476"/>
    </row>
    <row r="414" spans="1:46" ht="12.75" customHeight="1">
      <c r="A414" s="476"/>
      <c r="B414" s="476"/>
      <c r="C414" s="476"/>
      <c r="D414" s="476"/>
      <c r="E414" s="476"/>
      <c r="F414" s="476"/>
      <c r="G414" s="476"/>
      <c r="H414" s="476"/>
      <c r="I414" s="476"/>
      <c r="J414" s="476"/>
      <c r="K414" s="476"/>
      <c r="L414" s="476"/>
      <c r="M414" s="476"/>
      <c r="N414" s="476"/>
      <c r="O414" s="476"/>
      <c r="P414" s="476"/>
      <c r="Q414" s="476"/>
      <c r="R414" s="476"/>
      <c r="S414" s="476"/>
      <c r="T414" s="476"/>
      <c r="U414" s="476"/>
      <c r="V414" s="476"/>
      <c r="W414" s="476"/>
      <c r="X414" s="476"/>
      <c r="Y414" s="476"/>
      <c r="Z414" s="476"/>
      <c r="AA414" s="476"/>
      <c r="AB414" s="476"/>
      <c r="AC414" s="476"/>
      <c r="AD414" s="476"/>
      <c r="AE414" s="476"/>
      <c r="AF414" s="476"/>
      <c r="AG414" s="476"/>
      <c r="AH414" s="476"/>
      <c r="AI414" s="476"/>
      <c r="AJ414" s="476"/>
      <c r="AK414" s="476"/>
      <c r="AL414" s="476"/>
      <c r="AM414" s="476"/>
      <c r="AN414" s="476"/>
      <c r="AO414" s="476"/>
      <c r="AP414" s="476"/>
      <c r="AQ414" s="476"/>
      <c r="AR414" s="476"/>
      <c r="AS414" s="476"/>
      <c r="AT414" s="476"/>
    </row>
    <row r="415" spans="1:46" ht="12.75" customHeight="1">
      <c r="A415" s="476"/>
      <c r="B415" s="476"/>
      <c r="C415" s="476"/>
      <c r="D415" s="476"/>
      <c r="E415" s="476"/>
      <c r="F415" s="476"/>
      <c r="G415" s="476"/>
      <c r="H415" s="476"/>
      <c r="I415" s="476"/>
      <c r="J415" s="476"/>
      <c r="K415" s="476"/>
      <c r="L415" s="476"/>
      <c r="M415" s="476"/>
      <c r="N415" s="476"/>
      <c r="O415" s="476"/>
      <c r="P415" s="476"/>
      <c r="Q415" s="476"/>
      <c r="R415" s="476"/>
      <c r="S415" s="476"/>
      <c r="T415" s="476"/>
      <c r="U415" s="476"/>
      <c r="V415" s="476"/>
      <c r="W415" s="476"/>
      <c r="X415" s="476"/>
      <c r="Y415" s="476"/>
      <c r="Z415" s="476"/>
      <c r="AA415" s="476"/>
      <c r="AB415" s="476"/>
      <c r="AC415" s="476"/>
      <c r="AD415" s="476"/>
      <c r="AE415" s="476"/>
      <c r="AF415" s="476"/>
      <c r="AG415" s="476"/>
      <c r="AH415" s="476"/>
      <c r="AI415" s="476"/>
      <c r="AJ415" s="476"/>
      <c r="AK415" s="476"/>
      <c r="AL415" s="476"/>
      <c r="AM415" s="476"/>
      <c r="AN415" s="476"/>
      <c r="AO415" s="476"/>
      <c r="AP415" s="476"/>
      <c r="AQ415" s="476"/>
      <c r="AR415" s="476"/>
      <c r="AS415" s="476"/>
      <c r="AT415" s="476"/>
    </row>
    <row r="416" spans="1:46" ht="12.75" customHeight="1">
      <c r="A416" s="476"/>
      <c r="B416" s="476"/>
      <c r="C416" s="476"/>
      <c r="D416" s="476"/>
      <c r="E416" s="476"/>
      <c r="F416" s="476"/>
      <c r="G416" s="476"/>
      <c r="H416" s="476"/>
      <c r="I416" s="476"/>
      <c r="J416" s="476"/>
      <c r="K416" s="476"/>
      <c r="L416" s="476"/>
      <c r="M416" s="476"/>
      <c r="N416" s="476"/>
      <c r="O416" s="476"/>
      <c r="P416" s="476"/>
      <c r="Q416" s="476"/>
      <c r="R416" s="476"/>
      <c r="S416" s="476"/>
      <c r="T416" s="476"/>
      <c r="U416" s="476"/>
      <c r="V416" s="476"/>
      <c r="W416" s="476"/>
      <c r="X416" s="476"/>
      <c r="Y416" s="476"/>
      <c r="Z416" s="476"/>
      <c r="AA416" s="476"/>
      <c r="AB416" s="476"/>
      <c r="AC416" s="476"/>
      <c r="AD416" s="476"/>
      <c r="AE416" s="476"/>
      <c r="AF416" s="476"/>
      <c r="AG416" s="476"/>
      <c r="AH416" s="476"/>
      <c r="AI416" s="476"/>
      <c r="AJ416" s="476"/>
      <c r="AK416" s="476"/>
      <c r="AL416" s="476"/>
      <c r="AM416" s="476"/>
      <c r="AN416" s="476"/>
      <c r="AO416" s="476"/>
      <c r="AP416" s="476"/>
      <c r="AQ416" s="476"/>
      <c r="AR416" s="476"/>
      <c r="AS416" s="476"/>
      <c r="AT416" s="476"/>
    </row>
    <row r="417" spans="1:46" ht="12.75" customHeight="1">
      <c r="A417" s="476"/>
      <c r="B417" s="476"/>
      <c r="C417" s="476"/>
      <c r="D417" s="476"/>
      <c r="E417" s="476"/>
      <c r="F417" s="476"/>
      <c r="G417" s="476"/>
      <c r="H417" s="476"/>
      <c r="I417" s="476"/>
      <c r="J417" s="476"/>
      <c r="K417" s="476"/>
      <c r="L417" s="476"/>
      <c r="M417" s="476"/>
      <c r="N417" s="476"/>
      <c r="O417" s="476"/>
      <c r="P417" s="476"/>
      <c r="Q417" s="476"/>
      <c r="R417" s="476"/>
      <c r="S417" s="476"/>
      <c r="T417" s="476"/>
      <c r="U417" s="476"/>
      <c r="V417" s="476"/>
      <c r="W417" s="476"/>
      <c r="X417" s="476"/>
      <c r="Y417" s="476"/>
      <c r="Z417" s="476"/>
      <c r="AA417" s="476"/>
      <c r="AB417" s="476"/>
      <c r="AC417" s="476"/>
      <c r="AD417" s="476"/>
      <c r="AE417" s="476"/>
      <c r="AF417" s="476"/>
      <c r="AG417" s="476"/>
      <c r="AH417" s="476"/>
      <c r="AI417" s="476"/>
      <c r="AJ417" s="476"/>
      <c r="AK417" s="476"/>
      <c r="AL417" s="476"/>
      <c r="AM417" s="476"/>
      <c r="AN417" s="476"/>
      <c r="AO417" s="476"/>
      <c r="AP417" s="476"/>
      <c r="AQ417" s="476"/>
      <c r="AR417" s="476"/>
      <c r="AS417" s="476"/>
      <c r="AT417" s="476"/>
    </row>
    <row r="418" spans="1:46" ht="12.75" customHeight="1">
      <c r="A418" s="476"/>
      <c r="B418" s="476"/>
      <c r="C418" s="476"/>
      <c r="D418" s="476"/>
      <c r="E418" s="476"/>
      <c r="F418" s="476"/>
      <c r="G418" s="476"/>
      <c r="H418" s="476"/>
      <c r="I418" s="476"/>
      <c r="J418" s="476"/>
      <c r="K418" s="476"/>
      <c r="L418" s="476"/>
      <c r="M418" s="476"/>
      <c r="N418" s="476"/>
      <c r="O418" s="476"/>
      <c r="P418" s="476"/>
      <c r="Q418" s="476"/>
      <c r="R418" s="476"/>
      <c r="S418" s="476"/>
      <c r="T418" s="476"/>
      <c r="U418" s="476"/>
      <c r="V418" s="476"/>
      <c r="W418" s="476"/>
      <c r="X418" s="476"/>
      <c r="Y418" s="476"/>
      <c r="Z418" s="476"/>
      <c r="AA418" s="476"/>
      <c r="AB418" s="476"/>
      <c r="AC418" s="476"/>
      <c r="AD418" s="476"/>
      <c r="AE418" s="476"/>
      <c r="AF418" s="476"/>
      <c r="AG418" s="476"/>
      <c r="AH418" s="476"/>
      <c r="AI418" s="476"/>
      <c r="AJ418" s="476"/>
      <c r="AK418" s="476"/>
      <c r="AL418" s="476"/>
      <c r="AM418" s="476"/>
      <c r="AN418" s="476"/>
      <c r="AO418" s="476"/>
      <c r="AP418" s="476"/>
      <c r="AQ418" s="476"/>
      <c r="AR418" s="476"/>
      <c r="AS418" s="476"/>
      <c r="AT418" s="476"/>
    </row>
    <row r="419" spans="1:46" ht="12.75" customHeight="1">
      <c r="A419" s="476"/>
      <c r="B419" s="476"/>
      <c r="C419" s="476"/>
      <c r="D419" s="476"/>
      <c r="E419" s="476"/>
      <c r="F419" s="476"/>
      <c r="G419" s="476"/>
      <c r="H419" s="476"/>
      <c r="I419" s="476"/>
      <c r="J419" s="476"/>
      <c r="K419" s="476"/>
      <c r="L419" s="476"/>
      <c r="M419" s="476"/>
      <c r="N419" s="476"/>
      <c r="O419" s="476"/>
      <c r="P419" s="476"/>
      <c r="Q419" s="476"/>
      <c r="R419" s="476"/>
      <c r="S419" s="476"/>
      <c r="T419" s="476"/>
      <c r="U419" s="476"/>
      <c r="V419" s="476"/>
      <c r="W419" s="476"/>
      <c r="X419" s="476"/>
      <c r="Y419" s="476"/>
      <c r="Z419" s="476"/>
      <c r="AA419" s="476"/>
      <c r="AB419" s="476"/>
      <c r="AC419" s="476"/>
      <c r="AD419" s="476"/>
      <c r="AE419" s="476"/>
      <c r="AF419" s="476"/>
      <c r="AG419" s="476"/>
      <c r="AH419" s="476"/>
      <c r="AI419" s="476"/>
      <c r="AJ419" s="476"/>
      <c r="AK419" s="476"/>
      <c r="AL419" s="476"/>
      <c r="AM419" s="476"/>
      <c r="AN419" s="476"/>
      <c r="AO419" s="476"/>
      <c r="AP419" s="476"/>
      <c r="AQ419" s="476"/>
      <c r="AR419" s="476"/>
      <c r="AS419" s="476"/>
      <c r="AT419" s="476"/>
    </row>
    <row r="420" spans="1:46" ht="12.75" customHeight="1">
      <c r="A420" s="476"/>
      <c r="B420" s="476"/>
      <c r="C420" s="476"/>
      <c r="D420" s="476"/>
      <c r="E420" s="476"/>
      <c r="F420" s="476"/>
      <c r="G420" s="476"/>
      <c r="H420" s="476"/>
      <c r="I420" s="476"/>
      <c r="J420" s="476"/>
      <c r="K420" s="476"/>
      <c r="L420" s="476"/>
      <c r="M420" s="476"/>
      <c r="N420" s="476"/>
      <c r="O420" s="476"/>
      <c r="P420" s="476"/>
      <c r="Q420" s="476"/>
      <c r="R420" s="476"/>
      <c r="S420" s="476"/>
      <c r="T420" s="476"/>
      <c r="U420" s="476"/>
      <c r="V420" s="476"/>
      <c r="W420" s="476"/>
      <c r="X420" s="476"/>
      <c r="Y420" s="476"/>
      <c r="Z420" s="476"/>
      <c r="AA420" s="476"/>
      <c r="AB420" s="476"/>
      <c r="AC420" s="476"/>
      <c r="AD420" s="476"/>
      <c r="AE420" s="476"/>
      <c r="AF420" s="476"/>
      <c r="AG420" s="476"/>
      <c r="AH420" s="476"/>
      <c r="AI420" s="476"/>
      <c r="AJ420" s="476"/>
      <c r="AK420" s="476"/>
      <c r="AL420" s="476"/>
      <c r="AM420" s="476"/>
      <c r="AN420" s="476"/>
      <c r="AO420" s="476"/>
      <c r="AP420" s="476"/>
      <c r="AQ420" s="476"/>
      <c r="AR420" s="476"/>
      <c r="AS420" s="476"/>
      <c r="AT420" s="476"/>
    </row>
    <row r="421" spans="1:46" ht="12.75" customHeight="1">
      <c r="A421" s="476"/>
      <c r="B421" s="476"/>
      <c r="C421" s="476"/>
      <c r="D421" s="476"/>
      <c r="E421" s="476"/>
      <c r="F421" s="476"/>
      <c r="G421" s="476"/>
      <c r="H421" s="476"/>
      <c r="I421" s="476"/>
      <c r="J421" s="476"/>
      <c r="K421" s="476"/>
      <c r="L421" s="476"/>
      <c r="M421" s="476"/>
      <c r="N421" s="476"/>
      <c r="O421" s="476"/>
      <c r="P421" s="476"/>
      <c r="Q421" s="476"/>
      <c r="R421" s="476"/>
      <c r="S421" s="476"/>
      <c r="T421" s="476"/>
      <c r="U421" s="476"/>
      <c r="V421" s="476"/>
      <c r="W421" s="476"/>
      <c r="X421" s="476"/>
      <c r="Y421" s="476"/>
      <c r="Z421" s="476"/>
      <c r="AA421" s="476"/>
      <c r="AB421" s="476"/>
      <c r="AC421" s="476"/>
      <c r="AD421" s="476"/>
      <c r="AE421" s="476"/>
      <c r="AF421" s="476"/>
      <c r="AG421" s="476"/>
      <c r="AH421" s="476"/>
      <c r="AI421" s="476"/>
      <c r="AJ421" s="476"/>
      <c r="AK421" s="476"/>
      <c r="AL421" s="476"/>
      <c r="AM421" s="476"/>
      <c r="AN421" s="476"/>
      <c r="AO421" s="476"/>
      <c r="AP421" s="476"/>
      <c r="AQ421" s="476"/>
      <c r="AR421" s="476"/>
      <c r="AS421" s="476"/>
      <c r="AT421" s="476"/>
    </row>
    <row r="422" spans="1:46" ht="12.75" customHeight="1">
      <c r="A422" s="476"/>
      <c r="B422" s="476"/>
      <c r="C422" s="476"/>
      <c r="D422" s="476"/>
      <c r="E422" s="476"/>
      <c r="F422" s="476"/>
      <c r="G422" s="476"/>
      <c r="H422" s="476"/>
      <c r="I422" s="476"/>
      <c r="J422" s="476"/>
      <c r="K422" s="476"/>
      <c r="L422" s="476"/>
      <c r="M422" s="476"/>
      <c r="N422" s="476"/>
      <c r="O422" s="476"/>
      <c r="P422" s="476"/>
      <c r="Q422" s="476"/>
      <c r="R422" s="476"/>
      <c r="S422" s="476"/>
      <c r="T422" s="476"/>
      <c r="U422" s="476"/>
      <c r="V422" s="476"/>
      <c r="W422" s="476"/>
      <c r="X422" s="476"/>
      <c r="Y422" s="476"/>
      <c r="Z422" s="476"/>
      <c r="AA422" s="476"/>
      <c r="AB422" s="476"/>
      <c r="AC422" s="476"/>
      <c r="AD422" s="476"/>
      <c r="AE422" s="476"/>
      <c r="AF422" s="476"/>
      <c r="AG422" s="476"/>
      <c r="AH422" s="476"/>
      <c r="AI422" s="476"/>
      <c r="AJ422" s="476"/>
      <c r="AK422" s="476"/>
      <c r="AL422" s="476"/>
      <c r="AM422" s="476"/>
      <c r="AN422" s="476"/>
      <c r="AO422" s="476"/>
      <c r="AP422" s="476"/>
      <c r="AQ422" s="476"/>
      <c r="AR422" s="476"/>
      <c r="AS422" s="476"/>
      <c r="AT422" s="476"/>
    </row>
    <row r="423" spans="1:46" ht="12.75" customHeight="1">
      <c r="A423" s="476"/>
      <c r="B423" s="476"/>
      <c r="C423" s="476"/>
      <c r="D423" s="476"/>
      <c r="E423" s="476"/>
      <c r="F423" s="476"/>
      <c r="G423" s="476"/>
      <c r="H423" s="476"/>
      <c r="I423" s="476"/>
      <c r="J423" s="476"/>
      <c r="K423" s="476"/>
      <c r="L423" s="476"/>
      <c r="M423" s="476"/>
      <c r="N423" s="476"/>
      <c r="O423" s="476"/>
      <c r="P423" s="476"/>
      <c r="Q423" s="476"/>
      <c r="R423" s="476"/>
      <c r="S423" s="476"/>
      <c r="T423" s="476"/>
      <c r="U423" s="476"/>
      <c r="V423" s="476"/>
      <c r="W423" s="476"/>
      <c r="X423" s="476"/>
      <c r="Y423" s="476"/>
      <c r="Z423" s="476"/>
      <c r="AA423" s="476"/>
      <c r="AB423" s="476"/>
      <c r="AC423" s="476"/>
      <c r="AD423" s="476"/>
      <c r="AE423" s="476"/>
      <c r="AF423" s="476"/>
      <c r="AG423" s="476"/>
      <c r="AH423" s="476"/>
      <c r="AI423" s="476"/>
      <c r="AJ423" s="476"/>
      <c r="AK423" s="476"/>
      <c r="AL423" s="476"/>
      <c r="AM423" s="476"/>
      <c r="AN423" s="476"/>
      <c r="AO423" s="476"/>
      <c r="AP423" s="476"/>
      <c r="AQ423" s="476"/>
      <c r="AR423" s="476"/>
      <c r="AS423" s="476"/>
      <c r="AT423" s="476"/>
    </row>
    <row r="424" spans="1:46" ht="12.75" customHeight="1">
      <c r="A424" s="476"/>
      <c r="B424" s="476"/>
      <c r="C424" s="476"/>
      <c r="D424" s="476"/>
      <c r="E424" s="476"/>
      <c r="F424" s="476"/>
      <c r="G424" s="476"/>
      <c r="H424" s="476"/>
      <c r="I424" s="476"/>
      <c r="J424" s="476"/>
      <c r="K424" s="476"/>
      <c r="L424" s="476"/>
      <c r="M424" s="476"/>
      <c r="N424" s="476"/>
      <c r="O424" s="476"/>
      <c r="P424" s="476"/>
      <c r="Q424" s="476"/>
      <c r="R424" s="476"/>
      <c r="S424" s="476"/>
      <c r="T424" s="476"/>
      <c r="U424" s="476"/>
      <c r="V424" s="476"/>
      <c r="W424" s="476"/>
      <c r="X424" s="476"/>
      <c r="Y424" s="476"/>
      <c r="Z424" s="476"/>
      <c r="AA424" s="476"/>
      <c r="AB424" s="476"/>
      <c r="AC424" s="476"/>
      <c r="AD424" s="476"/>
      <c r="AE424" s="476"/>
      <c r="AF424" s="476"/>
      <c r="AG424" s="476"/>
      <c r="AH424" s="476"/>
      <c r="AI424" s="476"/>
      <c r="AJ424" s="476"/>
      <c r="AK424" s="476"/>
      <c r="AL424" s="476"/>
      <c r="AM424" s="476"/>
      <c r="AN424" s="476"/>
      <c r="AO424" s="476"/>
      <c r="AP424" s="476"/>
      <c r="AQ424" s="476"/>
      <c r="AR424" s="476"/>
      <c r="AS424" s="476"/>
      <c r="AT424" s="476"/>
    </row>
    <row r="425" spans="1:46" ht="12.75" customHeight="1">
      <c r="A425" s="476"/>
      <c r="B425" s="476"/>
      <c r="C425" s="476"/>
      <c r="D425" s="476"/>
      <c r="E425" s="476"/>
      <c r="F425" s="476"/>
      <c r="G425" s="476"/>
      <c r="H425" s="476"/>
      <c r="I425" s="476"/>
      <c r="J425" s="476"/>
      <c r="K425" s="476"/>
      <c r="L425" s="476"/>
      <c r="M425" s="476"/>
      <c r="N425" s="476"/>
      <c r="O425" s="476"/>
      <c r="P425" s="476"/>
      <c r="Q425" s="476"/>
      <c r="R425" s="476"/>
      <c r="S425" s="476"/>
      <c r="T425" s="476"/>
      <c r="U425" s="476"/>
      <c r="V425" s="476"/>
      <c r="W425" s="476"/>
      <c r="X425" s="476"/>
      <c r="Y425" s="476"/>
      <c r="Z425" s="476"/>
      <c r="AA425" s="476"/>
      <c r="AB425" s="476"/>
      <c r="AC425" s="476"/>
      <c r="AD425" s="476"/>
      <c r="AE425" s="476"/>
      <c r="AF425" s="476"/>
      <c r="AG425" s="476"/>
      <c r="AH425" s="476"/>
      <c r="AI425" s="476"/>
      <c r="AJ425" s="476"/>
      <c r="AK425" s="476"/>
      <c r="AL425" s="476"/>
      <c r="AM425" s="476"/>
      <c r="AN425" s="476"/>
      <c r="AO425" s="476"/>
      <c r="AP425" s="476"/>
      <c r="AQ425" s="476"/>
      <c r="AR425" s="476"/>
      <c r="AS425" s="476"/>
      <c r="AT425" s="476"/>
    </row>
    <row r="426" spans="1:46" ht="12.75" customHeight="1">
      <c r="A426" s="476"/>
      <c r="B426" s="476"/>
      <c r="C426" s="476"/>
      <c r="D426" s="476"/>
      <c r="E426" s="476"/>
      <c r="F426" s="476"/>
      <c r="G426" s="476"/>
      <c r="H426" s="476"/>
      <c r="I426" s="476"/>
      <c r="J426" s="476"/>
      <c r="K426" s="476"/>
      <c r="L426" s="476"/>
      <c r="M426" s="476"/>
      <c r="N426" s="476"/>
      <c r="O426" s="476"/>
      <c r="P426" s="476"/>
      <c r="Q426" s="476"/>
      <c r="R426" s="476"/>
      <c r="S426" s="476"/>
      <c r="T426" s="476"/>
      <c r="U426" s="476"/>
      <c r="V426" s="476"/>
      <c r="W426" s="476"/>
      <c r="X426" s="476"/>
      <c r="Y426" s="476"/>
      <c r="Z426" s="476"/>
      <c r="AA426" s="476"/>
      <c r="AB426" s="476"/>
      <c r="AC426" s="476"/>
      <c r="AD426" s="476"/>
      <c r="AE426" s="476"/>
      <c r="AF426" s="476"/>
      <c r="AG426" s="476"/>
      <c r="AH426" s="476"/>
      <c r="AI426" s="476"/>
      <c r="AJ426" s="476"/>
      <c r="AK426" s="476"/>
      <c r="AL426" s="476"/>
      <c r="AM426" s="476"/>
      <c r="AN426" s="476"/>
      <c r="AO426" s="476"/>
      <c r="AP426" s="476"/>
      <c r="AQ426" s="476"/>
      <c r="AR426" s="476"/>
      <c r="AS426" s="476"/>
      <c r="AT426" s="476"/>
    </row>
    <row r="427" spans="1:46" ht="12.75" customHeight="1">
      <c r="A427" s="476"/>
      <c r="B427" s="476"/>
      <c r="C427" s="476"/>
      <c r="D427" s="476"/>
      <c r="E427" s="476"/>
      <c r="F427" s="476"/>
      <c r="G427" s="476"/>
      <c r="H427" s="476"/>
      <c r="I427" s="476"/>
      <c r="J427" s="476"/>
      <c r="K427" s="476"/>
      <c r="L427" s="476"/>
      <c r="M427" s="476"/>
      <c r="N427" s="476"/>
      <c r="O427" s="476"/>
      <c r="P427" s="476"/>
      <c r="Q427" s="476"/>
      <c r="R427" s="476"/>
      <c r="S427" s="476"/>
      <c r="T427" s="476"/>
      <c r="U427" s="476"/>
      <c r="V427" s="476"/>
      <c r="W427" s="476"/>
      <c r="X427" s="476"/>
      <c r="Y427" s="476"/>
      <c r="Z427" s="476"/>
      <c r="AA427" s="476"/>
      <c r="AB427" s="476"/>
      <c r="AC427" s="476"/>
      <c r="AD427" s="476"/>
      <c r="AE427" s="476"/>
      <c r="AF427" s="476"/>
      <c r="AG427" s="476"/>
      <c r="AH427" s="476"/>
      <c r="AI427" s="476"/>
      <c r="AJ427" s="476"/>
      <c r="AK427" s="476"/>
      <c r="AL427" s="476"/>
      <c r="AM427" s="476"/>
      <c r="AN427" s="476"/>
      <c r="AO427" s="476"/>
      <c r="AP427" s="476"/>
      <c r="AQ427" s="476"/>
      <c r="AR427" s="476"/>
      <c r="AS427" s="476"/>
      <c r="AT427" s="476"/>
    </row>
    <row r="428" spans="1:46" ht="12.75" customHeight="1">
      <c r="A428" s="476"/>
      <c r="B428" s="476"/>
      <c r="C428" s="476"/>
      <c r="D428" s="476"/>
      <c r="E428" s="476"/>
      <c r="F428" s="476"/>
      <c r="G428" s="476"/>
      <c r="H428" s="476"/>
      <c r="I428" s="476"/>
      <c r="J428" s="476"/>
      <c r="K428" s="476"/>
      <c r="L428" s="476"/>
      <c r="M428" s="476"/>
      <c r="N428" s="476"/>
      <c r="O428" s="476"/>
      <c r="P428" s="476"/>
      <c r="Q428" s="476"/>
      <c r="R428" s="476"/>
      <c r="S428" s="476"/>
      <c r="T428" s="476"/>
      <c r="U428" s="476"/>
      <c r="V428" s="476"/>
      <c r="W428" s="476"/>
      <c r="X428" s="476"/>
      <c r="Y428" s="476"/>
      <c r="Z428" s="476"/>
      <c r="AA428" s="476"/>
      <c r="AB428" s="476"/>
      <c r="AC428" s="476"/>
      <c r="AD428" s="476"/>
      <c r="AE428" s="476"/>
      <c r="AF428" s="476"/>
      <c r="AG428" s="476"/>
      <c r="AH428" s="476"/>
      <c r="AI428" s="476"/>
      <c r="AJ428" s="476"/>
      <c r="AK428" s="476"/>
      <c r="AL428" s="476"/>
      <c r="AM428" s="476"/>
      <c r="AN428" s="476"/>
      <c r="AO428" s="476"/>
      <c r="AP428" s="476"/>
      <c r="AQ428" s="476"/>
      <c r="AR428" s="476"/>
      <c r="AS428" s="476"/>
      <c r="AT428" s="476"/>
    </row>
    <row r="429" spans="1:46" ht="12.75" customHeight="1">
      <c r="A429" s="476"/>
      <c r="B429" s="476"/>
      <c r="C429" s="476"/>
      <c r="D429" s="476"/>
      <c r="E429" s="476"/>
      <c r="F429" s="476"/>
      <c r="G429" s="476"/>
      <c r="H429" s="476"/>
      <c r="I429" s="476"/>
      <c r="J429" s="476"/>
      <c r="K429" s="476"/>
      <c r="L429" s="476"/>
      <c r="M429" s="476"/>
      <c r="N429" s="476"/>
      <c r="O429" s="476"/>
      <c r="P429" s="476"/>
      <c r="Q429" s="476"/>
      <c r="R429" s="476"/>
      <c r="S429" s="476"/>
      <c r="T429" s="476"/>
      <c r="U429" s="476"/>
      <c r="V429" s="476"/>
      <c r="W429" s="476"/>
      <c r="X429" s="476"/>
      <c r="Y429" s="476"/>
      <c r="Z429" s="476"/>
      <c r="AA429" s="476"/>
      <c r="AB429" s="476"/>
      <c r="AC429" s="476"/>
      <c r="AD429" s="476"/>
      <c r="AE429" s="476"/>
      <c r="AF429" s="476"/>
      <c r="AG429" s="476"/>
      <c r="AH429" s="476"/>
      <c r="AI429" s="476"/>
      <c r="AJ429" s="476"/>
      <c r="AK429" s="476"/>
      <c r="AL429" s="476"/>
      <c r="AM429" s="476"/>
      <c r="AN429" s="476"/>
      <c r="AO429" s="476"/>
      <c r="AP429" s="476"/>
      <c r="AQ429" s="476"/>
      <c r="AR429" s="476"/>
      <c r="AS429" s="476"/>
      <c r="AT429" s="476"/>
    </row>
    <row r="430" spans="1:46" ht="12.75" customHeight="1">
      <c r="A430" s="476"/>
      <c r="B430" s="476"/>
      <c r="C430" s="476"/>
      <c r="D430" s="476"/>
      <c r="E430" s="476"/>
      <c r="F430" s="476"/>
      <c r="G430" s="476"/>
      <c r="H430" s="476"/>
      <c r="I430" s="476"/>
      <c r="J430" s="476"/>
      <c r="K430" s="476"/>
      <c r="L430" s="476"/>
      <c r="M430" s="476"/>
      <c r="N430" s="476"/>
      <c r="O430" s="476"/>
      <c r="P430" s="476"/>
      <c r="Q430" s="476"/>
      <c r="R430" s="476"/>
      <c r="S430" s="476"/>
      <c r="T430" s="476"/>
      <c r="U430" s="476"/>
      <c r="V430" s="476"/>
      <c r="W430" s="476"/>
      <c r="X430" s="476"/>
      <c r="Y430" s="476"/>
      <c r="Z430" s="476"/>
      <c r="AA430" s="476"/>
      <c r="AB430" s="476"/>
      <c r="AC430" s="476"/>
      <c r="AD430" s="476"/>
      <c r="AE430" s="476"/>
      <c r="AF430" s="476"/>
      <c r="AG430" s="476"/>
      <c r="AH430" s="476"/>
      <c r="AI430" s="476"/>
      <c r="AJ430" s="476"/>
      <c r="AK430" s="476"/>
      <c r="AL430" s="476"/>
      <c r="AM430" s="476"/>
      <c r="AN430" s="476"/>
      <c r="AO430" s="476"/>
      <c r="AP430" s="476"/>
      <c r="AQ430" s="476"/>
      <c r="AR430" s="476"/>
      <c r="AS430" s="476"/>
      <c r="AT430" s="476"/>
    </row>
    <row r="431" spans="1:46" ht="12.75" customHeight="1">
      <c r="A431" s="476"/>
      <c r="B431" s="476"/>
      <c r="C431" s="476"/>
      <c r="D431" s="476"/>
      <c r="E431" s="476"/>
      <c r="F431" s="476"/>
      <c r="G431" s="476"/>
      <c r="H431" s="476"/>
      <c r="I431" s="476"/>
      <c r="J431" s="476"/>
      <c r="K431" s="476"/>
      <c r="L431" s="476"/>
      <c r="M431" s="476"/>
      <c r="N431" s="476"/>
      <c r="O431" s="476"/>
      <c r="P431" s="476"/>
      <c r="Q431" s="476"/>
      <c r="R431" s="476"/>
      <c r="S431" s="476"/>
      <c r="T431" s="476"/>
      <c r="U431" s="476"/>
      <c r="V431" s="476"/>
      <c r="W431" s="476"/>
      <c r="X431" s="476"/>
      <c r="Y431" s="476"/>
      <c r="Z431" s="476"/>
      <c r="AA431" s="476"/>
      <c r="AB431" s="476"/>
      <c r="AC431" s="476"/>
      <c r="AD431" s="476"/>
      <c r="AE431" s="476"/>
      <c r="AF431" s="476"/>
      <c r="AG431" s="476"/>
      <c r="AH431" s="476"/>
      <c r="AI431" s="476"/>
      <c r="AJ431" s="476"/>
      <c r="AK431" s="476"/>
      <c r="AL431" s="476"/>
      <c r="AM431" s="476"/>
      <c r="AN431" s="476"/>
      <c r="AO431" s="476"/>
      <c r="AP431" s="476"/>
      <c r="AQ431" s="476"/>
      <c r="AR431" s="476"/>
      <c r="AS431" s="476"/>
      <c r="AT431" s="476"/>
    </row>
    <row r="432" spans="1:46" ht="12.75" customHeight="1">
      <c r="A432" s="476"/>
      <c r="B432" s="476"/>
      <c r="C432" s="476"/>
      <c r="D432" s="476"/>
      <c r="E432" s="476"/>
      <c r="F432" s="476"/>
      <c r="G432" s="476"/>
      <c r="H432" s="476"/>
      <c r="I432" s="476"/>
      <c r="J432" s="476"/>
      <c r="K432" s="476"/>
      <c r="L432" s="476"/>
      <c r="M432" s="476"/>
      <c r="N432" s="476"/>
      <c r="O432" s="476"/>
      <c r="P432" s="476"/>
      <c r="Q432" s="476"/>
      <c r="R432" s="476"/>
      <c r="S432" s="476"/>
      <c r="T432" s="476"/>
      <c r="U432" s="476"/>
      <c r="V432" s="476"/>
      <c r="W432" s="476"/>
      <c r="X432" s="476"/>
      <c r="Y432" s="476"/>
      <c r="Z432" s="476"/>
      <c r="AA432" s="476"/>
      <c r="AB432" s="476"/>
      <c r="AC432" s="476"/>
      <c r="AD432" s="476"/>
      <c r="AE432" s="476"/>
      <c r="AF432" s="476"/>
      <c r="AG432" s="476"/>
      <c r="AH432" s="476"/>
      <c r="AI432" s="476"/>
      <c r="AJ432" s="476"/>
      <c r="AK432" s="476"/>
      <c r="AL432" s="476"/>
      <c r="AM432" s="476"/>
      <c r="AN432" s="476"/>
      <c r="AO432" s="476"/>
      <c r="AP432" s="476"/>
      <c r="AQ432" s="476"/>
      <c r="AR432" s="476"/>
      <c r="AS432" s="476"/>
      <c r="AT432" s="476"/>
    </row>
    <row r="433" spans="1:46" ht="12.75" customHeight="1">
      <c r="A433" s="476"/>
      <c r="B433" s="476"/>
      <c r="C433" s="476"/>
      <c r="D433" s="476"/>
      <c r="E433" s="476"/>
      <c r="F433" s="476"/>
      <c r="G433" s="476"/>
      <c r="H433" s="476"/>
      <c r="I433" s="476"/>
      <c r="J433" s="476"/>
      <c r="K433" s="476"/>
      <c r="L433" s="476"/>
      <c r="M433" s="476"/>
      <c r="N433" s="476"/>
      <c r="O433" s="476"/>
      <c r="P433" s="476"/>
      <c r="Q433" s="476"/>
      <c r="R433" s="476"/>
      <c r="S433" s="476"/>
      <c r="T433" s="476"/>
      <c r="U433" s="476"/>
      <c r="V433" s="476"/>
      <c r="W433" s="476"/>
      <c r="X433" s="476"/>
      <c r="Y433" s="476"/>
      <c r="Z433" s="476"/>
      <c r="AA433" s="476"/>
      <c r="AB433" s="476"/>
      <c r="AC433" s="476"/>
      <c r="AD433" s="476"/>
      <c r="AE433" s="476"/>
      <c r="AF433" s="476"/>
      <c r="AG433" s="476"/>
      <c r="AH433" s="476"/>
      <c r="AI433" s="476"/>
      <c r="AJ433" s="476"/>
      <c r="AK433" s="476"/>
      <c r="AL433" s="476"/>
      <c r="AM433" s="476"/>
      <c r="AN433" s="476"/>
      <c r="AO433" s="476"/>
      <c r="AP433" s="476"/>
      <c r="AQ433" s="476"/>
      <c r="AR433" s="476"/>
      <c r="AS433" s="476"/>
      <c r="AT433" s="476"/>
    </row>
    <row r="434" spans="1:46" ht="12.75" customHeight="1">
      <c r="A434" s="476"/>
      <c r="B434" s="476"/>
      <c r="C434" s="476"/>
      <c r="D434" s="476"/>
      <c r="E434" s="476"/>
      <c r="F434" s="476"/>
      <c r="G434" s="476"/>
      <c r="H434" s="476"/>
      <c r="I434" s="476"/>
      <c r="J434" s="476"/>
      <c r="K434" s="476"/>
      <c r="L434" s="476"/>
      <c r="M434" s="476"/>
      <c r="N434" s="476"/>
      <c r="O434" s="476"/>
      <c r="P434" s="476"/>
      <c r="Q434" s="476"/>
      <c r="R434" s="476"/>
      <c r="S434" s="476"/>
      <c r="T434" s="476"/>
      <c r="U434" s="476"/>
      <c r="V434" s="476"/>
      <c r="W434" s="476"/>
      <c r="X434" s="476"/>
      <c r="Y434" s="476"/>
      <c r="Z434" s="476"/>
      <c r="AA434" s="476"/>
      <c r="AB434" s="476"/>
      <c r="AC434" s="476"/>
      <c r="AD434" s="476"/>
      <c r="AE434" s="476"/>
      <c r="AF434" s="476"/>
      <c r="AG434" s="476"/>
      <c r="AH434" s="476"/>
      <c r="AI434" s="476"/>
      <c r="AJ434" s="476"/>
      <c r="AK434" s="476"/>
      <c r="AL434" s="476"/>
      <c r="AM434" s="476"/>
      <c r="AN434" s="476"/>
      <c r="AO434" s="476"/>
      <c r="AP434" s="476"/>
      <c r="AQ434" s="476"/>
      <c r="AR434" s="476"/>
      <c r="AS434" s="476"/>
      <c r="AT434" s="476"/>
    </row>
    <row r="435" spans="1:46" ht="12.75" customHeight="1">
      <c r="A435" s="476"/>
      <c r="B435" s="476"/>
      <c r="C435" s="476"/>
      <c r="D435" s="476"/>
      <c r="E435" s="476"/>
      <c r="F435" s="476"/>
      <c r="G435" s="476"/>
      <c r="H435" s="476"/>
      <c r="I435" s="476"/>
      <c r="J435" s="476"/>
      <c r="K435" s="476"/>
      <c r="L435" s="476"/>
      <c r="M435" s="476"/>
      <c r="N435" s="476"/>
      <c r="O435" s="476"/>
      <c r="P435" s="476"/>
      <c r="Q435" s="476"/>
      <c r="R435" s="476"/>
      <c r="S435" s="476"/>
      <c r="T435" s="476"/>
      <c r="U435" s="476"/>
      <c r="V435" s="476"/>
      <c r="W435" s="476"/>
      <c r="X435" s="476"/>
      <c r="Y435" s="476"/>
      <c r="Z435" s="476"/>
      <c r="AA435" s="476"/>
      <c r="AB435" s="476"/>
      <c r="AC435" s="476"/>
      <c r="AD435" s="476"/>
      <c r="AE435" s="476"/>
      <c r="AF435" s="476"/>
      <c r="AG435" s="476"/>
      <c r="AH435" s="476"/>
      <c r="AI435" s="476"/>
      <c r="AJ435" s="476"/>
      <c r="AK435" s="476"/>
      <c r="AL435" s="476"/>
      <c r="AM435" s="476"/>
      <c r="AN435" s="476"/>
      <c r="AO435" s="476"/>
      <c r="AP435" s="476"/>
      <c r="AQ435" s="476"/>
      <c r="AR435" s="476"/>
      <c r="AS435" s="476"/>
      <c r="AT435" s="476"/>
    </row>
    <row r="436" spans="1:46" ht="12.75" customHeight="1">
      <c r="A436" s="476"/>
      <c r="B436" s="476"/>
      <c r="C436" s="476"/>
      <c r="D436" s="476"/>
      <c r="E436" s="476"/>
      <c r="F436" s="476"/>
      <c r="G436" s="476"/>
      <c r="H436" s="476"/>
      <c r="I436" s="476"/>
      <c r="J436" s="476"/>
      <c r="K436" s="476"/>
      <c r="L436" s="476"/>
      <c r="M436" s="476"/>
      <c r="N436" s="476"/>
      <c r="O436" s="476"/>
      <c r="P436" s="476"/>
      <c r="Q436" s="476"/>
      <c r="R436" s="476"/>
      <c r="S436" s="476"/>
      <c r="T436" s="476"/>
      <c r="U436" s="476"/>
      <c r="V436" s="476"/>
      <c r="W436" s="476"/>
      <c r="X436" s="476"/>
      <c r="Y436" s="476"/>
      <c r="Z436" s="476"/>
      <c r="AA436" s="476"/>
      <c r="AB436" s="476"/>
      <c r="AC436" s="476"/>
      <c r="AD436" s="476"/>
      <c r="AE436" s="476"/>
      <c r="AF436" s="476"/>
      <c r="AG436" s="476"/>
      <c r="AH436" s="476"/>
      <c r="AI436" s="476"/>
      <c r="AJ436" s="476"/>
      <c r="AK436" s="476"/>
      <c r="AL436" s="476"/>
      <c r="AM436" s="476"/>
      <c r="AN436" s="476"/>
      <c r="AO436" s="476"/>
      <c r="AP436" s="476"/>
      <c r="AQ436" s="476"/>
      <c r="AR436" s="476"/>
      <c r="AS436" s="476"/>
      <c r="AT436" s="476"/>
    </row>
    <row r="437" spans="1:46" ht="12.75" customHeight="1">
      <c r="A437" s="476"/>
      <c r="B437" s="476"/>
      <c r="C437" s="476"/>
      <c r="D437" s="476"/>
      <c r="E437" s="476"/>
      <c r="F437" s="476"/>
      <c r="G437" s="476"/>
      <c r="H437" s="476"/>
      <c r="I437" s="476"/>
      <c r="J437" s="476"/>
      <c r="K437" s="476"/>
      <c r="L437" s="476"/>
      <c r="M437" s="476"/>
      <c r="N437" s="476"/>
      <c r="O437" s="476"/>
      <c r="P437" s="476"/>
      <c r="Q437" s="476"/>
      <c r="R437" s="476"/>
      <c r="S437" s="476"/>
      <c r="T437" s="476"/>
      <c r="U437" s="476"/>
      <c r="V437" s="476"/>
      <c r="W437" s="476"/>
      <c r="X437" s="476"/>
      <c r="Y437" s="476"/>
      <c r="Z437" s="476"/>
      <c r="AA437" s="476"/>
      <c r="AB437" s="476"/>
      <c r="AC437" s="476"/>
      <c r="AD437" s="476"/>
      <c r="AE437" s="476"/>
      <c r="AF437" s="476"/>
      <c r="AG437" s="476"/>
      <c r="AH437" s="476"/>
      <c r="AI437" s="476"/>
      <c r="AJ437" s="476"/>
      <c r="AK437" s="476"/>
      <c r="AL437" s="476"/>
      <c r="AM437" s="476"/>
      <c r="AN437" s="476"/>
      <c r="AO437" s="476"/>
      <c r="AP437" s="476"/>
      <c r="AQ437" s="476"/>
      <c r="AR437" s="476"/>
      <c r="AS437" s="476"/>
      <c r="AT437" s="476"/>
    </row>
    <row r="438" spans="1:46" ht="12.75" customHeight="1">
      <c r="A438" s="476"/>
      <c r="B438" s="476"/>
      <c r="C438" s="476"/>
      <c r="D438" s="476"/>
      <c r="E438" s="476"/>
      <c r="F438" s="476"/>
      <c r="G438" s="476"/>
      <c r="H438" s="476"/>
      <c r="I438" s="476"/>
      <c r="J438" s="476"/>
      <c r="K438" s="476"/>
      <c r="L438" s="476"/>
      <c r="M438" s="476"/>
      <c r="N438" s="476"/>
      <c r="O438" s="476"/>
      <c r="P438" s="476"/>
      <c r="Q438" s="476"/>
      <c r="R438" s="476"/>
      <c r="S438" s="476"/>
      <c r="T438" s="476"/>
      <c r="U438" s="476"/>
      <c r="V438" s="476"/>
      <c r="W438" s="476"/>
      <c r="X438" s="476"/>
      <c r="Y438" s="476"/>
      <c r="Z438" s="476"/>
      <c r="AA438" s="476"/>
      <c r="AB438" s="476"/>
      <c r="AC438" s="476"/>
      <c r="AD438" s="476"/>
      <c r="AE438" s="476"/>
      <c r="AF438" s="476"/>
      <c r="AG438" s="476"/>
      <c r="AH438" s="476"/>
      <c r="AI438" s="476"/>
      <c r="AJ438" s="476"/>
      <c r="AK438" s="476"/>
      <c r="AL438" s="476"/>
      <c r="AM438" s="476"/>
      <c r="AN438" s="476"/>
      <c r="AO438" s="476"/>
      <c r="AP438" s="476"/>
      <c r="AQ438" s="476"/>
      <c r="AR438" s="476"/>
      <c r="AS438" s="476"/>
      <c r="AT438" s="476"/>
    </row>
    <row r="439" spans="1:46" ht="12.75" customHeight="1">
      <c r="A439" s="476"/>
      <c r="B439" s="476"/>
      <c r="C439" s="476"/>
      <c r="D439" s="476"/>
      <c r="E439" s="476"/>
      <c r="F439" s="476"/>
      <c r="G439" s="476"/>
      <c r="H439" s="476"/>
      <c r="I439" s="476"/>
      <c r="J439" s="476"/>
      <c r="K439" s="476"/>
      <c r="L439" s="476"/>
      <c r="M439" s="476"/>
      <c r="N439" s="476"/>
      <c r="O439" s="476"/>
      <c r="P439" s="476"/>
      <c r="Q439" s="476"/>
      <c r="R439" s="476"/>
      <c r="S439" s="476"/>
      <c r="T439" s="476"/>
      <c r="U439" s="476"/>
      <c r="V439" s="476"/>
      <c r="W439" s="476"/>
      <c r="X439" s="476"/>
      <c r="Y439" s="476"/>
      <c r="Z439" s="476"/>
      <c r="AA439" s="476"/>
      <c r="AB439" s="476"/>
      <c r="AC439" s="476"/>
      <c r="AD439" s="476"/>
      <c r="AE439" s="476"/>
      <c r="AF439" s="476"/>
      <c r="AG439" s="476"/>
      <c r="AH439" s="476"/>
      <c r="AI439" s="476"/>
      <c r="AJ439" s="476"/>
      <c r="AK439" s="476"/>
      <c r="AL439" s="476"/>
      <c r="AM439" s="476"/>
      <c r="AN439" s="476"/>
      <c r="AO439" s="476"/>
      <c r="AP439" s="476"/>
      <c r="AQ439" s="476"/>
      <c r="AR439" s="476"/>
      <c r="AS439" s="476"/>
      <c r="AT439" s="476"/>
    </row>
    <row r="440" spans="1:46" ht="12.75" customHeight="1">
      <c r="A440" s="476"/>
      <c r="B440" s="476"/>
      <c r="C440" s="476"/>
      <c r="D440" s="476"/>
      <c r="E440" s="476"/>
      <c r="F440" s="476"/>
      <c r="G440" s="476"/>
      <c r="H440" s="476"/>
      <c r="I440" s="476"/>
      <c r="J440" s="476"/>
      <c r="K440" s="476"/>
      <c r="L440" s="476"/>
      <c r="M440" s="476"/>
      <c r="N440" s="476"/>
      <c r="O440" s="476"/>
      <c r="P440" s="476"/>
      <c r="Q440" s="476"/>
      <c r="R440" s="476"/>
      <c r="S440" s="476"/>
      <c r="T440" s="476"/>
      <c r="U440" s="476"/>
      <c r="V440" s="476"/>
      <c r="W440" s="476"/>
      <c r="X440" s="476"/>
      <c r="Y440" s="476"/>
      <c r="Z440" s="476"/>
      <c r="AA440" s="476"/>
      <c r="AB440" s="476"/>
      <c r="AC440" s="476"/>
      <c r="AD440" s="476"/>
      <c r="AE440" s="476"/>
      <c r="AF440" s="476"/>
      <c r="AG440" s="476"/>
      <c r="AH440" s="476"/>
      <c r="AI440" s="476"/>
      <c r="AJ440" s="476"/>
      <c r="AK440" s="476"/>
      <c r="AL440" s="476"/>
      <c r="AM440" s="476"/>
      <c r="AN440" s="476"/>
      <c r="AO440" s="476"/>
      <c r="AP440" s="476"/>
      <c r="AQ440" s="476"/>
      <c r="AR440" s="476"/>
      <c r="AS440" s="476"/>
      <c r="AT440" s="476"/>
    </row>
    <row r="441" spans="1:46" ht="12.75" customHeight="1">
      <c r="A441" s="476"/>
      <c r="B441" s="476"/>
      <c r="C441" s="476"/>
      <c r="D441" s="476"/>
      <c r="E441" s="476"/>
      <c r="F441" s="476"/>
      <c r="G441" s="476"/>
      <c r="H441" s="476"/>
      <c r="I441" s="476"/>
      <c r="J441" s="476"/>
      <c r="K441" s="476"/>
      <c r="L441" s="476"/>
      <c r="M441" s="476"/>
      <c r="N441" s="476"/>
      <c r="O441" s="476"/>
      <c r="P441" s="476"/>
      <c r="Q441" s="476"/>
      <c r="R441" s="476"/>
      <c r="S441" s="476"/>
      <c r="T441" s="476"/>
      <c r="U441" s="476"/>
      <c r="V441" s="476"/>
      <c r="W441" s="476"/>
      <c r="X441" s="476"/>
      <c r="Y441" s="476"/>
      <c r="Z441" s="476"/>
      <c r="AA441" s="476"/>
      <c r="AB441" s="476"/>
      <c r="AC441" s="476"/>
      <c r="AD441" s="476"/>
      <c r="AE441" s="476"/>
      <c r="AF441" s="476"/>
      <c r="AG441" s="476"/>
      <c r="AH441" s="476"/>
      <c r="AI441" s="476"/>
      <c r="AJ441" s="476"/>
      <c r="AK441" s="476"/>
      <c r="AL441" s="476"/>
      <c r="AM441" s="476"/>
      <c r="AN441" s="476"/>
      <c r="AO441" s="476"/>
      <c r="AP441" s="476"/>
      <c r="AQ441" s="476"/>
      <c r="AR441" s="476"/>
      <c r="AS441" s="476"/>
      <c r="AT441" s="476"/>
    </row>
    <row r="442" spans="1:46" ht="12.75" customHeight="1">
      <c r="A442" s="476"/>
      <c r="B442" s="476"/>
      <c r="C442" s="476"/>
      <c r="D442" s="476"/>
      <c r="E442" s="476"/>
      <c r="F442" s="476"/>
      <c r="G442" s="476"/>
      <c r="H442" s="476"/>
      <c r="I442" s="476"/>
      <c r="J442" s="476"/>
      <c r="K442" s="476"/>
      <c r="L442" s="476"/>
      <c r="M442" s="476"/>
      <c r="N442" s="476"/>
      <c r="O442" s="476"/>
      <c r="P442" s="476"/>
      <c r="Q442" s="476"/>
      <c r="R442" s="476"/>
      <c r="S442" s="476"/>
      <c r="T442" s="476"/>
      <c r="U442" s="476"/>
      <c r="V442" s="476"/>
      <c r="W442" s="476"/>
      <c r="X442" s="476"/>
      <c r="Y442" s="476"/>
      <c r="Z442" s="476"/>
      <c r="AA442" s="476"/>
      <c r="AB442" s="476"/>
      <c r="AC442" s="476"/>
      <c r="AD442" s="476"/>
      <c r="AE442" s="476"/>
      <c r="AF442" s="476"/>
      <c r="AG442" s="476"/>
      <c r="AH442" s="476"/>
      <c r="AI442" s="476"/>
      <c r="AJ442" s="476"/>
      <c r="AK442" s="476"/>
      <c r="AL442" s="476"/>
      <c r="AM442" s="476"/>
      <c r="AN442" s="476"/>
      <c r="AO442" s="476"/>
      <c r="AP442" s="476"/>
      <c r="AQ442" s="476"/>
      <c r="AR442" s="476"/>
      <c r="AS442" s="476"/>
      <c r="AT442" s="476"/>
    </row>
    <row r="443" spans="1:46" ht="12.75" customHeight="1">
      <c r="A443" s="476"/>
      <c r="B443" s="476"/>
      <c r="C443" s="476"/>
      <c r="D443" s="476"/>
      <c r="E443" s="476"/>
      <c r="F443" s="476"/>
      <c r="G443" s="476"/>
      <c r="H443" s="476"/>
      <c r="I443" s="476"/>
      <c r="J443" s="476"/>
      <c r="K443" s="476"/>
      <c r="L443" s="476"/>
      <c r="M443" s="476"/>
      <c r="N443" s="476"/>
      <c r="O443" s="476"/>
      <c r="P443" s="476"/>
      <c r="Q443" s="476"/>
      <c r="R443" s="476"/>
      <c r="S443" s="476"/>
      <c r="T443" s="476"/>
      <c r="U443" s="476"/>
      <c r="V443" s="476"/>
      <c r="W443" s="476"/>
      <c r="X443" s="476"/>
      <c r="Y443" s="476"/>
      <c r="Z443" s="476"/>
      <c r="AA443" s="476"/>
      <c r="AB443" s="476"/>
      <c r="AC443" s="476"/>
      <c r="AD443" s="476"/>
      <c r="AE443" s="476"/>
      <c r="AF443" s="476"/>
      <c r="AG443" s="476"/>
      <c r="AH443" s="476"/>
      <c r="AI443" s="476"/>
      <c r="AJ443" s="476"/>
      <c r="AK443" s="476"/>
      <c r="AL443" s="476"/>
      <c r="AM443" s="476"/>
      <c r="AN443" s="476"/>
      <c r="AO443" s="476"/>
      <c r="AP443" s="476"/>
      <c r="AQ443" s="476"/>
      <c r="AR443" s="476"/>
      <c r="AS443" s="476"/>
      <c r="AT443" s="476"/>
    </row>
    <row r="444" spans="1:46" ht="12.75" customHeight="1">
      <c r="A444" s="476"/>
      <c r="B444" s="476"/>
      <c r="C444" s="476"/>
      <c r="D444" s="476"/>
      <c r="E444" s="476"/>
      <c r="F444" s="476"/>
      <c r="G444" s="476"/>
      <c r="H444" s="476"/>
      <c r="I444" s="476"/>
      <c r="J444" s="476"/>
      <c r="K444" s="476"/>
      <c r="L444" s="476"/>
      <c r="M444" s="476"/>
      <c r="N444" s="476"/>
      <c r="O444" s="476"/>
      <c r="P444" s="476"/>
      <c r="Q444" s="476"/>
      <c r="R444" s="476"/>
      <c r="S444" s="476"/>
      <c r="T444" s="476"/>
      <c r="U444" s="476"/>
      <c r="V444" s="476"/>
      <c r="W444" s="476"/>
      <c r="X444" s="476"/>
      <c r="Y444" s="476"/>
      <c r="Z444" s="476"/>
      <c r="AA444" s="476"/>
      <c r="AB444" s="476"/>
      <c r="AC444" s="476"/>
      <c r="AD444" s="476"/>
      <c r="AE444" s="476"/>
      <c r="AF444" s="476"/>
      <c r="AG444" s="476"/>
      <c r="AH444" s="476"/>
      <c r="AI444" s="476"/>
      <c r="AJ444" s="476"/>
      <c r="AK444" s="476"/>
      <c r="AL444" s="476"/>
      <c r="AM444" s="476"/>
      <c r="AN444" s="476"/>
      <c r="AO444" s="476"/>
      <c r="AP444" s="476"/>
      <c r="AQ444" s="476"/>
      <c r="AR444" s="476"/>
      <c r="AS444" s="476"/>
      <c r="AT444" s="476"/>
    </row>
    <row r="445" spans="1:46" ht="12.75" customHeight="1">
      <c r="A445" s="476"/>
      <c r="B445" s="476"/>
      <c r="C445" s="476"/>
      <c r="D445" s="476"/>
      <c r="E445" s="476"/>
      <c r="F445" s="476"/>
      <c r="G445" s="476"/>
      <c r="H445" s="476"/>
      <c r="I445" s="476"/>
      <c r="J445" s="476"/>
      <c r="K445" s="476"/>
      <c r="L445" s="476"/>
      <c r="M445" s="476"/>
      <c r="N445" s="476"/>
      <c r="O445" s="476"/>
      <c r="P445" s="476"/>
      <c r="Q445" s="476"/>
      <c r="R445" s="476"/>
      <c r="S445" s="476"/>
      <c r="T445" s="476"/>
      <c r="U445" s="476"/>
      <c r="V445" s="476"/>
      <c r="W445" s="476"/>
      <c r="X445" s="476"/>
      <c r="Y445" s="476"/>
      <c r="Z445" s="476"/>
      <c r="AA445" s="476"/>
      <c r="AB445" s="476"/>
      <c r="AC445" s="476"/>
      <c r="AD445" s="476"/>
      <c r="AE445" s="476"/>
      <c r="AF445" s="476"/>
      <c r="AG445" s="476"/>
      <c r="AH445" s="476"/>
      <c r="AI445" s="476"/>
      <c r="AJ445" s="476"/>
      <c r="AK445" s="476"/>
      <c r="AL445" s="476"/>
      <c r="AM445" s="476"/>
      <c r="AN445" s="476"/>
      <c r="AO445" s="476"/>
      <c r="AP445" s="476"/>
      <c r="AQ445" s="476"/>
      <c r="AR445" s="476"/>
      <c r="AS445" s="476"/>
      <c r="AT445" s="476"/>
    </row>
    <row r="446" spans="1:46" ht="12.75" customHeight="1">
      <c r="A446" s="476"/>
      <c r="B446" s="476"/>
      <c r="C446" s="476"/>
      <c r="D446" s="476"/>
      <c r="E446" s="476"/>
      <c r="F446" s="476"/>
      <c r="G446" s="476"/>
      <c r="H446" s="476"/>
      <c r="I446" s="476"/>
      <c r="J446" s="476"/>
      <c r="K446" s="476"/>
      <c r="L446" s="476"/>
      <c r="M446" s="476"/>
      <c r="N446" s="476"/>
      <c r="O446" s="476"/>
      <c r="P446" s="476"/>
      <c r="Q446" s="476"/>
      <c r="R446" s="476"/>
      <c r="S446" s="476"/>
      <c r="T446" s="476"/>
      <c r="U446" s="476"/>
      <c r="V446" s="476"/>
      <c r="W446" s="476"/>
      <c r="X446" s="476"/>
      <c r="Y446" s="476"/>
      <c r="Z446" s="476"/>
      <c r="AA446" s="476"/>
      <c r="AB446" s="476"/>
      <c r="AC446" s="476"/>
      <c r="AD446" s="476"/>
      <c r="AE446" s="476"/>
      <c r="AF446" s="476"/>
      <c r="AG446" s="476"/>
      <c r="AH446" s="476"/>
      <c r="AI446" s="476"/>
      <c r="AJ446" s="476"/>
      <c r="AK446" s="476"/>
      <c r="AL446" s="476"/>
      <c r="AM446" s="476"/>
      <c r="AN446" s="476"/>
      <c r="AO446" s="476"/>
      <c r="AP446" s="476"/>
      <c r="AQ446" s="476"/>
      <c r="AR446" s="476"/>
      <c r="AS446" s="476"/>
      <c r="AT446" s="476"/>
    </row>
    <row r="447" spans="1:46" ht="12.75" customHeight="1">
      <c r="A447" s="476"/>
      <c r="B447" s="476"/>
      <c r="C447" s="476"/>
      <c r="D447" s="476"/>
      <c r="E447" s="476"/>
      <c r="F447" s="476"/>
      <c r="G447" s="476"/>
      <c r="H447" s="476"/>
      <c r="I447" s="476"/>
      <c r="J447" s="476"/>
      <c r="K447" s="476"/>
      <c r="L447" s="476"/>
      <c r="M447" s="476"/>
      <c r="N447" s="476"/>
      <c r="O447" s="476"/>
      <c r="P447" s="476"/>
      <c r="Q447" s="476"/>
      <c r="R447" s="476"/>
      <c r="S447" s="476"/>
      <c r="T447" s="476"/>
      <c r="U447" s="476"/>
      <c r="V447" s="476"/>
      <c r="W447" s="476"/>
      <c r="X447" s="476"/>
      <c r="Y447" s="476"/>
      <c r="Z447" s="476"/>
      <c r="AA447" s="476"/>
      <c r="AB447" s="476"/>
      <c r="AC447" s="476"/>
      <c r="AD447" s="476"/>
      <c r="AE447" s="476"/>
      <c r="AF447" s="476"/>
      <c r="AG447" s="476"/>
      <c r="AH447" s="476"/>
      <c r="AI447" s="476"/>
      <c r="AJ447" s="476"/>
      <c r="AK447" s="476"/>
      <c r="AL447" s="476"/>
      <c r="AM447" s="476"/>
      <c r="AN447" s="476"/>
      <c r="AO447" s="476"/>
      <c r="AP447" s="476"/>
      <c r="AQ447" s="476"/>
      <c r="AR447" s="476"/>
      <c r="AS447" s="476"/>
      <c r="AT447" s="476"/>
    </row>
    <row r="448" spans="1:46" ht="12.75" customHeight="1">
      <c r="A448" s="476"/>
      <c r="B448" s="476"/>
      <c r="C448" s="476"/>
      <c r="D448" s="476"/>
      <c r="E448" s="476"/>
      <c r="F448" s="476"/>
      <c r="G448" s="476"/>
      <c r="H448" s="476"/>
      <c r="I448" s="476"/>
      <c r="J448" s="476"/>
      <c r="K448" s="476"/>
      <c r="L448" s="476"/>
      <c r="M448" s="476"/>
      <c r="N448" s="476"/>
      <c r="O448" s="476"/>
      <c r="P448" s="476"/>
      <c r="Q448" s="476"/>
      <c r="R448" s="476"/>
      <c r="S448" s="476"/>
      <c r="T448" s="476"/>
      <c r="U448" s="476"/>
      <c r="V448" s="476"/>
      <c r="W448" s="476"/>
      <c r="X448" s="476"/>
      <c r="Y448" s="476"/>
      <c r="Z448" s="476"/>
      <c r="AA448" s="476"/>
      <c r="AB448" s="476"/>
      <c r="AC448" s="476"/>
      <c r="AD448" s="476"/>
      <c r="AE448" s="476"/>
      <c r="AF448" s="476"/>
      <c r="AG448" s="476"/>
      <c r="AH448" s="476"/>
      <c r="AI448" s="476"/>
      <c r="AJ448" s="476"/>
      <c r="AK448" s="476"/>
      <c r="AL448" s="476"/>
      <c r="AM448" s="476"/>
      <c r="AN448" s="476"/>
      <c r="AO448" s="476"/>
      <c r="AP448" s="476"/>
      <c r="AQ448" s="476"/>
      <c r="AR448" s="476"/>
      <c r="AS448" s="476"/>
      <c r="AT448" s="476"/>
    </row>
    <row r="449" spans="1:46" ht="12.75" customHeight="1">
      <c r="A449" s="476"/>
      <c r="B449" s="476"/>
      <c r="C449" s="476"/>
      <c r="D449" s="476"/>
      <c r="E449" s="476"/>
      <c r="F449" s="476"/>
      <c r="G449" s="476"/>
      <c r="H449" s="476"/>
      <c r="I449" s="476"/>
      <c r="J449" s="476"/>
      <c r="K449" s="476"/>
      <c r="L449" s="476"/>
      <c r="M449" s="476"/>
      <c r="N449" s="476"/>
      <c r="O449" s="476"/>
      <c r="P449" s="476"/>
      <c r="Q449" s="476"/>
      <c r="R449" s="476"/>
      <c r="S449" s="476"/>
      <c r="T449" s="476"/>
      <c r="U449" s="476"/>
      <c r="V449" s="476"/>
      <c r="W449" s="476"/>
      <c r="X449" s="476"/>
      <c r="Y449" s="476"/>
      <c r="Z449" s="476"/>
      <c r="AA449" s="476"/>
      <c r="AB449" s="476"/>
      <c r="AC449" s="476"/>
      <c r="AD449" s="476"/>
      <c r="AE449" s="476"/>
      <c r="AF449" s="476"/>
      <c r="AG449" s="476"/>
      <c r="AH449" s="476"/>
      <c r="AI449" s="476"/>
      <c r="AJ449" s="476"/>
      <c r="AK449" s="476"/>
      <c r="AL449" s="476"/>
      <c r="AM449" s="476"/>
      <c r="AN449" s="476"/>
      <c r="AO449" s="476"/>
      <c r="AP449" s="476"/>
      <c r="AQ449" s="476"/>
      <c r="AR449" s="476"/>
      <c r="AS449" s="476"/>
      <c r="AT449" s="476"/>
    </row>
    <row r="450" spans="1:46" ht="12.75" customHeight="1">
      <c r="A450" s="476"/>
      <c r="B450" s="476"/>
      <c r="C450" s="476"/>
      <c r="D450" s="476"/>
      <c r="E450" s="476"/>
      <c r="F450" s="476"/>
      <c r="G450" s="476"/>
      <c r="H450" s="476"/>
      <c r="I450" s="476"/>
      <c r="J450" s="476"/>
      <c r="K450" s="476"/>
      <c r="L450" s="476"/>
      <c r="M450" s="476"/>
      <c r="N450" s="476"/>
      <c r="O450" s="476"/>
      <c r="P450" s="476"/>
      <c r="Q450" s="476"/>
      <c r="R450" s="476"/>
      <c r="S450" s="476"/>
      <c r="T450" s="476"/>
      <c r="U450" s="476"/>
      <c r="V450" s="476"/>
      <c r="W450" s="476"/>
      <c r="X450" s="476"/>
      <c r="Y450" s="476"/>
      <c r="Z450" s="476"/>
      <c r="AA450" s="476"/>
      <c r="AB450" s="476"/>
      <c r="AC450" s="476"/>
      <c r="AD450" s="476"/>
      <c r="AE450" s="476"/>
      <c r="AF450" s="476"/>
      <c r="AG450" s="476"/>
      <c r="AH450" s="476"/>
      <c r="AI450" s="476"/>
      <c r="AJ450" s="476"/>
      <c r="AK450" s="476"/>
      <c r="AL450" s="476"/>
      <c r="AM450" s="476"/>
      <c r="AN450" s="476"/>
      <c r="AO450" s="476"/>
      <c r="AP450" s="476"/>
      <c r="AQ450" s="476"/>
      <c r="AR450" s="476"/>
      <c r="AS450" s="476"/>
      <c r="AT450" s="476"/>
    </row>
    <row r="451" spans="1:46" ht="12.75" customHeight="1">
      <c r="A451" s="476"/>
      <c r="B451" s="476"/>
      <c r="C451" s="476"/>
      <c r="D451" s="476"/>
      <c r="E451" s="476"/>
      <c r="F451" s="476"/>
      <c r="G451" s="476"/>
      <c r="H451" s="476"/>
      <c r="I451" s="476"/>
      <c r="J451" s="476"/>
      <c r="K451" s="476"/>
      <c r="L451" s="476"/>
      <c r="M451" s="476"/>
      <c r="N451" s="476"/>
      <c r="O451" s="476"/>
      <c r="P451" s="476"/>
      <c r="Q451" s="476"/>
      <c r="R451" s="476"/>
      <c r="S451" s="476"/>
      <c r="T451" s="476"/>
      <c r="U451" s="476"/>
      <c r="V451" s="476"/>
      <c r="W451" s="476"/>
      <c r="X451" s="476"/>
      <c r="Y451" s="476"/>
      <c r="Z451" s="476"/>
      <c r="AA451" s="476"/>
      <c r="AB451" s="476"/>
      <c r="AC451" s="476"/>
      <c r="AD451" s="476"/>
      <c r="AE451" s="476"/>
      <c r="AF451" s="476"/>
      <c r="AG451" s="476"/>
      <c r="AH451" s="476"/>
      <c r="AI451" s="476"/>
      <c r="AJ451" s="476"/>
      <c r="AK451" s="476"/>
      <c r="AL451" s="476"/>
      <c r="AM451" s="476"/>
      <c r="AN451" s="476"/>
      <c r="AO451" s="476"/>
      <c r="AP451" s="476"/>
      <c r="AQ451" s="476"/>
      <c r="AR451" s="476"/>
      <c r="AS451" s="476"/>
      <c r="AT451" s="476"/>
    </row>
    <row r="452" spans="1:46" ht="12.75" customHeight="1">
      <c r="A452" s="476"/>
      <c r="B452" s="476"/>
      <c r="C452" s="476"/>
      <c r="D452" s="476"/>
      <c r="E452" s="476"/>
      <c r="F452" s="476"/>
      <c r="G452" s="476"/>
      <c r="H452" s="476"/>
      <c r="I452" s="476"/>
      <c r="J452" s="476"/>
      <c r="K452" s="476"/>
      <c r="L452" s="476"/>
      <c r="M452" s="476"/>
      <c r="N452" s="476"/>
      <c r="O452" s="476"/>
      <c r="P452" s="476"/>
      <c r="Q452" s="476"/>
      <c r="R452" s="476"/>
      <c r="S452" s="476"/>
      <c r="T452" s="476"/>
      <c r="U452" s="476"/>
      <c r="V452" s="476"/>
      <c r="W452" s="476"/>
      <c r="X452" s="476"/>
      <c r="Y452" s="476"/>
      <c r="Z452" s="476"/>
      <c r="AA452" s="476"/>
      <c r="AB452" s="476"/>
      <c r="AC452" s="476"/>
      <c r="AD452" s="476"/>
      <c r="AE452" s="476"/>
      <c r="AF452" s="476"/>
      <c r="AG452" s="476"/>
      <c r="AH452" s="476"/>
      <c r="AI452" s="476"/>
      <c r="AJ452" s="476"/>
      <c r="AK452" s="476"/>
      <c r="AL452" s="476"/>
      <c r="AM452" s="476"/>
      <c r="AN452" s="476"/>
      <c r="AO452" s="476"/>
      <c r="AP452" s="476"/>
      <c r="AQ452" s="476"/>
      <c r="AR452" s="476"/>
      <c r="AS452" s="476"/>
      <c r="AT452" s="476"/>
    </row>
    <row r="453" spans="1:46" ht="12.75" customHeight="1">
      <c r="A453" s="476"/>
      <c r="B453" s="476"/>
      <c r="C453" s="476"/>
      <c r="D453" s="476"/>
      <c r="E453" s="476"/>
      <c r="F453" s="476"/>
      <c r="G453" s="476"/>
      <c r="H453" s="476"/>
      <c r="I453" s="476"/>
      <c r="J453" s="476"/>
      <c r="K453" s="476"/>
      <c r="L453" s="476"/>
      <c r="M453" s="476"/>
      <c r="N453" s="476"/>
      <c r="O453" s="476"/>
      <c r="P453" s="476"/>
      <c r="Q453" s="476"/>
      <c r="R453" s="476"/>
      <c r="S453" s="476"/>
      <c r="T453" s="476"/>
      <c r="U453" s="476"/>
      <c r="V453" s="476"/>
      <c r="W453" s="476"/>
      <c r="X453" s="476"/>
      <c r="Y453" s="476"/>
      <c r="Z453" s="476"/>
      <c r="AA453" s="476"/>
      <c r="AB453" s="476"/>
      <c r="AC453" s="476"/>
      <c r="AD453" s="476"/>
      <c r="AE453" s="476"/>
      <c r="AF453" s="476"/>
      <c r="AG453" s="476"/>
      <c r="AH453" s="476"/>
      <c r="AI453" s="476"/>
      <c r="AJ453" s="476"/>
      <c r="AK453" s="476"/>
      <c r="AL453" s="476"/>
      <c r="AM453" s="476"/>
      <c r="AN453" s="476"/>
      <c r="AO453" s="476"/>
      <c r="AP453" s="476"/>
      <c r="AQ453" s="476"/>
      <c r="AR453" s="476"/>
      <c r="AS453" s="476"/>
      <c r="AT453" s="476"/>
    </row>
    <row r="454" spans="1:46" ht="12.75" customHeight="1">
      <c r="A454" s="476"/>
      <c r="B454" s="476"/>
      <c r="C454" s="476"/>
      <c r="D454" s="476"/>
      <c r="E454" s="476"/>
      <c r="F454" s="476"/>
      <c r="G454" s="476"/>
      <c r="H454" s="476"/>
      <c r="I454" s="476"/>
      <c r="J454" s="476"/>
      <c r="K454" s="476"/>
      <c r="L454" s="476"/>
      <c r="M454" s="476"/>
      <c r="N454" s="476"/>
      <c r="O454" s="476"/>
      <c r="P454" s="476"/>
      <c r="Q454" s="476"/>
      <c r="R454" s="476"/>
      <c r="S454" s="476"/>
      <c r="T454" s="476"/>
      <c r="U454" s="476"/>
      <c r="V454" s="476"/>
      <c r="W454" s="476"/>
      <c r="X454" s="476"/>
      <c r="Y454" s="476"/>
      <c r="Z454" s="476"/>
      <c r="AA454" s="476"/>
      <c r="AB454" s="476"/>
      <c r="AC454" s="476"/>
      <c r="AD454" s="476"/>
      <c r="AE454" s="476"/>
      <c r="AF454" s="476"/>
      <c r="AG454" s="476"/>
      <c r="AH454" s="476"/>
      <c r="AI454" s="476"/>
      <c r="AJ454" s="476"/>
      <c r="AK454" s="476"/>
      <c r="AL454" s="476"/>
      <c r="AM454" s="476"/>
      <c r="AN454" s="476"/>
      <c r="AO454" s="476"/>
      <c r="AP454" s="476"/>
      <c r="AQ454" s="476"/>
      <c r="AR454" s="476"/>
      <c r="AS454" s="476"/>
      <c r="AT454" s="476"/>
    </row>
    <row r="455" spans="1:46" ht="12.75" customHeight="1">
      <c r="A455" s="476"/>
      <c r="B455" s="476"/>
      <c r="C455" s="476"/>
      <c r="D455" s="476"/>
      <c r="E455" s="476"/>
      <c r="F455" s="476"/>
      <c r="G455" s="476"/>
      <c r="H455" s="476"/>
      <c r="I455" s="476"/>
      <c r="J455" s="476"/>
      <c r="K455" s="476"/>
      <c r="L455" s="476"/>
      <c r="M455" s="476"/>
      <c r="N455" s="476"/>
      <c r="O455" s="476"/>
      <c r="P455" s="476"/>
      <c r="Q455" s="476"/>
      <c r="R455" s="476"/>
      <c r="S455" s="476"/>
      <c r="T455" s="476"/>
      <c r="U455" s="476"/>
      <c r="V455" s="476"/>
      <c r="W455" s="476"/>
      <c r="X455" s="476"/>
      <c r="Y455" s="476"/>
      <c r="Z455" s="476"/>
      <c r="AA455" s="476"/>
      <c r="AB455" s="476"/>
      <c r="AC455" s="476"/>
      <c r="AD455" s="476"/>
      <c r="AE455" s="476"/>
      <c r="AF455" s="476"/>
      <c r="AG455" s="476"/>
      <c r="AH455" s="476"/>
      <c r="AI455" s="476"/>
      <c r="AJ455" s="476"/>
      <c r="AK455" s="476"/>
      <c r="AL455" s="476"/>
      <c r="AM455" s="476"/>
      <c r="AN455" s="476"/>
      <c r="AO455" s="476"/>
      <c r="AP455" s="476"/>
      <c r="AQ455" s="476"/>
      <c r="AR455" s="476"/>
      <c r="AS455" s="476"/>
      <c r="AT455" s="476"/>
    </row>
    <row r="456" spans="1:46" ht="12.75" customHeight="1">
      <c r="A456" s="476"/>
      <c r="B456" s="476"/>
      <c r="C456" s="476"/>
      <c r="D456" s="476"/>
      <c r="E456" s="476"/>
      <c r="F456" s="476"/>
      <c r="G456" s="476"/>
      <c r="H456" s="476"/>
      <c r="I456" s="476"/>
      <c r="J456" s="476"/>
      <c r="K456" s="476"/>
      <c r="L456" s="476"/>
      <c r="M456" s="476"/>
      <c r="N456" s="476"/>
      <c r="O456" s="476"/>
      <c r="P456" s="476"/>
      <c r="Q456" s="476"/>
      <c r="R456" s="476"/>
      <c r="S456" s="476"/>
      <c r="T456" s="476"/>
      <c r="U456" s="476"/>
      <c r="V456" s="476"/>
      <c r="W456" s="476"/>
      <c r="X456" s="476"/>
      <c r="Y456" s="476"/>
      <c r="Z456" s="476"/>
      <c r="AA456" s="476"/>
      <c r="AB456" s="476"/>
      <c r="AC456" s="476"/>
      <c r="AD456" s="476"/>
      <c r="AE456" s="476"/>
      <c r="AF456" s="476"/>
      <c r="AG456" s="476"/>
      <c r="AH456" s="476"/>
      <c r="AI456" s="476"/>
      <c r="AJ456" s="476"/>
      <c r="AK456" s="476"/>
      <c r="AL456" s="476"/>
      <c r="AM456" s="476"/>
      <c r="AN456" s="476"/>
      <c r="AO456" s="476"/>
      <c r="AP456" s="476"/>
      <c r="AQ456" s="476"/>
      <c r="AR456" s="476"/>
      <c r="AS456" s="476"/>
      <c r="AT456" s="476"/>
    </row>
    <row r="457" spans="1:46" ht="12.75" customHeight="1">
      <c r="A457" s="476"/>
      <c r="B457" s="476"/>
      <c r="C457" s="476"/>
      <c r="D457" s="476"/>
      <c r="E457" s="476"/>
      <c r="F457" s="476"/>
      <c r="G457" s="476"/>
      <c r="H457" s="476"/>
      <c r="I457" s="476"/>
      <c r="J457" s="476"/>
      <c r="K457" s="476"/>
      <c r="L457" s="476"/>
      <c r="M457" s="476"/>
      <c r="N457" s="476"/>
      <c r="O457" s="476"/>
      <c r="P457" s="476"/>
      <c r="Q457" s="476"/>
      <c r="R457" s="476"/>
      <c r="S457" s="476"/>
      <c r="T457" s="476"/>
      <c r="U457" s="476"/>
      <c r="V457" s="476"/>
      <c r="W457" s="476"/>
      <c r="X457" s="476"/>
      <c r="Y457" s="476"/>
      <c r="Z457" s="476"/>
      <c r="AA457" s="476"/>
      <c r="AB457" s="476"/>
      <c r="AC457" s="476"/>
      <c r="AD457" s="476"/>
      <c r="AE457" s="476"/>
      <c r="AF457" s="476"/>
      <c r="AG457" s="476"/>
      <c r="AH457" s="476"/>
      <c r="AI457" s="476"/>
      <c r="AJ457" s="476"/>
      <c r="AK457" s="476"/>
      <c r="AL457" s="476"/>
      <c r="AM457" s="476"/>
      <c r="AN457" s="476"/>
      <c r="AO457" s="476"/>
      <c r="AP457" s="476"/>
      <c r="AQ457" s="476"/>
      <c r="AR457" s="476"/>
      <c r="AS457" s="476"/>
      <c r="AT457" s="476"/>
    </row>
    <row r="458" spans="1:46" ht="12.75" customHeight="1">
      <c r="A458" s="476"/>
      <c r="B458" s="476"/>
      <c r="C458" s="476"/>
      <c r="D458" s="476"/>
      <c r="E458" s="476"/>
      <c r="F458" s="476"/>
      <c r="G458" s="476"/>
      <c r="H458" s="476"/>
      <c r="I458" s="476"/>
      <c r="J458" s="476"/>
      <c r="K458" s="476"/>
      <c r="L458" s="476"/>
      <c r="M458" s="476"/>
      <c r="N458" s="476"/>
      <c r="O458" s="476"/>
      <c r="P458" s="476"/>
      <c r="Q458" s="476"/>
      <c r="R458" s="476"/>
      <c r="S458" s="476"/>
      <c r="T458" s="476"/>
      <c r="U458" s="476"/>
      <c r="V458" s="476"/>
      <c r="W458" s="476"/>
      <c r="X458" s="476"/>
      <c r="Y458" s="476"/>
      <c r="Z458" s="476"/>
      <c r="AA458" s="476"/>
      <c r="AB458" s="476"/>
      <c r="AC458" s="476"/>
      <c r="AD458" s="476"/>
      <c r="AE458" s="476"/>
      <c r="AF458" s="476"/>
      <c r="AG458" s="476"/>
      <c r="AH458" s="476"/>
      <c r="AI458" s="476"/>
      <c r="AJ458" s="476"/>
      <c r="AK458" s="476"/>
      <c r="AL458" s="476"/>
      <c r="AM458" s="476"/>
      <c r="AN458" s="476"/>
      <c r="AO458" s="476"/>
      <c r="AP458" s="476"/>
      <c r="AQ458" s="476"/>
      <c r="AR458" s="476"/>
      <c r="AS458" s="476"/>
      <c r="AT458" s="476"/>
    </row>
    <row r="459" spans="1:46" ht="12.75" customHeight="1">
      <c r="A459" s="476"/>
      <c r="B459" s="476"/>
      <c r="C459" s="476"/>
      <c r="D459" s="476"/>
      <c r="E459" s="476"/>
      <c r="F459" s="476"/>
      <c r="G459" s="476"/>
      <c r="H459" s="476"/>
      <c r="I459" s="476"/>
      <c r="J459" s="476"/>
      <c r="K459" s="476"/>
      <c r="L459" s="476"/>
      <c r="M459" s="476"/>
      <c r="N459" s="476"/>
      <c r="O459" s="476"/>
      <c r="P459" s="476"/>
      <c r="Q459" s="476"/>
      <c r="R459" s="476"/>
      <c r="S459" s="476"/>
      <c r="T459" s="476"/>
      <c r="U459" s="476"/>
      <c r="V459" s="476"/>
      <c r="W459" s="476"/>
      <c r="X459" s="476"/>
      <c r="Y459" s="476"/>
      <c r="Z459" s="476"/>
      <c r="AA459" s="476"/>
      <c r="AB459" s="476"/>
      <c r="AC459" s="476"/>
      <c r="AD459" s="476"/>
      <c r="AE459" s="476"/>
      <c r="AF459" s="476"/>
      <c r="AG459" s="476"/>
      <c r="AH459" s="476"/>
      <c r="AI459" s="476"/>
      <c r="AJ459" s="476"/>
      <c r="AK459" s="476"/>
      <c r="AL459" s="476"/>
      <c r="AM459" s="476"/>
      <c r="AN459" s="476"/>
      <c r="AO459" s="476"/>
      <c r="AP459" s="476"/>
      <c r="AQ459" s="476"/>
      <c r="AR459" s="476"/>
      <c r="AS459" s="476"/>
      <c r="AT459" s="476"/>
    </row>
    <row r="460" spans="1:46" ht="12.75" customHeight="1">
      <c r="A460" s="476"/>
      <c r="B460" s="476"/>
      <c r="C460" s="476"/>
      <c r="D460" s="476"/>
      <c r="E460" s="476"/>
      <c r="F460" s="476"/>
      <c r="G460" s="476"/>
      <c r="H460" s="476"/>
      <c r="I460" s="476"/>
      <c r="J460" s="476"/>
      <c r="K460" s="476"/>
      <c r="L460" s="476"/>
      <c r="M460" s="476"/>
      <c r="N460" s="476"/>
      <c r="O460" s="476"/>
      <c r="P460" s="476"/>
      <c r="Q460" s="476"/>
      <c r="R460" s="476"/>
      <c r="S460" s="476"/>
      <c r="T460" s="476"/>
      <c r="U460" s="476"/>
      <c r="V460" s="476"/>
      <c r="W460" s="476"/>
      <c r="X460" s="476"/>
      <c r="Y460" s="476"/>
      <c r="Z460" s="476"/>
      <c r="AA460" s="476"/>
      <c r="AB460" s="476"/>
      <c r="AC460" s="476"/>
      <c r="AD460" s="476"/>
      <c r="AE460" s="476"/>
      <c r="AF460" s="476"/>
      <c r="AG460" s="476"/>
      <c r="AH460" s="476"/>
      <c r="AI460" s="476"/>
      <c r="AJ460" s="476"/>
      <c r="AK460" s="476"/>
      <c r="AL460" s="476"/>
      <c r="AM460" s="476"/>
      <c r="AN460" s="476"/>
      <c r="AO460" s="476"/>
      <c r="AP460" s="476"/>
      <c r="AQ460" s="476"/>
      <c r="AR460" s="476"/>
      <c r="AS460" s="476"/>
      <c r="AT460" s="476"/>
    </row>
    <row r="461" spans="1:46" ht="12.75" customHeight="1">
      <c r="A461" s="476"/>
      <c r="B461" s="476"/>
      <c r="C461" s="476"/>
      <c r="D461" s="476"/>
      <c r="E461" s="476"/>
      <c r="F461" s="476"/>
      <c r="G461" s="476"/>
      <c r="H461" s="476"/>
      <c r="I461" s="476"/>
      <c r="J461" s="476"/>
      <c r="K461" s="476"/>
      <c r="L461" s="476"/>
      <c r="M461" s="476"/>
      <c r="N461" s="476"/>
      <c r="O461" s="476"/>
      <c r="P461" s="476"/>
      <c r="Q461" s="476"/>
      <c r="R461" s="476"/>
      <c r="S461" s="476"/>
      <c r="T461" s="476"/>
      <c r="U461" s="476"/>
      <c r="V461" s="476"/>
      <c r="W461" s="476"/>
      <c r="X461" s="476"/>
      <c r="Y461" s="476"/>
      <c r="Z461" s="476"/>
      <c r="AA461" s="476"/>
      <c r="AB461" s="476"/>
      <c r="AC461" s="476"/>
      <c r="AD461" s="476"/>
      <c r="AE461" s="476"/>
      <c r="AF461" s="476"/>
      <c r="AG461" s="476"/>
      <c r="AH461" s="476"/>
      <c r="AI461" s="476"/>
      <c r="AJ461" s="476"/>
      <c r="AK461" s="476"/>
      <c r="AL461" s="476"/>
      <c r="AM461" s="476"/>
      <c r="AN461" s="476"/>
      <c r="AO461" s="476"/>
      <c r="AP461" s="476"/>
      <c r="AQ461" s="476"/>
      <c r="AR461" s="476"/>
      <c r="AS461" s="476"/>
      <c r="AT461" s="476"/>
    </row>
    <row r="462" spans="1:46" ht="12.75" customHeight="1">
      <c r="A462" s="476"/>
      <c r="B462" s="476"/>
      <c r="C462" s="476"/>
      <c r="D462" s="476"/>
      <c r="E462" s="476"/>
      <c r="F462" s="476"/>
      <c r="G462" s="476"/>
      <c r="H462" s="476"/>
      <c r="I462" s="476"/>
      <c r="J462" s="476"/>
      <c r="K462" s="476"/>
      <c r="L462" s="476"/>
      <c r="M462" s="476"/>
      <c r="N462" s="476"/>
      <c r="O462" s="476"/>
      <c r="P462" s="476"/>
      <c r="Q462" s="476"/>
      <c r="R462" s="476"/>
      <c r="S462" s="476"/>
      <c r="T462" s="476"/>
      <c r="U462" s="476"/>
      <c r="V462" s="476"/>
      <c r="W462" s="476"/>
      <c r="X462" s="476"/>
      <c r="Y462" s="476"/>
      <c r="Z462" s="476"/>
      <c r="AA462" s="476"/>
      <c r="AB462" s="476"/>
      <c r="AC462" s="476"/>
      <c r="AD462" s="476"/>
      <c r="AE462" s="476"/>
      <c r="AF462" s="476"/>
      <c r="AG462" s="476"/>
      <c r="AH462" s="476"/>
      <c r="AI462" s="476"/>
      <c r="AJ462" s="476"/>
      <c r="AK462" s="476"/>
      <c r="AL462" s="476"/>
      <c r="AM462" s="476"/>
      <c r="AN462" s="476"/>
      <c r="AO462" s="476"/>
      <c r="AP462" s="476"/>
      <c r="AQ462" s="476"/>
      <c r="AR462" s="476"/>
      <c r="AS462" s="476"/>
      <c r="AT462" s="476"/>
    </row>
    <row r="463" spans="1:46" ht="12.75" customHeight="1">
      <c r="A463" s="476"/>
      <c r="B463" s="476"/>
      <c r="C463" s="476"/>
      <c r="D463" s="476"/>
      <c r="E463" s="476"/>
      <c r="F463" s="476"/>
      <c r="G463" s="476"/>
      <c r="H463" s="476"/>
      <c r="I463" s="476"/>
      <c r="J463" s="476"/>
      <c r="K463" s="476"/>
      <c r="L463" s="476"/>
      <c r="M463" s="476"/>
      <c r="N463" s="476"/>
      <c r="O463" s="476"/>
      <c r="P463" s="476"/>
      <c r="Q463" s="476"/>
      <c r="R463" s="476"/>
      <c r="S463" s="476"/>
      <c r="T463" s="476"/>
      <c r="U463" s="476"/>
      <c r="V463" s="476"/>
      <c r="W463" s="476"/>
      <c r="X463" s="476"/>
      <c r="Y463" s="476"/>
      <c r="Z463" s="476"/>
      <c r="AA463" s="476"/>
      <c r="AB463" s="476"/>
      <c r="AC463" s="476"/>
      <c r="AD463" s="476"/>
      <c r="AE463" s="476"/>
      <c r="AF463" s="476"/>
      <c r="AG463" s="476"/>
      <c r="AH463" s="476"/>
      <c r="AI463" s="476"/>
      <c r="AJ463" s="476"/>
      <c r="AK463" s="476"/>
      <c r="AL463" s="476"/>
      <c r="AM463" s="476"/>
      <c r="AN463" s="476"/>
      <c r="AO463" s="476"/>
      <c r="AP463" s="476"/>
      <c r="AQ463" s="476"/>
      <c r="AR463" s="476"/>
      <c r="AS463" s="476"/>
      <c r="AT463" s="476"/>
    </row>
    <row r="464" spans="1:46" ht="12.75" customHeight="1">
      <c r="A464" s="476"/>
      <c r="B464" s="476"/>
      <c r="C464" s="476"/>
      <c r="D464" s="476"/>
      <c r="E464" s="476"/>
      <c r="F464" s="476"/>
      <c r="G464" s="476"/>
      <c r="H464" s="476"/>
      <c r="I464" s="476"/>
      <c r="J464" s="476"/>
      <c r="K464" s="476"/>
      <c r="L464" s="476"/>
      <c r="M464" s="476"/>
      <c r="N464" s="476"/>
      <c r="O464" s="476"/>
      <c r="P464" s="476"/>
      <c r="Q464" s="476"/>
      <c r="R464" s="476"/>
      <c r="S464" s="476"/>
      <c r="T464" s="476"/>
      <c r="U464" s="476"/>
      <c r="V464" s="476"/>
      <c r="W464" s="476"/>
      <c r="X464" s="476"/>
      <c r="Y464" s="476"/>
      <c r="Z464" s="476"/>
      <c r="AA464" s="476"/>
      <c r="AB464" s="476"/>
      <c r="AC464" s="476"/>
      <c r="AD464" s="476"/>
      <c r="AE464" s="476"/>
      <c r="AF464" s="476"/>
      <c r="AG464" s="476"/>
      <c r="AH464" s="476"/>
      <c r="AI464" s="476"/>
      <c r="AJ464" s="476"/>
      <c r="AK464" s="476"/>
      <c r="AL464" s="476"/>
      <c r="AM464" s="476"/>
      <c r="AN464" s="476"/>
      <c r="AO464" s="476"/>
      <c r="AP464" s="476"/>
      <c r="AQ464" s="476"/>
      <c r="AR464" s="476"/>
      <c r="AS464" s="476"/>
      <c r="AT464" s="476"/>
    </row>
    <row r="465" spans="1:46" ht="12.75" customHeight="1">
      <c r="A465" s="476"/>
      <c r="B465" s="476"/>
      <c r="C465" s="476"/>
      <c r="D465" s="476"/>
      <c r="E465" s="476"/>
      <c r="F465" s="476"/>
      <c r="G465" s="476"/>
      <c r="H465" s="476"/>
      <c r="I465" s="476"/>
      <c r="J465" s="476"/>
      <c r="K465" s="476"/>
      <c r="L465" s="476"/>
      <c r="M465" s="476"/>
      <c r="N465" s="476"/>
      <c r="O465" s="476"/>
      <c r="P465" s="476"/>
      <c r="Q465" s="476"/>
      <c r="R465" s="476"/>
      <c r="S465" s="476"/>
      <c r="T465" s="476"/>
      <c r="U465" s="476"/>
      <c r="V465" s="476"/>
      <c r="W465" s="476"/>
      <c r="X465" s="476"/>
      <c r="Y465" s="476"/>
      <c r="Z465" s="476"/>
      <c r="AA465" s="476"/>
      <c r="AB465" s="476"/>
      <c r="AC465" s="476"/>
      <c r="AD465" s="476"/>
      <c r="AE465" s="476"/>
      <c r="AF465" s="476"/>
      <c r="AG465" s="476"/>
      <c r="AH465" s="476"/>
      <c r="AI465" s="476"/>
      <c r="AJ465" s="476"/>
      <c r="AK465" s="476"/>
      <c r="AL465" s="476"/>
      <c r="AM465" s="476"/>
      <c r="AN465" s="476"/>
      <c r="AO465" s="476"/>
      <c r="AP465" s="476"/>
      <c r="AQ465" s="476"/>
      <c r="AR465" s="476"/>
      <c r="AS465" s="476"/>
      <c r="AT465" s="476"/>
    </row>
    <row r="466" spans="1:46" ht="12.75" customHeight="1">
      <c r="A466" s="476"/>
      <c r="B466" s="476"/>
      <c r="C466" s="476"/>
      <c r="D466" s="476"/>
      <c r="E466" s="476"/>
      <c r="F466" s="476"/>
      <c r="G466" s="476"/>
      <c r="H466" s="476"/>
      <c r="I466" s="476"/>
      <c r="J466" s="476"/>
      <c r="K466" s="476"/>
      <c r="L466" s="476"/>
      <c r="M466" s="476"/>
      <c r="N466" s="476"/>
      <c r="O466" s="476"/>
      <c r="P466" s="476"/>
      <c r="Q466" s="476"/>
      <c r="R466" s="476"/>
      <c r="S466" s="476"/>
      <c r="T466" s="476"/>
      <c r="U466" s="476"/>
      <c r="V466" s="476"/>
      <c r="W466" s="476"/>
      <c r="X466" s="476"/>
      <c r="Y466" s="476"/>
      <c r="Z466" s="476"/>
      <c r="AA466" s="476"/>
      <c r="AB466" s="476"/>
      <c r="AC466" s="476"/>
      <c r="AD466" s="476"/>
      <c r="AE466" s="476"/>
      <c r="AF466" s="476"/>
      <c r="AG466" s="476"/>
      <c r="AH466" s="476"/>
      <c r="AI466" s="476"/>
      <c r="AJ466" s="476"/>
      <c r="AK466" s="476"/>
      <c r="AL466" s="476"/>
      <c r="AM466" s="476"/>
      <c r="AN466" s="476"/>
      <c r="AO466" s="476"/>
      <c r="AP466" s="476"/>
      <c r="AQ466" s="476"/>
      <c r="AR466" s="476"/>
      <c r="AS466" s="476"/>
      <c r="AT466" s="476"/>
    </row>
    <row r="467" spans="1:46" ht="12.75" customHeight="1">
      <c r="A467" s="476"/>
      <c r="B467" s="476"/>
      <c r="C467" s="476"/>
      <c r="D467" s="476"/>
      <c r="E467" s="476"/>
      <c r="F467" s="476"/>
      <c r="G467" s="476"/>
      <c r="H467" s="476"/>
      <c r="I467" s="476"/>
      <c r="J467" s="476"/>
      <c r="K467" s="476"/>
      <c r="L467" s="476"/>
      <c r="M467" s="476"/>
      <c r="N467" s="476"/>
      <c r="O467" s="476"/>
      <c r="P467" s="476"/>
      <c r="Q467" s="476"/>
      <c r="R467" s="476"/>
      <c r="S467" s="476"/>
      <c r="T467" s="476"/>
      <c r="U467" s="476"/>
      <c r="V467" s="476"/>
      <c r="W467" s="476"/>
      <c r="X467" s="476"/>
      <c r="Y467" s="476"/>
      <c r="Z467" s="476"/>
      <c r="AA467" s="476"/>
      <c r="AB467" s="476"/>
      <c r="AC467" s="476"/>
      <c r="AD467" s="476"/>
      <c r="AE467" s="476"/>
      <c r="AF467" s="476"/>
      <c r="AG467" s="476"/>
      <c r="AH467" s="476"/>
      <c r="AI467" s="476"/>
      <c r="AJ467" s="476"/>
      <c r="AK467" s="476"/>
      <c r="AL467" s="476"/>
      <c r="AM467" s="476"/>
      <c r="AN467" s="476"/>
      <c r="AO467" s="476"/>
      <c r="AP467" s="476"/>
      <c r="AQ467" s="476"/>
      <c r="AR467" s="476"/>
      <c r="AS467" s="476"/>
      <c r="AT467" s="476"/>
    </row>
    <row r="468" spans="1:46" ht="12.75" customHeight="1">
      <c r="A468" s="476"/>
      <c r="B468" s="476"/>
      <c r="C468" s="476"/>
      <c r="D468" s="476"/>
      <c r="E468" s="476"/>
      <c r="F468" s="476"/>
      <c r="G468" s="476"/>
      <c r="H468" s="476"/>
      <c r="I468" s="476"/>
      <c r="J468" s="476"/>
      <c r="K468" s="476"/>
      <c r="L468" s="476"/>
      <c r="M468" s="476"/>
      <c r="N468" s="476"/>
      <c r="O468" s="476"/>
      <c r="P468" s="476"/>
      <c r="Q468" s="476"/>
      <c r="R468" s="476"/>
      <c r="S468" s="476"/>
      <c r="T468" s="476"/>
      <c r="U468" s="476"/>
      <c r="V468" s="476"/>
      <c r="W468" s="476"/>
      <c r="X468" s="476"/>
      <c r="Y468" s="476"/>
      <c r="Z468" s="476"/>
      <c r="AA468" s="476"/>
      <c r="AB468" s="476"/>
      <c r="AC468" s="476"/>
      <c r="AD468" s="476"/>
      <c r="AE468" s="476"/>
      <c r="AF468" s="476"/>
      <c r="AG468" s="476"/>
      <c r="AH468" s="476"/>
      <c r="AI468" s="476"/>
      <c r="AJ468" s="476"/>
      <c r="AK468" s="476"/>
      <c r="AL468" s="476"/>
      <c r="AM468" s="476"/>
      <c r="AN468" s="476"/>
      <c r="AO468" s="476"/>
      <c r="AP468" s="476"/>
      <c r="AQ468" s="476"/>
      <c r="AR468" s="476"/>
      <c r="AS468" s="476"/>
      <c r="AT468" s="476"/>
    </row>
    <row r="469" spans="1:46" ht="12.75" customHeight="1">
      <c r="A469" s="476"/>
      <c r="B469" s="476"/>
      <c r="C469" s="476"/>
      <c r="D469" s="476"/>
      <c r="E469" s="476"/>
      <c r="F469" s="476"/>
      <c r="G469" s="476"/>
      <c r="H469" s="476"/>
      <c r="I469" s="476"/>
      <c r="J469" s="476"/>
      <c r="K469" s="476"/>
      <c r="L469" s="476"/>
      <c r="M469" s="476"/>
      <c r="N469" s="476"/>
      <c r="O469" s="476"/>
      <c r="P469" s="476"/>
      <c r="Q469" s="476"/>
      <c r="R469" s="476"/>
      <c r="S469" s="476"/>
      <c r="T469" s="476"/>
      <c r="U469" s="476"/>
      <c r="V469" s="476"/>
      <c r="W469" s="476"/>
      <c r="X469" s="476"/>
      <c r="Y469" s="476"/>
      <c r="Z469" s="476"/>
      <c r="AA469" s="476"/>
      <c r="AB469" s="476"/>
      <c r="AC469" s="476"/>
      <c r="AD469" s="476"/>
      <c r="AE469" s="476"/>
      <c r="AF469" s="476"/>
      <c r="AG469" s="476"/>
      <c r="AH469" s="476"/>
      <c r="AI469" s="476"/>
      <c r="AJ469" s="476"/>
      <c r="AK469" s="476"/>
      <c r="AL469" s="476"/>
      <c r="AM469" s="476"/>
      <c r="AN469" s="476"/>
      <c r="AO469" s="476"/>
      <c r="AP469" s="476"/>
      <c r="AQ469" s="476"/>
      <c r="AR469" s="476"/>
      <c r="AS469" s="476"/>
      <c r="AT469" s="476"/>
    </row>
    <row r="470" spans="1:46" ht="12.75" customHeight="1">
      <c r="A470" s="476"/>
      <c r="B470" s="476"/>
      <c r="C470" s="476"/>
      <c r="D470" s="476"/>
      <c r="E470" s="476"/>
      <c r="F470" s="476"/>
      <c r="G470" s="476"/>
      <c r="H470" s="476"/>
      <c r="I470" s="476"/>
      <c r="J470" s="476"/>
      <c r="K470" s="476"/>
      <c r="L470" s="476"/>
      <c r="M470" s="476"/>
      <c r="N470" s="476"/>
      <c r="O470" s="476"/>
      <c r="P470" s="476"/>
      <c r="Q470" s="476"/>
      <c r="R470" s="476"/>
      <c r="S470" s="476"/>
      <c r="T470" s="476"/>
      <c r="U470" s="476"/>
      <c r="V470" s="476"/>
      <c r="W470" s="476"/>
      <c r="X470" s="476"/>
      <c r="Y470" s="476"/>
      <c r="Z470" s="476"/>
      <c r="AA470" s="476"/>
      <c r="AB470" s="476"/>
      <c r="AC470" s="476"/>
      <c r="AD470" s="476"/>
      <c r="AE470" s="476"/>
      <c r="AF470" s="476"/>
      <c r="AG470" s="476"/>
      <c r="AH470" s="476"/>
      <c r="AI470" s="476"/>
      <c r="AJ470" s="476"/>
      <c r="AK470" s="476"/>
      <c r="AL470" s="476"/>
      <c r="AM470" s="476"/>
      <c r="AN470" s="476"/>
      <c r="AO470" s="476"/>
      <c r="AP470" s="476"/>
      <c r="AQ470" s="476"/>
      <c r="AR470" s="476"/>
      <c r="AS470" s="476"/>
      <c r="AT470" s="476"/>
    </row>
    <row r="471" spans="1:46" ht="12.75" customHeight="1">
      <c r="A471" s="476"/>
      <c r="B471" s="476"/>
      <c r="C471" s="476"/>
      <c r="D471" s="476"/>
      <c r="E471" s="476"/>
      <c r="F471" s="476"/>
      <c r="G471" s="476"/>
      <c r="H471" s="476"/>
      <c r="I471" s="476"/>
      <c r="J471" s="476"/>
      <c r="K471" s="476"/>
      <c r="L471" s="476"/>
      <c r="M471" s="476"/>
      <c r="N471" s="476"/>
      <c r="O471" s="476"/>
      <c r="P471" s="476"/>
      <c r="Q471" s="476"/>
      <c r="R471" s="476"/>
      <c r="S471" s="476"/>
      <c r="T471" s="476"/>
      <c r="U471" s="476"/>
      <c r="V471" s="476"/>
      <c r="W471" s="476"/>
      <c r="X471" s="476"/>
      <c r="Y471" s="476"/>
      <c r="Z471" s="476"/>
      <c r="AA471" s="476"/>
      <c r="AB471" s="476"/>
      <c r="AC471" s="476"/>
      <c r="AD471" s="476"/>
      <c r="AE471" s="476"/>
      <c r="AF471" s="476"/>
      <c r="AG471" s="476"/>
      <c r="AH471" s="476"/>
      <c r="AI471" s="476"/>
      <c r="AJ471" s="476"/>
      <c r="AK471" s="476"/>
      <c r="AL471" s="476"/>
      <c r="AM471" s="476"/>
      <c r="AN471" s="476"/>
      <c r="AO471" s="476"/>
      <c r="AP471" s="476"/>
      <c r="AQ471" s="476"/>
      <c r="AR471" s="476"/>
      <c r="AS471" s="476"/>
      <c r="AT471" s="476"/>
    </row>
    <row r="472" spans="1:46" ht="12.75" customHeight="1">
      <c r="A472" s="476"/>
      <c r="B472" s="476"/>
      <c r="C472" s="476"/>
      <c r="D472" s="476"/>
      <c r="E472" s="476"/>
      <c r="F472" s="476"/>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476"/>
      <c r="AD472" s="476"/>
      <c r="AE472" s="476"/>
      <c r="AF472" s="476"/>
      <c r="AG472" s="476"/>
      <c r="AH472" s="476"/>
      <c r="AI472" s="476"/>
      <c r="AJ472" s="476"/>
      <c r="AK472" s="476"/>
      <c r="AL472" s="476"/>
      <c r="AM472" s="476"/>
      <c r="AN472" s="476"/>
      <c r="AO472" s="476"/>
      <c r="AP472" s="476"/>
      <c r="AQ472" s="476"/>
      <c r="AR472" s="476"/>
      <c r="AS472" s="476"/>
      <c r="AT472" s="476"/>
    </row>
    <row r="473" spans="1:46" ht="12.75" customHeight="1">
      <c r="A473" s="476"/>
      <c r="B473" s="476"/>
      <c r="C473" s="476"/>
      <c r="D473" s="476"/>
      <c r="E473" s="476"/>
      <c r="F473" s="476"/>
      <c r="G473" s="476"/>
      <c r="H473" s="476"/>
      <c r="I473" s="476"/>
      <c r="J473" s="476"/>
      <c r="K473" s="476"/>
      <c r="L473" s="476"/>
      <c r="M473" s="476"/>
      <c r="N473" s="476"/>
      <c r="O473" s="476"/>
      <c r="P473" s="476"/>
      <c r="Q473" s="476"/>
      <c r="R473" s="476"/>
      <c r="S473" s="476"/>
      <c r="T473" s="476"/>
      <c r="U473" s="476"/>
      <c r="V473" s="476"/>
      <c r="W473" s="476"/>
      <c r="X473" s="476"/>
      <c r="Y473" s="476"/>
      <c r="Z473" s="476"/>
      <c r="AA473" s="476"/>
      <c r="AB473" s="476"/>
      <c r="AC473" s="476"/>
      <c r="AD473" s="476"/>
      <c r="AE473" s="476"/>
      <c r="AF473" s="476"/>
      <c r="AG473" s="476"/>
      <c r="AH473" s="476"/>
      <c r="AI473" s="476"/>
      <c r="AJ473" s="476"/>
      <c r="AK473" s="476"/>
      <c r="AL473" s="476"/>
      <c r="AM473" s="476"/>
      <c r="AN473" s="476"/>
      <c r="AO473" s="476"/>
      <c r="AP473" s="476"/>
      <c r="AQ473" s="476"/>
      <c r="AR473" s="476"/>
      <c r="AS473" s="476"/>
      <c r="AT473" s="476"/>
    </row>
    <row r="474" spans="1:46" ht="12.75" customHeight="1">
      <c r="A474" s="476"/>
      <c r="B474" s="476"/>
      <c r="C474" s="476"/>
      <c r="D474" s="476"/>
      <c r="E474" s="476"/>
      <c r="F474" s="476"/>
      <c r="G474" s="476"/>
      <c r="H474" s="476"/>
      <c r="I474" s="476"/>
      <c r="J474" s="476"/>
      <c r="K474" s="476"/>
      <c r="L474" s="476"/>
      <c r="M474" s="476"/>
      <c r="N474" s="476"/>
      <c r="O474" s="476"/>
      <c r="P474" s="476"/>
      <c r="Q474" s="476"/>
      <c r="R474" s="476"/>
      <c r="S474" s="476"/>
      <c r="T474" s="476"/>
      <c r="U474" s="476"/>
      <c r="V474" s="476"/>
      <c r="W474" s="476"/>
      <c r="X474" s="476"/>
      <c r="Y474" s="476"/>
      <c r="Z474" s="476"/>
      <c r="AA474" s="476"/>
      <c r="AB474" s="476"/>
      <c r="AC474" s="476"/>
      <c r="AD474" s="476"/>
      <c r="AE474" s="476"/>
      <c r="AF474" s="476"/>
      <c r="AG474" s="476"/>
      <c r="AH474" s="476"/>
      <c r="AI474" s="476"/>
      <c r="AJ474" s="476"/>
      <c r="AK474" s="476"/>
      <c r="AL474" s="476"/>
      <c r="AM474" s="476"/>
      <c r="AN474" s="476"/>
      <c r="AO474" s="476"/>
      <c r="AP474" s="476"/>
      <c r="AQ474" s="476"/>
      <c r="AR474" s="476"/>
      <c r="AS474" s="476"/>
      <c r="AT474" s="476"/>
    </row>
    <row r="475" spans="1:46" ht="12.75" customHeight="1">
      <c r="A475" s="476"/>
      <c r="B475" s="476"/>
      <c r="C475" s="476"/>
      <c r="D475" s="476"/>
      <c r="E475" s="476"/>
      <c r="F475" s="476"/>
      <c r="G475" s="476"/>
      <c r="H475" s="476"/>
      <c r="I475" s="476"/>
      <c r="J475" s="476"/>
      <c r="K475" s="476"/>
      <c r="L475" s="476"/>
      <c r="M475" s="476"/>
      <c r="N475" s="476"/>
      <c r="O475" s="476"/>
      <c r="P475" s="476"/>
      <c r="Q475" s="476"/>
      <c r="R475" s="476"/>
      <c r="S475" s="476"/>
      <c r="T475" s="476"/>
      <c r="U475" s="476"/>
      <c r="V475" s="476"/>
      <c r="W475" s="476"/>
      <c r="X475" s="476"/>
      <c r="Y475" s="476"/>
      <c r="Z475" s="476"/>
      <c r="AA475" s="476"/>
      <c r="AB475" s="476"/>
      <c r="AC475" s="476"/>
      <c r="AD475" s="476"/>
      <c r="AE475" s="476"/>
      <c r="AF475" s="476"/>
      <c r="AG475" s="476"/>
      <c r="AH475" s="476"/>
      <c r="AI475" s="476"/>
      <c r="AJ475" s="476"/>
      <c r="AK475" s="476"/>
      <c r="AL475" s="476"/>
      <c r="AM475" s="476"/>
      <c r="AN475" s="476"/>
      <c r="AO475" s="476"/>
      <c r="AP475" s="476"/>
      <c r="AQ475" s="476"/>
      <c r="AR475" s="476"/>
      <c r="AS475" s="476"/>
      <c r="AT475" s="476"/>
    </row>
    <row r="476" spans="1:46" ht="12.75" customHeight="1">
      <c r="A476" s="476"/>
      <c r="B476" s="476"/>
      <c r="C476" s="476"/>
      <c r="D476" s="476"/>
      <c r="E476" s="476"/>
      <c r="F476" s="476"/>
      <c r="G476" s="476"/>
      <c r="H476" s="476"/>
      <c r="I476" s="476"/>
      <c r="J476" s="476"/>
      <c r="K476" s="476"/>
      <c r="L476" s="476"/>
      <c r="M476" s="476"/>
      <c r="N476" s="476"/>
      <c r="O476" s="476"/>
      <c r="P476" s="476"/>
      <c r="Q476" s="476"/>
      <c r="R476" s="476"/>
      <c r="S476" s="476"/>
      <c r="T476" s="476"/>
      <c r="U476" s="476"/>
      <c r="V476" s="476"/>
      <c r="W476" s="476"/>
      <c r="X476" s="476"/>
      <c r="Y476" s="476"/>
      <c r="Z476" s="476"/>
      <c r="AA476" s="476"/>
      <c r="AB476" s="476"/>
      <c r="AC476" s="476"/>
      <c r="AD476" s="476"/>
      <c r="AE476" s="476"/>
      <c r="AF476" s="476"/>
      <c r="AG476" s="476"/>
      <c r="AH476" s="476"/>
      <c r="AI476" s="476"/>
      <c r="AJ476" s="476"/>
      <c r="AK476" s="476"/>
      <c r="AL476" s="476"/>
      <c r="AM476" s="476"/>
      <c r="AN476" s="476"/>
      <c r="AO476" s="476"/>
      <c r="AP476" s="476"/>
      <c r="AQ476" s="476"/>
      <c r="AR476" s="476"/>
      <c r="AS476" s="476"/>
      <c r="AT476" s="476"/>
    </row>
    <row r="477" spans="1:46" ht="12.75" customHeight="1">
      <c r="A477" s="476"/>
      <c r="B477" s="476"/>
      <c r="C477" s="476"/>
      <c r="D477" s="476"/>
      <c r="E477" s="476"/>
      <c r="F477" s="476"/>
      <c r="G477" s="476"/>
      <c r="H477" s="476"/>
      <c r="I477" s="476"/>
      <c r="J477" s="476"/>
      <c r="K477" s="476"/>
      <c r="L477" s="476"/>
      <c r="M477" s="476"/>
      <c r="N477" s="476"/>
      <c r="O477" s="476"/>
      <c r="P477" s="476"/>
      <c r="Q477" s="476"/>
      <c r="R477" s="476"/>
      <c r="S477" s="476"/>
      <c r="T477" s="476"/>
      <c r="U477" s="476"/>
      <c r="V477" s="476"/>
      <c r="W477" s="476"/>
      <c r="X477" s="476"/>
      <c r="Y477" s="476"/>
      <c r="Z477" s="476"/>
      <c r="AA477" s="476"/>
      <c r="AB477" s="476"/>
      <c r="AC477" s="476"/>
      <c r="AD477" s="476"/>
      <c r="AE477" s="476"/>
      <c r="AF477" s="476"/>
      <c r="AG477" s="476"/>
      <c r="AH477" s="476"/>
      <c r="AI477" s="476"/>
      <c r="AJ477" s="476"/>
      <c r="AK477" s="476"/>
      <c r="AL477" s="476"/>
      <c r="AM477" s="476"/>
      <c r="AN477" s="476"/>
      <c r="AO477" s="476"/>
      <c r="AP477" s="476"/>
      <c r="AQ477" s="476"/>
      <c r="AR477" s="476"/>
      <c r="AS477" s="476"/>
      <c r="AT477" s="476"/>
    </row>
    <row r="478" spans="1:46" ht="12.75" customHeight="1">
      <c r="A478" s="476"/>
      <c r="B478" s="476"/>
      <c r="C478" s="476"/>
      <c r="D478" s="476"/>
      <c r="E478" s="476"/>
      <c r="F478" s="476"/>
      <c r="G478" s="476"/>
      <c r="H478" s="476"/>
      <c r="I478" s="476"/>
      <c r="J478" s="476"/>
      <c r="K478" s="476"/>
      <c r="L478" s="476"/>
      <c r="M478" s="476"/>
      <c r="N478" s="476"/>
      <c r="O478" s="476"/>
      <c r="P478" s="476"/>
      <c r="Q478" s="476"/>
      <c r="R478" s="476"/>
      <c r="S478" s="476"/>
      <c r="T478" s="476"/>
      <c r="U478" s="476"/>
      <c r="V478" s="476"/>
      <c r="W478" s="476"/>
      <c r="X478" s="476"/>
      <c r="Y478" s="476"/>
      <c r="Z478" s="476"/>
      <c r="AA478" s="476"/>
      <c r="AB478" s="476"/>
      <c r="AC478" s="476"/>
      <c r="AD478" s="476"/>
      <c r="AE478" s="476"/>
      <c r="AF478" s="476"/>
      <c r="AG478" s="476"/>
      <c r="AH478" s="476"/>
      <c r="AI478" s="476"/>
      <c r="AJ478" s="476"/>
      <c r="AK478" s="476"/>
      <c r="AL478" s="476"/>
      <c r="AM478" s="476"/>
      <c r="AN478" s="476"/>
      <c r="AO478" s="476"/>
      <c r="AP478" s="476"/>
      <c r="AQ478" s="476"/>
      <c r="AR478" s="476"/>
      <c r="AS478" s="476"/>
      <c r="AT478" s="476"/>
    </row>
    <row r="479" spans="1:46" ht="12.75" customHeight="1">
      <c r="A479" s="476"/>
      <c r="B479" s="476"/>
      <c r="C479" s="476"/>
      <c r="D479" s="476"/>
      <c r="E479" s="476"/>
      <c r="F479" s="476"/>
      <c r="G479" s="476"/>
      <c r="H479" s="476"/>
      <c r="I479" s="476"/>
      <c r="J479" s="476"/>
      <c r="K479" s="476"/>
      <c r="L479" s="476"/>
      <c r="M479" s="476"/>
      <c r="N479" s="476"/>
      <c r="O479" s="476"/>
      <c r="P479" s="476"/>
      <c r="Q479" s="476"/>
      <c r="R479" s="476"/>
      <c r="S479" s="476"/>
      <c r="T479" s="476"/>
      <c r="U479" s="476"/>
      <c r="V479" s="476"/>
      <c r="W479" s="476"/>
      <c r="X479" s="476"/>
      <c r="Y479" s="476"/>
      <c r="Z479" s="476"/>
      <c r="AA479" s="476"/>
      <c r="AB479" s="476"/>
      <c r="AC479" s="476"/>
      <c r="AD479" s="476"/>
      <c r="AE479" s="476"/>
      <c r="AF479" s="476"/>
      <c r="AG479" s="476"/>
      <c r="AH479" s="476"/>
      <c r="AI479" s="476"/>
      <c r="AJ479" s="476"/>
      <c r="AK479" s="476"/>
      <c r="AL479" s="476"/>
      <c r="AM479" s="476"/>
      <c r="AN479" s="476"/>
      <c r="AO479" s="476"/>
      <c r="AP479" s="476"/>
      <c r="AQ479" s="476"/>
      <c r="AR479" s="476"/>
      <c r="AS479" s="476"/>
      <c r="AT479" s="476"/>
    </row>
    <row r="480" spans="1:46" ht="12.75" customHeight="1">
      <c r="A480" s="476"/>
      <c r="B480" s="476"/>
      <c r="C480" s="476"/>
      <c r="D480" s="476"/>
      <c r="E480" s="476"/>
      <c r="F480" s="476"/>
      <c r="G480" s="476"/>
      <c r="H480" s="476"/>
      <c r="I480" s="476"/>
      <c r="J480" s="476"/>
      <c r="K480" s="476"/>
      <c r="L480" s="476"/>
      <c r="M480" s="476"/>
      <c r="N480" s="476"/>
      <c r="O480" s="476"/>
      <c r="P480" s="476"/>
      <c r="Q480" s="476"/>
      <c r="R480" s="476"/>
      <c r="S480" s="476"/>
      <c r="T480" s="476"/>
      <c r="U480" s="476"/>
      <c r="V480" s="476"/>
      <c r="W480" s="476"/>
      <c r="X480" s="476"/>
      <c r="Y480" s="476"/>
      <c r="Z480" s="476"/>
      <c r="AA480" s="476"/>
      <c r="AB480" s="476"/>
      <c r="AC480" s="476"/>
      <c r="AD480" s="476"/>
      <c r="AE480" s="476"/>
      <c r="AF480" s="476"/>
      <c r="AG480" s="476"/>
      <c r="AH480" s="476"/>
      <c r="AI480" s="476"/>
      <c r="AJ480" s="476"/>
      <c r="AK480" s="476"/>
      <c r="AL480" s="476"/>
      <c r="AM480" s="476"/>
      <c r="AN480" s="476"/>
      <c r="AO480" s="476"/>
      <c r="AP480" s="476"/>
      <c r="AQ480" s="476"/>
      <c r="AR480" s="476"/>
      <c r="AS480" s="476"/>
      <c r="AT480" s="476"/>
    </row>
    <row r="481" spans="1:46" ht="12.75" customHeight="1">
      <c r="A481" s="476"/>
      <c r="B481" s="476"/>
      <c r="C481" s="476"/>
      <c r="D481" s="476"/>
      <c r="E481" s="476"/>
      <c r="F481" s="476"/>
      <c r="G481" s="476"/>
      <c r="H481" s="476"/>
      <c r="I481" s="476"/>
      <c r="J481" s="476"/>
      <c r="K481" s="476"/>
      <c r="L481" s="476"/>
      <c r="M481" s="476"/>
      <c r="N481" s="476"/>
      <c r="O481" s="476"/>
      <c r="P481" s="476"/>
      <c r="Q481" s="476"/>
      <c r="R481" s="476"/>
      <c r="S481" s="476"/>
      <c r="T481" s="476"/>
      <c r="U481" s="476"/>
      <c r="V481" s="476"/>
      <c r="W481" s="476"/>
      <c r="X481" s="476"/>
      <c r="Y481" s="476"/>
      <c r="Z481" s="476"/>
      <c r="AA481" s="476"/>
      <c r="AB481" s="476"/>
      <c r="AC481" s="476"/>
      <c r="AD481" s="476"/>
      <c r="AE481" s="476"/>
      <c r="AF481" s="476"/>
      <c r="AG481" s="476"/>
      <c r="AH481" s="476"/>
      <c r="AI481" s="476"/>
      <c r="AJ481" s="476"/>
      <c r="AK481" s="476"/>
      <c r="AL481" s="476"/>
      <c r="AM481" s="476"/>
      <c r="AN481" s="476"/>
      <c r="AO481" s="476"/>
      <c r="AP481" s="476"/>
      <c r="AQ481" s="476"/>
      <c r="AR481" s="476"/>
      <c r="AS481" s="476"/>
      <c r="AT481" s="476"/>
    </row>
    <row r="482" spans="1:46" ht="12.75" customHeight="1">
      <c r="A482" s="476"/>
      <c r="B482" s="476"/>
      <c r="C482" s="476"/>
      <c r="D482" s="476"/>
      <c r="E482" s="476"/>
      <c r="F482" s="476"/>
      <c r="G482" s="476"/>
      <c r="H482" s="476"/>
      <c r="I482" s="476"/>
      <c r="J482" s="476"/>
      <c r="K482" s="476"/>
      <c r="L482" s="476"/>
      <c r="M482" s="476"/>
      <c r="N482" s="476"/>
      <c r="O482" s="476"/>
      <c r="P482" s="476"/>
      <c r="Q482" s="476"/>
      <c r="R482" s="476"/>
      <c r="S482" s="476"/>
      <c r="T482" s="476"/>
      <c r="U482" s="476"/>
      <c r="V482" s="476"/>
      <c r="W482" s="476"/>
      <c r="X482" s="476"/>
      <c r="Y482" s="476"/>
      <c r="Z482" s="476"/>
      <c r="AA482" s="476"/>
      <c r="AB482" s="476"/>
      <c r="AC482" s="476"/>
      <c r="AD482" s="476"/>
      <c r="AE482" s="476"/>
      <c r="AF482" s="476"/>
      <c r="AG482" s="476"/>
      <c r="AH482" s="476"/>
      <c r="AI482" s="476"/>
      <c r="AJ482" s="476"/>
      <c r="AK482" s="476"/>
      <c r="AL482" s="476"/>
      <c r="AM482" s="476"/>
      <c r="AN482" s="476"/>
      <c r="AO482" s="476"/>
      <c r="AP482" s="476"/>
      <c r="AQ482" s="476"/>
      <c r="AR482" s="476"/>
      <c r="AS482" s="476"/>
      <c r="AT482" s="476"/>
    </row>
    <row r="483" spans="1:46" ht="12.75" customHeight="1">
      <c r="A483" s="476"/>
      <c r="B483" s="476"/>
      <c r="C483" s="476"/>
      <c r="D483" s="476"/>
      <c r="E483" s="476"/>
      <c r="F483" s="476"/>
      <c r="G483" s="476"/>
      <c r="H483" s="476"/>
      <c r="I483" s="476"/>
      <c r="J483" s="476"/>
      <c r="K483" s="476"/>
      <c r="L483" s="476"/>
      <c r="M483" s="476"/>
      <c r="N483" s="476"/>
      <c r="O483" s="476"/>
      <c r="P483" s="476"/>
      <c r="Q483" s="476"/>
      <c r="R483" s="476"/>
      <c r="S483" s="476"/>
      <c r="T483" s="476"/>
      <c r="U483" s="476"/>
      <c r="V483" s="476"/>
      <c r="W483" s="476"/>
      <c r="X483" s="476"/>
      <c r="Y483" s="476"/>
      <c r="Z483" s="476"/>
      <c r="AA483" s="476"/>
      <c r="AB483" s="476"/>
      <c r="AC483" s="476"/>
      <c r="AD483" s="476"/>
      <c r="AE483" s="476"/>
      <c r="AF483" s="476"/>
      <c r="AG483" s="476"/>
      <c r="AH483" s="476"/>
      <c r="AI483" s="476"/>
      <c r="AJ483" s="476"/>
      <c r="AK483" s="476"/>
      <c r="AL483" s="476"/>
      <c r="AM483" s="476"/>
      <c r="AN483" s="476"/>
      <c r="AO483" s="476"/>
      <c r="AP483" s="476"/>
      <c r="AQ483" s="476"/>
      <c r="AR483" s="476"/>
      <c r="AS483" s="476"/>
      <c r="AT483" s="476"/>
    </row>
    <row r="484" spans="1:46" ht="12.75" customHeight="1">
      <c r="A484" s="476"/>
      <c r="B484" s="476"/>
      <c r="C484" s="476"/>
      <c r="D484" s="476"/>
      <c r="E484" s="476"/>
      <c r="F484" s="476"/>
      <c r="G484" s="476"/>
      <c r="H484" s="476"/>
      <c r="I484" s="476"/>
      <c r="J484" s="476"/>
      <c r="K484" s="476"/>
      <c r="L484" s="476"/>
      <c r="M484" s="476"/>
      <c r="N484" s="476"/>
      <c r="O484" s="476"/>
      <c r="P484" s="476"/>
      <c r="Q484" s="476"/>
      <c r="R484" s="476"/>
      <c r="S484" s="476"/>
      <c r="T484" s="476"/>
      <c r="U484" s="476"/>
      <c r="V484" s="476"/>
      <c r="W484" s="476"/>
      <c r="X484" s="476"/>
      <c r="Y484" s="476"/>
      <c r="Z484" s="476"/>
      <c r="AA484" s="476"/>
      <c r="AB484" s="476"/>
      <c r="AC484" s="476"/>
      <c r="AD484" s="476"/>
      <c r="AE484" s="476"/>
      <c r="AF484" s="476"/>
      <c r="AG484" s="476"/>
      <c r="AH484" s="476"/>
      <c r="AI484" s="476"/>
      <c r="AJ484" s="476"/>
      <c r="AK484" s="476"/>
      <c r="AL484" s="476"/>
      <c r="AM484" s="476"/>
      <c r="AN484" s="476"/>
      <c r="AO484" s="476"/>
      <c r="AP484" s="476"/>
      <c r="AQ484" s="476"/>
      <c r="AR484" s="476"/>
      <c r="AS484" s="476"/>
      <c r="AT484" s="476"/>
    </row>
    <row r="485" spans="1:46" ht="12.75" customHeight="1">
      <c r="A485" s="476"/>
      <c r="B485" s="476"/>
      <c r="C485" s="476"/>
      <c r="D485" s="476"/>
      <c r="E485" s="476"/>
      <c r="F485" s="476"/>
      <c r="G485" s="476"/>
      <c r="H485" s="476"/>
      <c r="I485" s="476"/>
      <c r="J485" s="476"/>
      <c r="K485" s="476"/>
      <c r="L485" s="476"/>
      <c r="M485" s="476"/>
      <c r="N485" s="476"/>
      <c r="O485" s="476"/>
      <c r="P485" s="476"/>
      <c r="Q485" s="476"/>
      <c r="R485" s="476"/>
      <c r="S485" s="476"/>
      <c r="T485" s="476"/>
      <c r="U485" s="476"/>
      <c r="V485" s="476"/>
      <c r="W485" s="476"/>
      <c r="X485" s="476"/>
      <c r="Y485" s="476"/>
      <c r="Z485" s="476"/>
      <c r="AA485" s="476"/>
      <c r="AB485" s="476"/>
      <c r="AC485" s="476"/>
      <c r="AD485" s="476"/>
      <c r="AE485" s="476"/>
      <c r="AF485" s="476"/>
      <c r="AG485" s="476"/>
      <c r="AH485" s="476"/>
      <c r="AI485" s="476"/>
      <c r="AJ485" s="476"/>
      <c r="AK485" s="476"/>
      <c r="AL485" s="476"/>
      <c r="AM485" s="476"/>
      <c r="AN485" s="476"/>
      <c r="AO485" s="476"/>
      <c r="AP485" s="476"/>
      <c r="AQ485" s="476"/>
      <c r="AR485" s="476"/>
      <c r="AS485" s="476"/>
      <c r="AT485" s="476"/>
    </row>
    <row r="486" spans="1:46" ht="12.75" customHeight="1">
      <c r="A486" s="476"/>
      <c r="B486" s="476"/>
      <c r="C486" s="476"/>
      <c r="D486" s="476"/>
      <c r="E486" s="476"/>
      <c r="F486" s="476"/>
      <c r="G486" s="476"/>
      <c r="H486" s="476"/>
      <c r="I486" s="476"/>
      <c r="J486" s="476"/>
      <c r="K486" s="476"/>
      <c r="L486" s="476"/>
      <c r="M486" s="476"/>
      <c r="N486" s="476"/>
      <c r="O486" s="476"/>
      <c r="P486" s="476"/>
      <c r="Q486" s="476"/>
      <c r="R486" s="476"/>
      <c r="S486" s="476"/>
      <c r="T486" s="476"/>
      <c r="U486" s="476"/>
      <c r="V486" s="476"/>
      <c r="W486" s="476"/>
      <c r="X486" s="476"/>
      <c r="Y486" s="476"/>
      <c r="Z486" s="476"/>
      <c r="AA486" s="476"/>
      <c r="AB486" s="476"/>
      <c r="AC486" s="476"/>
      <c r="AD486" s="476"/>
      <c r="AE486" s="476"/>
      <c r="AF486" s="476"/>
      <c r="AG486" s="476"/>
      <c r="AH486" s="476"/>
      <c r="AI486" s="476"/>
      <c r="AJ486" s="476"/>
      <c r="AK486" s="476"/>
      <c r="AL486" s="476"/>
      <c r="AM486" s="476"/>
      <c r="AN486" s="476"/>
      <c r="AO486" s="476"/>
      <c r="AP486" s="476"/>
      <c r="AQ486" s="476"/>
      <c r="AR486" s="476"/>
      <c r="AS486" s="476"/>
      <c r="AT486" s="476"/>
    </row>
    <row r="487" spans="1:46" ht="12.75" customHeight="1">
      <c r="A487" s="476"/>
      <c r="B487" s="476"/>
      <c r="C487" s="476"/>
      <c r="D487" s="476"/>
      <c r="E487" s="476"/>
      <c r="F487" s="476"/>
      <c r="G487" s="476"/>
      <c r="H487" s="476"/>
      <c r="I487" s="476"/>
      <c r="J487" s="476"/>
      <c r="K487" s="476"/>
      <c r="L487" s="476"/>
      <c r="M487" s="476"/>
      <c r="N487" s="476"/>
      <c r="O487" s="476"/>
      <c r="P487" s="476"/>
      <c r="Q487" s="476"/>
      <c r="R487" s="476"/>
      <c r="S487" s="476"/>
      <c r="T487" s="476"/>
      <c r="U487" s="476"/>
      <c r="V487" s="476"/>
      <c r="W487" s="476"/>
      <c r="X487" s="476"/>
      <c r="Y487" s="476"/>
      <c r="Z487" s="476"/>
      <c r="AA487" s="476"/>
      <c r="AB487" s="476"/>
      <c r="AC487" s="476"/>
      <c r="AD487" s="476"/>
      <c r="AE487" s="476"/>
      <c r="AF487" s="476"/>
      <c r="AG487" s="476"/>
      <c r="AH487" s="476"/>
      <c r="AI487" s="476"/>
      <c r="AJ487" s="476"/>
      <c r="AK487" s="476"/>
      <c r="AL487" s="476"/>
      <c r="AM487" s="476"/>
      <c r="AN487" s="476"/>
      <c r="AO487" s="476"/>
      <c r="AP487" s="476"/>
      <c r="AQ487" s="476"/>
      <c r="AR487" s="476"/>
      <c r="AS487" s="476"/>
      <c r="AT487" s="476"/>
    </row>
    <row r="488" spans="1:46" ht="12.75" customHeight="1">
      <c r="A488" s="476"/>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6"/>
      <c r="AT488" s="476"/>
    </row>
    <row r="489" spans="1:46" ht="12.75" customHeight="1">
      <c r="A489" s="476"/>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6"/>
      <c r="AT489" s="476"/>
    </row>
    <row r="490" spans="1:46" ht="12.75" customHeight="1">
      <c r="A490" s="476"/>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6"/>
      <c r="AT490" s="476"/>
    </row>
    <row r="491" spans="1:46" ht="12.75" customHeight="1">
      <c r="A491" s="476"/>
      <c r="B491" s="476"/>
      <c r="C491" s="476"/>
      <c r="D491" s="476"/>
      <c r="E491" s="476"/>
      <c r="F491" s="476"/>
      <c r="G491" s="476"/>
      <c r="H491" s="476"/>
      <c r="I491" s="476"/>
      <c r="J491" s="476"/>
      <c r="K491" s="476"/>
      <c r="L491" s="476"/>
      <c r="M491" s="476"/>
      <c r="N491" s="476"/>
      <c r="O491" s="476"/>
      <c r="P491" s="476"/>
      <c r="Q491" s="476"/>
      <c r="R491" s="476"/>
      <c r="S491" s="476"/>
      <c r="T491" s="476"/>
      <c r="U491" s="476"/>
      <c r="V491" s="476"/>
      <c r="W491" s="476"/>
      <c r="X491" s="476"/>
      <c r="Y491" s="476"/>
      <c r="Z491" s="476"/>
      <c r="AA491" s="476"/>
      <c r="AB491" s="476"/>
      <c r="AC491" s="476"/>
      <c r="AD491" s="476"/>
      <c r="AE491" s="476"/>
      <c r="AF491" s="476"/>
      <c r="AG491" s="476"/>
      <c r="AH491" s="476"/>
      <c r="AI491" s="476"/>
      <c r="AJ491" s="476"/>
      <c r="AK491" s="476"/>
      <c r="AL491" s="476"/>
      <c r="AM491" s="476"/>
      <c r="AN491" s="476"/>
      <c r="AO491" s="476"/>
      <c r="AP491" s="476"/>
      <c r="AQ491" s="476"/>
      <c r="AR491" s="476"/>
      <c r="AS491" s="476"/>
      <c r="AT491" s="476"/>
    </row>
    <row r="492" spans="1:46" ht="12.75" customHeight="1">
      <c r="A492" s="476"/>
      <c r="B492" s="476"/>
      <c r="C492" s="476"/>
      <c r="D492" s="476"/>
      <c r="E492" s="476"/>
      <c r="F492" s="476"/>
      <c r="G492" s="476"/>
      <c r="H492" s="476"/>
      <c r="I492" s="476"/>
      <c r="J492" s="476"/>
      <c r="K492" s="476"/>
      <c r="L492" s="476"/>
      <c r="M492" s="476"/>
      <c r="N492" s="476"/>
      <c r="O492" s="476"/>
      <c r="P492" s="476"/>
      <c r="Q492" s="476"/>
      <c r="R492" s="476"/>
      <c r="S492" s="476"/>
      <c r="T492" s="476"/>
      <c r="U492" s="476"/>
      <c r="V492" s="476"/>
      <c r="W492" s="476"/>
      <c r="X492" s="476"/>
      <c r="Y492" s="476"/>
      <c r="Z492" s="476"/>
      <c r="AA492" s="476"/>
      <c r="AB492" s="476"/>
      <c r="AC492" s="476"/>
      <c r="AD492" s="476"/>
      <c r="AE492" s="476"/>
      <c r="AF492" s="476"/>
      <c r="AG492" s="476"/>
      <c r="AH492" s="476"/>
      <c r="AI492" s="476"/>
      <c r="AJ492" s="476"/>
      <c r="AK492" s="476"/>
      <c r="AL492" s="476"/>
      <c r="AM492" s="476"/>
      <c r="AN492" s="476"/>
      <c r="AO492" s="476"/>
      <c r="AP492" s="476"/>
      <c r="AQ492" s="476"/>
      <c r="AR492" s="476"/>
      <c r="AS492" s="476"/>
      <c r="AT492" s="476"/>
    </row>
    <row r="493" spans="1:46" ht="12.75" customHeight="1">
      <c r="A493" s="476"/>
      <c r="B493" s="476"/>
      <c r="C493" s="476"/>
      <c r="D493" s="476"/>
      <c r="E493" s="476"/>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6"/>
      <c r="AE493" s="476"/>
      <c r="AF493" s="476"/>
      <c r="AG493" s="476"/>
      <c r="AH493" s="476"/>
      <c r="AI493" s="476"/>
      <c r="AJ493" s="476"/>
      <c r="AK493" s="476"/>
      <c r="AL493" s="476"/>
      <c r="AM493" s="476"/>
      <c r="AN493" s="476"/>
      <c r="AO493" s="476"/>
      <c r="AP493" s="476"/>
      <c r="AQ493" s="476"/>
      <c r="AR493" s="476"/>
      <c r="AS493" s="476"/>
      <c r="AT493" s="476"/>
    </row>
    <row r="494" spans="1:46" ht="12.75" customHeight="1">
      <c r="A494" s="476"/>
      <c r="B494" s="476"/>
      <c r="C494" s="476"/>
      <c r="D494" s="476"/>
      <c r="E494" s="476"/>
      <c r="F494" s="476"/>
      <c r="G494" s="476"/>
      <c r="H494" s="476"/>
      <c r="I494" s="476"/>
      <c r="J494" s="476"/>
      <c r="K494" s="476"/>
      <c r="L494" s="476"/>
      <c r="M494" s="476"/>
      <c r="N494" s="476"/>
      <c r="O494" s="476"/>
      <c r="P494" s="476"/>
      <c r="Q494" s="476"/>
      <c r="R494" s="476"/>
      <c r="S494" s="476"/>
      <c r="T494" s="476"/>
      <c r="U494" s="476"/>
      <c r="V494" s="476"/>
      <c r="W494" s="476"/>
      <c r="X494" s="476"/>
      <c r="Y494" s="476"/>
      <c r="Z494" s="476"/>
      <c r="AA494" s="476"/>
      <c r="AB494" s="476"/>
      <c r="AC494" s="476"/>
      <c r="AD494" s="476"/>
      <c r="AE494" s="476"/>
      <c r="AF494" s="476"/>
      <c r="AG494" s="476"/>
      <c r="AH494" s="476"/>
      <c r="AI494" s="476"/>
      <c r="AJ494" s="476"/>
      <c r="AK494" s="476"/>
      <c r="AL494" s="476"/>
      <c r="AM494" s="476"/>
      <c r="AN494" s="476"/>
      <c r="AO494" s="476"/>
      <c r="AP494" s="476"/>
      <c r="AQ494" s="476"/>
      <c r="AR494" s="476"/>
      <c r="AS494" s="476"/>
      <c r="AT494" s="476"/>
    </row>
    <row r="495" spans="1:46" ht="12.75" customHeight="1">
      <c r="A495" s="476"/>
      <c r="B495" s="476"/>
      <c r="C495" s="476"/>
      <c r="D495" s="476"/>
      <c r="E495" s="476"/>
      <c r="F495" s="476"/>
      <c r="G495" s="476"/>
      <c r="H495" s="476"/>
      <c r="I495" s="476"/>
      <c r="J495" s="476"/>
      <c r="K495" s="476"/>
      <c r="L495" s="476"/>
      <c r="M495" s="476"/>
      <c r="N495" s="476"/>
      <c r="O495" s="476"/>
      <c r="P495" s="476"/>
      <c r="Q495" s="476"/>
      <c r="R495" s="476"/>
      <c r="S495" s="476"/>
      <c r="T495" s="476"/>
      <c r="U495" s="476"/>
      <c r="V495" s="476"/>
      <c r="W495" s="476"/>
      <c r="X495" s="476"/>
      <c r="Y495" s="476"/>
      <c r="Z495" s="476"/>
      <c r="AA495" s="476"/>
      <c r="AB495" s="476"/>
      <c r="AC495" s="476"/>
      <c r="AD495" s="476"/>
      <c r="AE495" s="476"/>
      <c r="AF495" s="476"/>
      <c r="AG495" s="476"/>
      <c r="AH495" s="476"/>
      <c r="AI495" s="476"/>
      <c r="AJ495" s="476"/>
      <c r="AK495" s="476"/>
      <c r="AL495" s="476"/>
      <c r="AM495" s="476"/>
      <c r="AN495" s="476"/>
      <c r="AO495" s="476"/>
      <c r="AP495" s="476"/>
      <c r="AQ495" s="476"/>
      <c r="AR495" s="476"/>
      <c r="AS495" s="476"/>
      <c r="AT495" s="476"/>
    </row>
    <row r="496" spans="1:46" ht="12.75" customHeight="1">
      <c r="A496" s="476"/>
      <c r="B496" s="476"/>
      <c r="C496" s="476"/>
      <c r="D496" s="476"/>
      <c r="E496" s="476"/>
      <c r="F496" s="476"/>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476"/>
      <c r="AD496" s="476"/>
      <c r="AE496" s="476"/>
      <c r="AF496" s="476"/>
      <c r="AG496" s="476"/>
      <c r="AH496" s="476"/>
      <c r="AI496" s="476"/>
      <c r="AJ496" s="476"/>
      <c r="AK496" s="476"/>
      <c r="AL496" s="476"/>
      <c r="AM496" s="476"/>
      <c r="AN496" s="476"/>
      <c r="AO496" s="476"/>
      <c r="AP496" s="476"/>
      <c r="AQ496" s="476"/>
      <c r="AR496" s="476"/>
      <c r="AS496" s="476"/>
      <c r="AT496" s="476"/>
    </row>
    <row r="497" spans="1:46" ht="12.75" customHeight="1">
      <c r="A497" s="476"/>
      <c r="B497" s="476"/>
      <c r="C497" s="476"/>
      <c r="D497" s="476"/>
      <c r="E497" s="476"/>
      <c r="F497" s="476"/>
      <c r="G497" s="476"/>
      <c r="H497" s="476"/>
      <c r="I497" s="476"/>
      <c r="J497" s="476"/>
      <c r="K497" s="476"/>
      <c r="L497" s="476"/>
      <c r="M497" s="476"/>
      <c r="N497" s="476"/>
      <c r="O497" s="476"/>
      <c r="P497" s="476"/>
      <c r="Q497" s="476"/>
      <c r="R497" s="476"/>
      <c r="S497" s="476"/>
      <c r="T497" s="476"/>
      <c r="U497" s="476"/>
      <c r="V497" s="476"/>
      <c r="W497" s="476"/>
      <c r="X497" s="476"/>
      <c r="Y497" s="476"/>
      <c r="Z497" s="476"/>
      <c r="AA497" s="476"/>
      <c r="AB497" s="476"/>
      <c r="AC497" s="476"/>
      <c r="AD497" s="476"/>
      <c r="AE497" s="476"/>
      <c r="AF497" s="476"/>
      <c r="AG497" s="476"/>
      <c r="AH497" s="476"/>
      <c r="AI497" s="476"/>
      <c r="AJ497" s="476"/>
      <c r="AK497" s="476"/>
      <c r="AL497" s="476"/>
      <c r="AM497" s="476"/>
      <c r="AN497" s="476"/>
      <c r="AO497" s="476"/>
      <c r="AP497" s="476"/>
      <c r="AQ497" s="476"/>
      <c r="AR497" s="476"/>
      <c r="AS497" s="476"/>
      <c r="AT497" s="476"/>
    </row>
    <row r="498" spans="1:46" ht="12.75" customHeight="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6"/>
      <c r="AF498" s="476"/>
      <c r="AG498" s="476"/>
      <c r="AH498" s="476"/>
      <c r="AI498" s="476"/>
      <c r="AJ498" s="476"/>
      <c r="AK498" s="476"/>
      <c r="AL498" s="476"/>
      <c r="AM498" s="476"/>
      <c r="AN498" s="476"/>
      <c r="AO498" s="476"/>
      <c r="AP498" s="476"/>
      <c r="AQ498" s="476"/>
      <c r="AR498" s="476"/>
      <c r="AS498" s="476"/>
      <c r="AT498" s="476"/>
    </row>
    <row r="499" spans="1:46" ht="12.75" customHeight="1">
      <c r="A499" s="476"/>
      <c r="B499" s="476"/>
      <c r="C499" s="476"/>
      <c r="D499" s="476"/>
      <c r="E499" s="476"/>
      <c r="F499" s="476"/>
      <c r="G499" s="476"/>
      <c r="H499" s="476"/>
      <c r="I499" s="476"/>
      <c r="J499" s="476"/>
      <c r="K499" s="476"/>
      <c r="L499" s="476"/>
      <c r="M499" s="476"/>
      <c r="N499" s="476"/>
      <c r="O499" s="476"/>
      <c r="P499" s="476"/>
      <c r="Q499" s="476"/>
      <c r="R499" s="476"/>
      <c r="S499" s="476"/>
      <c r="T499" s="476"/>
      <c r="U499" s="476"/>
      <c r="V499" s="476"/>
      <c r="W499" s="476"/>
      <c r="X499" s="476"/>
      <c r="Y499" s="476"/>
      <c r="Z499" s="476"/>
      <c r="AA499" s="476"/>
      <c r="AB499" s="476"/>
      <c r="AC499" s="476"/>
      <c r="AD499" s="476"/>
      <c r="AE499" s="476"/>
      <c r="AF499" s="476"/>
      <c r="AG499" s="476"/>
      <c r="AH499" s="476"/>
      <c r="AI499" s="476"/>
      <c r="AJ499" s="476"/>
      <c r="AK499" s="476"/>
      <c r="AL499" s="476"/>
      <c r="AM499" s="476"/>
      <c r="AN499" s="476"/>
      <c r="AO499" s="476"/>
      <c r="AP499" s="476"/>
      <c r="AQ499" s="476"/>
      <c r="AR499" s="476"/>
      <c r="AS499" s="476"/>
      <c r="AT499" s="476"/>
    </row>
    <row r="500" spans="1:46" ht="12.75" customHeight="1">
      <c r="A500" s="476"/>
      <c r="B500" s="476"/>
      <c r="C500" s="476"/>
      <c r="D500" s="476"/>
      <c r="E500" s="476"/>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6"/>
      <c r="AE500" s="476"/>
      <c r="AF500" s="476"/>
      <c r="AG500" s="476"/>
      <c r="AH500" s="476"/>
      <c r="AI500" s="476"/>
      <c r="AJ500" s="476"/>
      <c r="AK500" s="476"/>
      <c r="AL500" s="476"/>
      <c r="AM500" s="476"/>
      <c r="AN500" s="476"/>
      <c r="AO500" s="476"/>
      <c r="AP500" s="476"/>
      <c r="AQ500" s="476"/>
      <c r="AR500" s="476"/>
      <c r="AS500" s="476"/>
      <c r="AT500" s="476"/>
    </row>
    <row r="501" spans="1:46" ht="12.75" customHeight="1">
      <c r="A501" s="476"/>
      <c r="B501" s="476"/>
      <c r="C501" s="476"/>
      <c r="D501" s="476"/>
      <c r="E501" s="476"/>
      <c r="F501" s="476"/>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476"/>
      <c r="AD501" s="476"/>
      <c r="AE501" s="476"/>
      <c r="AF501" s="476"/>
      <c r="AG501" s="476"/>
      <c r="AH501" s="476"/>
      <c r="AI501" s="476"/>
      <c r="AJ501" s="476"/>
      <c r="AK501" s="476"/>
      <c r="AL501" s="476"/>
      <c r="AM501" s="476"/>
      <c r="AN501" s="476"/>
      <c r="AO501" s="476"/>
      <c r="AP501" s="476"/>
      <c r="AQ501" s="476"/>
      <c r="AR501" s="476"/>
      <c r="AS501" s="476"/>
      <c r="AT501" s="476"/>
    </row>
    <row r="502" spans="1:46" ht="12.75" customHeight="1">
      <c r="A502" s="476"/>
      <c r="B502" s="476"/>
      <c r="C502" s="476"/>
      <c r="D502" s="476"/>
      <c r="E502" s="476"/>
      <c r="F502" s="476"/>
      <c r="G502" s="476"/>
      <c r="H502" s="476"/>
      <c r="I502" s="476"/>
      <c r="J502" s="476"/>
      <c r="K502" s="476"/>
      <c r="L502" s="476"/>
      <c r="M502" s="476"/>
      <c r="N502" s="476"/>
      <c r="O502" s="476"/>
      <c r="P502" s="476"/>
      <c r="Q502" s="476"/>
      <c r="R502" s="476"/>
      <c r="S502" s="476"/>
      <c r="T502" s="476"/>
      <c r="U502" s="476"/>
      <c r="V502" s="476"/>
      <c r="W502" s="476"/>
      <c r="X502" s="476"/>
      <c r="Y502" s="476"/>
      <c r="Z502" s="476"/>
      <c r="AA502" s="476"/>
      <c r="AB502" s="476"/>
      <c r="AC502" s="476"/>
      <c r="AD502" s="476"/>
      <c r="AE502" s="476"/>
      <c r="AF502" s="476"/>
      <c r="AG502" s="476"/>
      <c r="AH502" s="476"/>
      <c r="AI502" s="476"/>
      <c r="AJ502" s="476"/>
      <c r="AK502" s="476"/>
      <c r="AL502" s="476"/>
      <c r="AM502" s="476"/>
      <c r="AN502" s="476"/>
      <c r="AO502" s="476"/>
      <c r="AP502" s="476"/>
      <c r="AQ502" s="476"/>
      <c r="AR502" s="476"/>
      <c r="AS502" s="476"/>
      <c r="AT502" s="476"/>
    </row>
    <row r="503" spans="1:46" ht="12.75" customHeight="1">
      <c r="A503" s="476"/>
      <c r="B503" s="476"/>
      <c r="C503" s="476"/>
      <c r="D503" s="476"/>
      <c r="E503" s="476"/>
      <c r="F503" s="476"/>
      <c r="G503" s="476"/>
      <c r="H503" s="476"/>
      <c r="I503" s="476"/>
      <c r="J503" s="476"/>
      <c r="K503" s="476"/>
      <c r="L503" s="476"/>
      <c r="M503" s="476"/>
      <c r="N503" s="476"/>
      <c r="O503" s="476"/>
      <c r="P503" s="476"/>
      <c r="Q503" s="476"/>
      <c r="R503" s="476"/>
      <c r="S503" s="476"/>
      <c r="T503" s="476"/>
      <c r="U503" s="476"/>
      <c r="V503" s="476"/>
      <c r="W503" s="476"/>
      <c r="X503" s="476"/>
      <c r="Y503" s="476"/>
      <c r="Z503" s="476"/>
      <c r="AA503" s="476"/>
      <c r="AB503" s="476"/>
      <c r="AC503" s="476"/>
      <c r="AD503" s="476"/>
      <c r="AE503" s="476"/>
      <c r="AF503" s="476"/>
      <c r="AG503" s="476"/>
      <c r="AH503" s="476"/>
      <c r="AI503" s="476"/>
      <c r="AJ503" s="476"/>
      <c r="AK503" s="476"/>
      <c r="AL503" s="476"/>
      <c r="AM503" s="476"/>
      <c r="AN503" s="476"/>
      <c r="AO503" s="476"/>
      <c r="AP503" s="476"/>
      <c r="AQ503" s="476"/>
      <c r="AR503" s="476"/>
      <c r="AS503" s="476"/>
      <c r="AT503" s="476"/>
    </row>
    <row r="504" spans="1:46" ht="12.75" customHeight="1">
      <c r="A504" s="476"/>
      <c r="B504" s="476"/>
      <c r="C504" s="476"/>
      <c r="D504" s="476"/>
      <c r="E504" s="476"/>
      <c r="F504" s="476"/>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476"/>
      <c r="AD504" s="476"/>
      <c r="AE504" s="476"/>
      <c r="AF504" s="476"/>
      <c r="AG504" s="476"/>
      <c r="AH504" s="476"/>
      <c r="AI504" s="476"/>
      <c r="AJ504" s="476"/>
      <c r="AK504" s="476"/>
      <c r="AL504" s="476"/>
      <c r="AM504" s="476"/>
      <c r="AN504" s="476"/>
      <c r="AO504" s="476"/>
      <c r="AP504" s="476"/>
      <c r="AQ504" s="476"/>
      <c r="AR504" s="476"/>
      <c r="AS504" s="476"/>
      <c r="AT504" s="476"/>
    </row>
    <row r="505" spans="1:46" ht="12.75" customHeight="1">
      <c r="A505" s="476"/>
      <c r="B505" s="476"/>
      <c r="C505" s="476"/>
      <c r="D505" s="476"/>
      <c r="E505" s="476"/>
      <c r="F505" s="476"/>
      <c r="G505" s="476"/>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476"/>
      <c r="AD505" s="476"/>
      <c r="AE505" s="476"/>
      <c r="AF505" s="476"/>
      <c r="AG505" s="476"/>
      <c r="AH505" s="476"/>
      <c r="AI505" s="476"/>
      <c r="AJ505" s="476"/>
      <c r="AK505" s="476"/>
      <c r="AL505" s="476"/>
      <c r="AM505" s="476"/>
      <c r="AN505" s="476"/>
      <c r="AO505" s="476"/>
      <c r="AP505" s="476"/>
      <c r="AQ505" s="476"/>
      <c r="AR505" s="476"/>
      <c r="AS505" s="476"/>
      <c r="AT505" s="476"/>
    </row>
    <row r="506" spans="1:46" ht="12.75" customHeight="1">
      <c r="A506" s="476"/>
      <c r="B506" s="476"/>
      <c r="C506" s="476"/>
      <c r="D506" s="476"/>
      <c r="E506" s="476"/>
      <c r="F506" s="476"/>
      <c r="G506" s="476"/>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476"/>
      <c r="AD506" s="476"/>
      <c r="AE506" s="476"/>
      <c r="AF506" s="476"/>
      <c r="AG506" s="476"/>
      <c r="AH506" s="476"/>
      <c r="AI506" s="476"/>
      <c r="AJ506" s="476"/>
      <c r="AK506" s="476"/>
      <c r="AL506" s="476"/>
      <c r="AM506" s="476"/>
      <c r="AN506" s="476"/>
      <c r="AO506" s="476"/>
      <c r="AP506" s="476"/>
      <c r="AQ506" s="476"/>
      <c r="AR506" s="476"/>
      <c r="AS506" s="476"/>
      <c r="AT506" s="476"/>
    </row>
    <row r="507" spans="1:46" ht="12.75" customHeight="1">
      <c r="A507" s="476"/>
      <c r="B507" s="476"/>
      <c r="C507" s="476"/>
      <c r="D507" s="476"/>
      <c r="E507" s="476"/>
      <c r="F507" s="476"/>
      <c r="G507" s="476"/>
      <c r="H507" s="476"/>
      <c r="I507" s="476"/>
      <c r="J507" s="476"/>
      <c r="K507" s="476"/>
      <c r="L507" s="476"/>
      <c r="M507" s="476"/>
      <c r="N507" s="476"/>
      <c r="O507" s="476"/>
      <c r="P507" s="476"/>
      <c r="Q507" s="476"/>
      <c r="R507" s="476"/>
      <c r="S507" s="476"/>
      <c r="T507" s="476"/>
      <c r="U507" s="476"/>
      <c r="V507" s="476"/>
      <c r="W507" s="476"/>
      <c r="X507" s="476"/>
      <c r="Y507" s="476"/>
      <c r="Z507" s="476"/>
      <c r="AA507" s="476"/>
      <c r="AB507" s="476"/>
      <c r="AC507" s="476"/>
      <c r="AD507" s="476"/>
      <c r="AE507" s="476"/>
      <c r="AF507" s="476"/>
      <c r="AG507" s="476"/>
      <c r="AH507" s="476"/>
      <c r="AI507" s="476"/>
      <c r="AJ507" s="476"/>
      <c r="AK507" s="476"/>
      <c r="AL507" s="476"/>
      <c r="AM507" s="476"/>
      <c r="AN507" s="476"/>
      <c r="AO507" s="476"/>
      <c r="AP507" s="476"/>
      <c r="AQ507" s="476"/>
      <c r="AR507" s="476"/>
      <c r="AS507" s="476"/>
      <c r="AT507" s="476"/>
    </row>
    <row r="508" spans="1:46" ht="12.75" customHeight="1">
      <c r="A508" s="476"/>
      <c r="B508" s="476"/>
      <c r="C508" s="476"/>
      <c r="D508" s="476"/>
      <c r="E508" s="476"/>
      <c r="F508" s="476"/>
      <c r="G508" s="476"/>
      <c r="H508" s="476"/>
      <c r="I508" s="476"/>
      <c r="J508" s="476"/>
      <c r="K508" s="476"/>
      <c r="L508" s="476"/>
      <c r="M508" s="476"/>
      <c r="N508" s="476"/>
      <c r="O508" s="476"/>
      <c r="P508" s="476"/>
      <c r="Q508" s="476"/>
      <c r="R508" s="476"/>
      <c r="S508" s="476"/>
      <c r="T508" s="476"/>
      <c r="U508" s="476"/>
      <c r="V508" s="476"/>
      <c r="W508" s="476"/>
      <c r="X508" s="476"/>
      <c r="Y508" s="476"/>
      <c r="Z508" s="476"/>
      <c r="AA508" s="476"/>
      <c r="AB508" s="476"/>
      <c r="AC508" s="476"/>
      <c r="AD508" s="476"/>
      <c r="AE508" s="476"/>
      <c r="AF508" s="476"/>
      <c r="AG508" s="476"/>
      <c r="AH508" s="476"/>
      <c r="AI508" s="476"/>
      <c r="AJ508" s="476"/>
      <c r="AK508" s="476"/>
      <c r="AL508" s="476"/>
      <c r="AM508" s="476"/>
      <c r="AN508" s="476"/>
      <c r="AO508" s="476"/>
      <c r="AP508" s="476"/>
      <c r="AQ508" s="476"/>
      <c r="AR508" s="476"/>
      <c r="AS508" s="476"/>
      <c r="AT508" s="476"/>
    </row>
    <row r="509" spans="1:46" ht="12.75" customHeight="1">
      <c r="A509" s="476"/>
      <c r="B509" s="476"/>
      <c r="C509" s="476"/>
      <c r="D509" s="476"/>
      <c r="E509" s="476"/>
      <c r="F509" s="476"/>
      <c r="G509" s="476"/>
      <c r="H509" s="476"/>
      <c r="I509" s="476"/>
      <c r="J509" s="476"/>
      <c r="K509" s="476"/>
      <c r="L509" s="476"/>
      <c r="M509" s="476"/>
      <c r="N509" s="476"/>
      <c r="O509" s="476"/>
      <c r="P509" s="476"/>
      <c r="Q509" s="476"/>
      <c r="R509" s="476"/>
      <c r="S509" s="476"/>
      <c r="T509" s="476"/>
      <c r="U509" s="476"/>
      <c r="V509" s="476"/>
      <c r="W509" s="476"/>
      <c r="X509" s="476"/>
      <c r="Y509" s="476"/>
      <c r="Z509" s="476"/>
      <c r="AA509" s="476"/>
      <c r="AB509" s="476"/>
      <c r="AC509" s="476"/>
      <c r="AD509" s="476"/>
      <c r="AE509" s="476"/>
      <c r="AF509" s="476"/>
      <c r="AG509" s="476"/>
      <c r="AH509" s="476"/>
      <c r="AI509" s="476"/>
      <c r="AJ509" s="476"/>
      <c r="AK509" s="476"/>
      <c r="AL509" s="476"/>
      <c r="AM509" s="476"/>
      <c r="AN509" s="476"/>
      <c r="AO509" s="476"/>
      <c r="AP509" s="476"/>
      <c r="AQ509" s="476"/>
      <c r="AR509" s="476"/>
      <c r="AS509" s="476"/>
      <c r="AT509" s="476"/>
    </row>
    <row r="510" spans="1:46" ht="12.75" customHeight="1">
      <c r="A510" s="476"/>
      <c r="B510" s="476"/>
      <c r="C510" s="476"/>
      <c r="D510" s="476"/>
      <c r="E510" s="476"/>
      <c r="F510" s="476"/>
      <c r="G510" s="476"/>
      <c r="H510" s="476"/>
      <c r="I510" s="476"/>
      <c r="J510" s="476"/>
      <c r="K510" s="476"/>
      <c r="L510" s="476"/>
      <c r="M510" s="476"/>
      <c r="N510" s="476"/>
      <c r="O510" s="476"/>
      <c r="P510" s="476"/>
      <c r="Q510" s="476"/>
      <c r="R510" s="476"/>
      <c r="S510" s="476"/>
      <c r="T510" s="476"/>
      <c r="U510" s="476"/>
      <c r="V510" s="476"/>
      <c r="W510" s="476"/>
      <c r="X510" s="476"/>
      <c r="Y510" s="476"/>
      <c r="Z510" s="476"/>
      <c r="AA510" s="476"/>
      <c r="AB510" s="476"/>
      <c r="AC510" s="476"/>
      <c r="AD510" s="476"/>
      <c r="AE510" s="476"/>
      <c r="AF510" s="476"/>
      <c r="AG510" s="476"/>
      <c r="AH510" s="476"/>
      <c r="AI510" s="476"/>
      <c r="AJ510" s="476"/>
      <c r="AK510" s="476"/>
      <c r="AL510" s="476"/>
      <c r="AM510" s="476"/>
      <c r="AN510" s="476"/>
      <c r="AO510" s="476"/>
      <c r="AP510" s="476"/>
      <c r="AQ510" s="476"/>
      <c r="AR510" s="476"/>
      <c r="AS510" s="476"/>
      <c r="AT510" s="476"/>
    </row>
    <row r="511" spans="1:46" ht="12.75" customHeight="1">
      <c r="A511" s="476"/>
      <c r="B511" s="476"/>
      <c r="C511" s="476"/>
      <c r="D511" s="476"/>
      <c r="E511" s="476"/>
      <c r="F511" s="476"/>
      <c r="G511" s="476"/>
      <c r="H511" s="476"/>
      <c r="I511" s="476"/>
      <c r="J511" s="476"/>
      <c r="K511" s="476"/>
      <c r="L511" s="476"/>
      <c r="M511" s="476"/>
      <c r="N511" s="476"/>
      <c r="O511" s="476"/>
      <c r="P511" s="476"/>
      <c r="Q511" s="476"/>
      <c r="R511" s="476"/>
      <c r="S511" s="476"/>
      <c r="T511" s="476"/>
      <c r="U511" s="476"/>
      <c r="V511" s="476"/>
      <c r="W511" s="476"/>
      <c r="X511" s="476"/>
      <c r="Y511" s="476"/>
      <c r="Z511" s="476"/>
      <c r="AA511" s="476"/>
      <c r="AB511" s="476"/>
      <c r="AC511" s="476"/>
      <c r="AD511" s="476"/>
      <c r="AE511" s="476"/>
      <c r="AF511" s="476"/>
      <c r="AG511" s="476"/>
      <c r="AH511" s="476"/>
      <c r="AI511" s="476"/>
      <c r="AJ511" s="476"/>
      <c r="AK511" s="476"/>
      <c r="AL511" s="476"/>
      <c r="AM511" s="476"/>
      <c r="AN511" s="476"/>
      <c r="AO511" s="476"/>
      <c r="AP511" s="476"/>
      <c r="AQ511" s="476"/>
      <c r="AR511" s="476"/>
      <c r="AS511" s="476"/>
      <c r="AT511" s="476"/>
    </row>
    <row r="512" spans="1:46" ht="12.75" customHeight="1">
      <c r="A512" s="476"/>
      <c r="B512" s="476"/>
      <c r="C512" s="476"/>
      <c r="D512" s="476"/>
      <c r="E512" s="476"/>
      <c r="F512" s="476"/>
      <c r="G512" s="476"/>
      <c r="H512" s="476"/>
      <c r="I512" s="476"/>
      <c r="J512" s="476"/>
      <c r="K512" s="476"/>
      <c r="L512" s="476"/>
      <c r="M512" s="476"/>
      <c r="N512" s="476"/>
      <c r="O512" s="476"/>
      <c r="P512" s="476"/>
      <c r="Q512" s="476"/>
      <c r="R512" s="476"/>
      <c r="S512" s="476"/>
      <c r="T512" s="476"/>
      <c r="U512" s="476"/>
      <c r="V512" s="476"/>
      <c r="W512" s="476"/>
      <c r="X512" s="476"/>
      <c r="Y512" s="476"/>
      <c r="Z512" s="476"/>
      <c r="AA512" s="476"/>
      <c r="AB512" s="476"/>
      <c r="AC512" s="476"/>
      <c r="AD512" s="476"/>
      <c r="AE512" s="476"/>
      <c r="AF512" s="476"/>
      <c r="AG512" s="476"/>
      <c r="AH512" s="476"/>
      <c r="AI512" s="476"/>
      <c r="AJ512" s="476"/>
      <c r="AK512" s="476"/>
      <c r="AL512" s="476"/>
      <c r="AM512" s="476"/>
      <c r="AN512" s="476"/>
      <c r="AO512" s="476"/>
      <c r="AP512" s="476"/>
      <c r="AQ512" s="476"/>
      <c r="AR512" s="476"/>
      <c r="AS512" s="476"/>
      <c r="AT512" s="476"/>
    </row>
    <row r="513" spans="1:46" ht="12.75" customHeight="1">
      <c r="A513" s="476"/>
      <c r="B513" s="476"/>
      <c r="C513" s="476"/>
      <c r="D513" s="476"/>
      <c r="E513" s="476"/>
      <c r="F513" s="476"/>
      <c r="G513" s="476"/>
      <c r="H513" s="476"/>
      <c r="I513" s="476"/>
      <c r="J513" s="476"/>
      <c r="K513" s="476"/>
      <c r="L513" s="476"/>
      <c r="M513" s="476"/>
      <c r="N513" s="476"/>
      <c r="O513" s="476"/>
      <c r="P513" s="476"/>
      <c r="Q513" s="476"/>
      <c r="R513" s="476"/>
      <c r="S513" s="476"/>
      <c r="T513" s="476"/>
      <c r="U513" s="476"/>
      <c r="V513" s="476"/>
      <c r="W513" s="476"/>
      <c r="X513" s="476"/>
      <c r="Y513" s="476"/>
      <c r="Z513" s="476"/>
      <c r="AA513" s="476"/>
      <c r="AB513" s="476"/>
      <c r="AC513" s="476"/>
      <c r="AD513" s="476"/>
      <c r="AE513" s="476"/>
      <c r="AF513" s="476"/>
      <c r="AG513" s="476"/>
      <c r="AH513" s="476"/>
      <c r="AI513" s="476"/>
      <c r="AJ513" s="476"/>
      <c r="AK513" s="476"/>
      <c r="AL513" s="476"/>
      <c r="AM513" s="476"/>
      <c r="AN513" s="476"/>
      <c r="AO513" s="476"/>
      <c r="AP513" s="476"/>
      <c r="AQ513" s="476"/>
      <c r="AR513" s="476"/>
      <c r="AS513" s="476"/>
      <c r="AT513" s="476"/>
    </row>
    <row r="514" spans="1:46" ht="12.75" customHeight="1">
      <c r="A514" s="476"/>
      <c r="B514" s="476"/>
      <c r="C514" s="476"/>
      <c r="D514" s="476"/>
      <c r="E514" s="476"/>
      <c r="F514" s="476"/>
      <c r="G514" s="476"/>
      <c r="H514" s="476"/>
      <c r="I514" s="476"/>
      <c r="J514" s="476"/>
      <c r="K514" s="476"/>
      <c r="L514" s="476"/>
      <c r="M514" s="476"/>
      <c r="N514" s="476"/>
      <c r="O514" s="476"/>
      <c r="P514" s="476"/>
      <c r="Q514" s="476"/>
      <c r="R514" s="476"/>
      <c r="S514" s="476"/>
      <c r="T514" s="476"/>
      <c r="U514" s="476"/>
      <c r="V514" s="476"/>
      <c r="W514" s="476"/>
      <c r="X514" s="476"/>
      <c r="Y514" s="476"/>
      <c r="Z514" s="476"/>
      <c r="AA514" s="476"/>
      <c r="AB514" s="476"/>
      <c r="AC514" s="476"/>
      <c r="AD514" s="476"/>
      <c r="AE514" s="476"/>
      <c r="AF514" s="476"/>
      <c r="AG514" s="476"/>
      <c r="AH514" s="476"/>
      <c r="AI514" s="476"/>
      <c r="AJ514" s="476"/>
      <c r="AK514" s="476"/>
      <c r="AL514" s="476"/>
      <c r="AM514" s="476"/>
      <c r="AN514" s="476"/>
      <c r="AO514" s="476"/>
      <c r="AP514" s="476"/>
      <c r="AQ514" s="476"/>
      <c r="AR514" s="476"/>
      <c r="AS514" s="476"/>
      <c r="AT514" s="476"/>
    </row>
    <row r="515" spans="1:46" ht="12.75" customHeight="1">
      <c r="A515" s="476"/>
      <c r="B515" s="476"/>
      <c r="C515" s="476"/>
      <c r="D515" s="476"/>
      <c r="E515" s="476"/>
      <c r="F515" s="47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476"/>
      <c r="AE515" s="476"/>
      <c r="AF515" s="476"/>
      <c r="AG515" s="476"/>
      <c r="AH515" s="476"/>
      <c r="AI515" s="476"/>
      <c r="AJ515" s="476"/>
      <c r="AK515" s="476"/>
      <c r="AL515" s="476"/>
      <c r="AM515" s="476"/>
      <c r="AN515" s="476"/>
      <c r="AO515" s="476"/>
      <c r="AP515" s="476"/>
      <c r="AQ515" s="476"/>
      <c r="AR515" s="476"/>
      <c r="AS515" s="476"/>
      <c r="AT515" s="476"/>
    </row>
    <row r="516" spans="1:46" ht="12.75" customHeight="1">
      <c r="A516" s="476"/>
      <c r="B516" s="476"/>
      <c r="C516" s="476"/>
      <c r="D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476"/>
      <c r="AE516" s="476"/>
      <c r="AF516" s="476"/>
      <c r="AG516" s="476"/>
      <c r="AH516" s="476"/>
      <c r="AI516" s="476"/>
      <c r="AJ516" s="476"/>
      <c r="AK516" s="476"/>
      <c r="AL516" s="476"/>
      <c r="AM516" s="476"/>
      <c r="AN516" s="476"/>
      <c r="AO516" s="476"/>
      <c r="AP516" s="476"/>
      <c r="AQ516" s="476"/>
      <c r="AR516" s="476"/>
      <c r="AS516" s="476"/>
      <c r="AT516" s="476"/>
    </row>
    <row r="517" spans="1:46" ht="12.75" customHeight="1">
      <c r="A517" s="476"/>
      <c r="B517" s="476"/>
      <c r="C517" s="476"/>
      <c r="D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476"/>
      <c r="AE517" s="476"/>
      <c r="AF517" s="476"/>
      <c r="AG517" s="476"/>
      <c r="AH517" s="476"/>
      <c r="AI517" s="476"/>
      <c r="AJ517" s="476"/>
      <c r="AK517" s="476"/>
      <c r="AL517" s="476"/>
      <c r="AM517" s="476"/>
      <c r="AN517" s="476"/>
      <c r="AO517" s="476"/>
      <c r="AP517" s="476"/>
      <c r="AQ517" s="476"/>
      <c r="AR517" s="476"/>
      <c r="AS517" s="476"/>
      <c r="AT517" s="476"/>
    </row>
    <row r="518" spans="1:46" ht="12.75" customHeight="1">
      <c r="A518" s="476"/>
      <c r="B518" s="476"/>
      <c r="C518" s="476"/>
      <c r="D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476"/>
      <c r="AE518" s="476"/>
      <c r="AF518" s="476"/>
      <c r="AG518" s="476"/>
      <c r="AH518" s="476"/>
      <c r="AI518" s="476"/>
      <c r="AJ518" s="476"/>
      <c r="AK518" s="476"/>
      <c r="AL518" s="476"/>
      <c r="AM518" s="476"/>
      <c r="AN518" s="476"/>
      <c r="AO518" s="476"/>
      <c r="AP518" s="476"/>
      <c r="AQ518" s="476"/>
      <c r="AR518" s="476"/>
      <c r="AS518" s="476"/>
      <c r="AT518" s="476"/>
    </row>
    <row r="519" spans="1:46" ht="12.75" customHeight="1">
      <c r="A519" s="476"/>
      <c r="B519" s="476"/>
      <c r="C519" s="476"/>
      <c r="D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476"/>
      <c r="AE519" s="476"/>
      <c r="AF519" s="476"/>
      <c r="AG519" s="476"/>
      <c r="AH519" s="476"/>
      <c r="AI519" s="476"/>
      <c r="AJ519" s="476"/>
      <c r="AK519" s="476"/>
      <c r="AL519" s="476"/>
      <c r="AM519" s="476"/>
      <c r="AN519" s="476"/>
      <c r="AO519" s="476"/>
      <c r="AP519" s="476"/>
      <c r="AQ519" s="476"/>
      <c r="AR519" s="476"/>
      <c r="AS519" s="476"/>
      <c r="AT519" s="476"/>
    </row>
    <row r="520" spans="1:46" ht="12.75" customHeight="1">
      <c r="A520" s="476"/>
      <c r="B520" s="476"/>
      <c r="C520" s="476"/>
      <c r="D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476"/>
      <c r="AE520" s="476"/>
      <c r="AF520" s="476"/>
      <c r="AG520" s="476"/>
      <c r="AH520" s="476"/>
      <c r="AI520" s="476"/>
      <c r="AJ520" s="476"/>
      <c r="AK520" s="476"/>
      <c r="AL520" s="476"/>
      <c r="AM520" s="476"/>
      <c r="AN520" s="476"/>
      <c r="AO520" s="476"/>
      <c r="AP520" s="476"/>
      <c r="AQ520" s="476"/>
      <c r="AR520" s="476"/>
      <c r="AS520" s="476"/>
      <c r="AT520" s="476"/>
    </row>
    <row r="521" spans="1:46" ht="12.75" customHeight="1">
      <c r="A521" s="476"/>
      <c r="B521" s="476"/>
      <c r="C521" s="476"/>
      <c r="D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476"/>
      <c r="AE521" s="476"/>
      <c r="AF521" s="476"/>
      <c r="AG521" s="476"/>
      <c r="AH521" s="476"/>
      <c r="AI521" s="476"/>
      <c r="AJ521" s="476"/>
      <c r="AK521" s="476"/>
      <c r="AL521" s="476"/>
      <c r="AM521" s="476"/>
      <c r="AN521" s="476"/>
      <c r="AO521" s="476"/>
      <c r="AP521" s="476"/>
      <c r="AQ521" s="476"/>
      <c r="AR521" s="476"/>
      <c r="AS521" s="476"/>
      <c r="AT521" s="476"/>
    </row>
    <row r="522" spans="1:46" ht="12.75" customHeight="1">
      <c r="A522" s="476"/>
      <c r="B522" s="476"/>
      <c r="C522" s="476"/>
      <c r="D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476"/>
      <c r="AE522" s="476"/>
      <c r="AF522" s="476"/>
      <c r="AG522" s="476"/>
      <c r="AH522" s="476"/>
      <c r="AI522" s="476"/>
      <c r="AJ522" s="476"/>
      <c r="AK522" s="476"/>
      <c r="AL522" s="476"/>
      <c r="AM522" s="476"/>
      <c r="AN522" s="476"/>
      <c r="AO522" s="476"/>
      <c r="AP522" s="476"/>
      <c r="AQ522" s="476"/>
      <c r="AR522" s="476"/>
      <c r="AS522" s="476"/>
      <c r="AT522" s="476"/>
    </row>
    <row r="523" spans="1:46" ht="12.75" customHeight="1">
      <c r="A523" s="476"/>
      <c r="B523" s="476"/>
      <c r="C523" s="476"/>
      <c r="D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476"/>
      <c r="AE523" s="476"/>
      <c r="AF523" s="476"/>
      <c r="AG523" s="476"/>
      <c r="AH523" s="476"/>
      <c r="AI523" s="476"/>
      <c r="AJ523" s="476"/>
      <c r="AK523" s="476"/>
      <c r="AL523" s="476"/>
      <c r="AM523" s="476"/>
      <c r="AN523" s="476"/>
      <c r="AO523" s="476"/>
      <c r="AP523" s="476"/>
      <c r="AQ523" s="476"/>
      <c r="AR523" s="476"/>
      <c r="AS523" s="476"/>
      <c r="AT523" s="476"/>
    </row>
    <row r="524" spans="1:46" ht="12.75" customHeight="1">
      <c r="A524" s="476"/>
      <c r="B524" s="476"/>
      <c r="C524" s="476"/>
      <c r="D524" s="476"/>
      <c r="E524" s="476"/>
      <c r="F524" s="476"/>
      <c r="G524" s="476"/>
      <c r="H524" s="476"/>
      <c r="I524" s="476"/>
      <c r="J524" s="476"/>
      <c r="K524" s="476"/>
      <c r="L524" s="476"/>
      <c r="M524" s="476"/>
      <c r="N524" s="476"/>
      <c r="O524" s="476"/>
      <c r="P524" s="476"/>
      <c r="Q524" s="476"/>
      <c r="R524" s="476"/>
      <c r="S524" s="476"/>
      <c r="T524" s="476"/>
      <c r="U524" s="476"/>
      <c r="V524" s="476"/>
      <c r="W524" s="476"/>
      <c r="X524" s="476"/>
      <c r="Y524" s="476"/>
      <c r="Z524" s="476"/>
      <c r="AA524" s="476"/>
      <c r="AB524" s="476"/>
      <c r="AC524" s="476"/>
      <c r="AD524" s="476"/>
      <c r="AE524" s="476"/>
      <c r="AF524" s="476"/>
      <c r="AG524" s="476"/>
      <c r="AH524" s="476"/>
      <c r="AI524" s="476"/>
      <c r="AJ524" s="476"/>
      <c r="AK524" s="476"/>
      <c r="AL524" s="476"/>
      <c r="AM524" s="476"/>
      <c r="AN524" s="476"/>
      <c r="AO524" s="476"/>
      <c r="AP524" s="476"/>
      <c r="AQ524" s="476"/>
      <c r="AR524" s="476"/>
      <c r="AS524" s="476"/>
      <c r="AT524" s="476"/>
    </row>
    <row r="525" spans="1:46" ht="12.75" customHeight="1">
      <c r="A525" s="476"/>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476"/>
      <c r="AD525" s="476"/>
      <c r="AE525" s="476"/>
      <c r="AF525" s="476"/>
      <c r="AG525" s="476"/>
      <c r="AH525" s="476"/>
      <c r="AI525" s="476"/>
      <c r="AJ525" s="476"/>
      <c r="AK525" s="476"/>
      <c r="AL525" s="476"/>
      <c r="AM525" s="476"/>
      <c r="AN525" s="476"/>
      <c r="AO525" s="476"/>
      <c r="AP525" s="476"/>
      <c r="AQ525" s="476"/>
      <c r="AR525" s="476"/>
      <c r="AS525" s="476"/>
      <c r="AT525" s="476"/>
    </row>
    <row r="526" spans="1:46" ht="12.75" customHeight="1">
      <c r="A526" s="476"/>
      <c r="B526" s="476"/>
      <c r="C526" s="476"/>
      <c r="D526" s="476"/>
      <c r="E526" s="476"/>
      <c r="F526" s="476"/>
      <c r="G526" s="476"/>
      <c r="H526" s="476"/>
      <c r="I526" s="476"/>
      <c r="J526" s="476"/>
      <c r="K526" s="476"/>
      <c r="L526" s="476"/>
      <c r="M526" s="476"/>
      <c r="N526" s="476"/>
      <c r="O526" s="476"/>
      <c r="P526" s="476"/>
      <c r="Q526" s="476"/>
      <c r="R526" s="476"/>
      <c r="S526" s="476"/>
      <c r="T526" s="476"/>
      <c r="U526" s="476"/>
      <c r="V526" s="476"/>
      <c r="W526" s="476"/>
      <c r="X526" s="476"/>
      <c r="Y526" s="476"/>
      <c r="Z526" s="476"/>
      <c r="AA526" s="476"/>
      <c r="AB526" s="476"/>
      <c r="AC526" s="476"/>
      <c r="AD526" s="476"/>
      <c r="AE526" s="476"/>
      <c r="AF526" s="476"/>
      <c r="AG526" s="476"/>
      <c r="AH526" s="476"/>
      <c r="AI526" s="476"/>
      <c r="AJ526" s="476"/>
      <c r="AK526" s="476"/>
      <c r="AL526" s="476"/>
      <c r="AM526" s="476"/>
      <c r="AN526" s="476"/>
      <c r="AO526" s="476"/>
      <c r="AP526" s="476"/>
      <c r="AQ526" s="476"/>
      <c r="AR526" s="476"/>
      <c r="AS526" s="476"/>
      <c r="AT526" s="476"/>
    </row>
    <row r="527" spans="1:46" ht="12.75" customHeight="1">
      <c r="A527" s="476"/>
      <c r="B527" s="476"/>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476"/>
      <c r="AD527" s="476"/>
      <c r="AE527" s="476"/>
      <c r="AF527" s="476"/>
      <c r="AG527" s="476"/>
      <c r="AH527" s="476"/>
      <c r="AI527" s="476"/>
      <c r="AJ527" s="476"/>
      <c r="AK527" s="476"/>
      <c r="AL527" s="476"/>
      <c r="AM527" s="476"/>
      <c r="AN527" s="476"/>
      <c r="AO527" s="476"/>
      <c r="AP527" s="476"/>
      <c r="AQ527" s="476"/>
      <c r="AR527" s="476"/>
      <c r="AS527" s="476"/>
      <c r="AT527" s="476"/>
    </row>
    <row r="528" spans="1:46" ht="12.75" customHeight="1">
      <c r="A528" s="476"/>
      <c r="B528" s="476"/>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476"/>
      <c r="AD528" s="476"/>
      <c r="AE528" s="476"/>
      <c r="AF528" s="476"/>
      <c r="AG528" s="476"/>
      <c r="AH528" s="476"/>
      <c r="AI528" s="476"/>
      <c r="AJ528" s="476"/>
      <c r="AK528" s="476"/>
      <c r="AL528" s="476"/>
      <c r="AM528" s="476"/>
      <c r="AN528" s="476"/>
      <c r="AO528" s="476"/>
      <c r="AP528" s="476"/>
      <c r="AQ528" s="476"/>
      <c r="AR528" s="476"/>
      <c r="AS528" s="476"/>
      <c r="AT528" s="476"/>
    </row>
    <row r="529" spans="1:46" ht="12.75" customHeight="1">
      <c r="A529" s="476"/>
      <c r="B529" s="476"/>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476"/>
      <c r="AD529" s="476"/>
      <c r="AE529" s="476"/>
      <c r="AF529" s="476"/>
      <c r="AG529" s="476"/>
      <c r="AH529" s="476"/>
      <c r="AI529" s="476"/>
      <c r="AJ529" s="476"/>
      <c r="AK529" s="476"/>
      <c r="AL529" s="476"/>
      <c r="AM529" s="476"/>
      <c r="AN529" s="476"/>
      <c r="AO529" s="476"/>
      <c r="AP529" s="476"/>
      <c r="AQ529" s="476"/>
      <c r="AR529" s="476"/>
      <c r="AS529" s="476"/>
      <c r="AT529" s="476"/>
    </row>
    <row r="530" spans="1:46" ht="12.75" customHeight="1">
      <c r="A530" s="476"/>
      <c r="B530" s="476"/>
      <c r="C530" s="476"/>
      <c r="D530" s="476"/>
      <c r="E530" s="476"/>
      <c r="F530" s="476"/>
      <c r="G530" s="476"/>
      <c r="H530" s="476"/>
      <c r="I530" s="476"/>
      <c r="J530" s="476"/>
      <c r="K530" s="476"/>
      <c r="L530" s="476"/>
      <c r="M530" s="476"/>
      <c r="N530" s="476"/>
      <c r="O530" s="476"/>
      <c r="P530" s="476"/>
      <c r="Q530" s="476"/>
      <c r="R530" s="476"/>
      <c r="S530" s="476"/>
      <c r="T530" s="476"/>
      <c r="U530" s="476"/>
      <c r="V530" s="476"/>
      <c r="W530" s="476"/>
      <c r="X530" s="476"/>
      <c r="Y530" s="476"/>
      <c r="Z530" s="476"/>
      <c r="AA530" s="476"/>
      <c r="AB530" s="476"/>
      <c r="AC530" s="476"/>
      <c r="AD530" s="476"/>
      <c r="AE530" s="476"/>
      <c r="AF530" s="476"/>
      <c r="AG530" s="476"/>
      <c r="AH530" s="476"/>
      <c r="AI530" s="476"/>
      <c r="AJ530" s="476"/>
      <c r="AK530" s="476"/>
      <c r="AL530" s="476"/>
      <c r="AM530" s="476"/>
      <c r="AN530" s="476"/>
      <c r="AO530" s="476"/>
      <c r="AP530" s="476"/>
      <c r="AQ530" s="476"/>
      <c r="AR530" s="476"/>
      <c r="AS530" s="476"/>
      <c r="AT530" s="476"/>
    </row>
    <row r="531" spans="1:46" ht="12.75" customHeight="1">
      <c r="A531" s="476"/>
      <c r="B531" s="476"/>
      <c r="C531" s="476"/>
      <c r="D531" s="476"/>
      <c r="E531" s="476"/>
      <c r="F531" s="476"/>
      <c r="G531" s="476"/>
      <c r="H531" s="476"/>
      <c r="I531" s="476"/>
      <c r="J531" s="476"/>
      <c r="K531" s="476"/>
      <c r="L531" s="476"/>
      <c r="M531" s="476"/>
      <c r="N531" s="476"/>
      <c r="O531" s="476"/>
      <c r="P531" s="476"/>
      <c r="Q531" s="476"/>
      <c r="R531" s="476"/>
      <c r="S531" s="476"/>
      <c r="T531" s="476"/>
      <c r="U531" s="476"/>
      <c r="V531" s="476"/>
      <c r="W531" s="476"/>
      <c r="X531" s="476"/>
      <c r="Y531" s="476"/>
      <c r="Z531" s="476"/>
      <c r="AA531" s="476"/>
      <c r="AB531" s="476"/>
      <c r="AC531" s="476"/>
      <c r="AD531" s="476"/>
      <c r="AE531" s="476"/>
      <c r="AF531" s="476"/>
      <c r="AG531" s="476"/>
      <c r="AH531" s="476"/>
      <c r="AI531" s="476"/>
      <c r="AJ531" s="476"/>
      <c r="AK531" s="476"/>
      <c r="AL531" s="476"/>
      <c r="AM531" s="476"/>
      <c r="AN531" s="476"/>
      <c r="AO531" s="476"/>
      <c r="AP531" s="476"/>
      <c r="AQ531" s="476"/>
      <c r="AR531" s="476"/>
      <c r="AS531" s="476"/>
      <c r="AT531" s="476"/>
    </row>
    <row r="532" spans="1:46" ht="12.75" customHeight="1">
      <c r="A532" s="476"/>
      <c r="B532" s="476"/>
      <c r="C532" s="476"/>
      <c r="D532" s="476"/>
      <c r="E532" s="476"/>
      <c r="F532" s="476"/>
      <c r="G532" s="476"/>
      <c r="H532" s="476"/>
      <c r="I532" s="476"/>
      <c r="J532" s="476"/>
      <c r="K532" s="476"/>
      <c r="L532" s="476"/>
      <c r="M532" s="476"/>
      <c r="N532" s="476"/>
      <c r="O532" s="476"/>
      <c r="P532" s="476"/>
      <c r="Q532" s="476"/>
      <c r="R532" s="476"/>
      <c r="S532" s="476"/>
      <c r="T532" s="476"/>
      <c r="U532" s="476"/>
      <c r="V532" s="476"/>
      <c r="W532" s="476"/>
      <c r="X532" s="476"/>
      <c r="Y532" s="476"/>
      <c r="Z532" s="476"/>
      <c r="AA532" s="476"/>
      <c r="AB532" s="476"/>
      <c r="AC532" s="476"/>
      <c r="AD532" s="476"/>
      <c r="AE532" s="476"/>
      <c r="AF532" s="476"/>
      <c r="AG532" s="476"/>
      <c r="AH532" s="476"/>
      <c r="AI532" s="476"/>
      <c r="AJ532" s="476"/>
      <c r="AK532" s="476"/>
      <c r="AL532" s="476"/>
      <c r="AM532" s="476"/>
      <c r="AN532" s="476"/>
      <c r="AO532" s="476"/>
      <c r="AP532" s="476"/>
      <c r="AQ532" s="476"/>
      <c r="AR532" s="476"/>
      <c r="AS532" s="476"/>
      <c r="AT532" s="476"/>
    </row>
    <row r="533" spans="1:46" ht="12.75" customHeight="1">
      <c r="A533" s="476"/>
      <c r="B533" s="476"/>
      <c r="C533" s="476"/>
      <c r="D533" s="476"/>
      <c r="E533" s="476"/>
      <c r="F533" s="476"/>
      <c r="G533" s="476"/>
      <c r="H533" s="476"/>
      <c r="I533" s="476"/>
      <c r="J533" s="476"/>
      <c r="K533" s="476"/>
      <c r="L533" s="476"/>
      <c r="M533" s="476"/>
      <c r="N533" s="476"/>
      <c r="O533" s="476"/>
      <c r="P533" s="476"/>
      <c r="Q533" s="476"/>
      <c r="R533" s="476"/>
      <c r="S533" s="476"/>
      <c r="T533" s="476"/>
      <c r="U533" s="476"/>
      <c r="V533" s="476"/>
      <c r="W533" s="476"/>
      <c r="X533" s="476"/>
      <c r="Y533" s="476"/>
      <c r="Z533" s="476"/>
      <c r="AA533" s="476"/>
      <c r="AB533" s="476"/>
      <c r="AC533" s="476"/>
      <c r="AD533" s="476"/>
      <c r="AE533" s="476"/>
      <c r="AF533" s="476"/>
      <c r="AG533" s="476"/>
      <c r="AH533" s="476"/>
      <c r="AI533" s="476"/>
      <c r="AJ533" s="476"/>
      <c r="AK533" s="476"/>
      <c r="AL533" s="476"/>
      <c r="AM533" s="476"/>
      <c r="AN533" s="476"/>
      <c r="AO533" s="476"/>
      <c r="AP533" s="476"/>
      <c r="AQ533" s="476"/>
      <c r="AR533" s="476"/>
      <c r="AS533" s="476"/>
      <c r="AT533" s="476"/>
    </row>
    <row r="534" spans="1:46" ht="12.75" customHeight="1">
      <c r="A534" s="476"/>
      <c r="B534" s="476"/>
      <c r="C534" s="476"/>
      <c r="D534" s="476"/>
      <c r="E534" s="476"/>
      <c r="F534" s="476"/>
      <c r="G534" s="476"/>
      <c r="H534" s="476"/>
      <c r="I534" s="476"/>
      <c r="J534" s="476"/>
      <c r="K534" s="476"/>
      <c r="L534" s="476"/>
      <c r="M534" s="476"/>
      <c r="N534" s="476"/>
      <c r="O534" s="476"/>
      <c r="P534" s="476"/>
      <c r="Q534" s="476"/>
      <c r="R534" s="476"/>
      <c r="S534" s="476"/>
      <c r="T534" s="476"/>
      <c r="U534" s="476"/>
      <c r="V534" s="476"/>
      <c r="W534" s="476"/>
      <c r="X534" s="476"/>
      <c r="Y534" s="476"/>
      <c r="Z534" s="476"/>
      <c r="AA534" s="476"/>
      <c r="AB534" s="476"/>
      <c r="AC534" s="476"/>
      <c r="AD534" s="476"/>
      <c r="AE534" s="476"/>
      <c r="AF534" s="476"/>
      <c r="AG534" s="476"/>
      <c r="AH534" s="476"/>
      <c r="AI534" s="476"/>
      <c r="AJ534" s="476"/>
      <c r="AK534" s="476"/>
      <c r="AL534" s="476"/>
      <c r="AM534" s="476"/>
      <c r="AN534" s="476"/>
      <c r="AO534" s="476"/>
      <c r="AP534" s="476"/>
      <c r="AQ534" s="476"/>
      <c r="AR534" s="476"/>
      <c r="AS534" s="476"/>
      <c r="AT534" s="476"/>
    </row>
    <row r="535" spans="1:46" ht="12.75" customHeight="1">
      <c r="A535" s="476"/>
      <c r="B535" s="476"/>
      <c r="C535" s="476"/>
      <c r="D535" s="476"/>
      <c r="E535" s="476"/>
      <c r="F535" s="476"/>
      <c r="G535" s="476"/>
      <c r="H535" s="476"/>
      <c r="I535" s="476"/>
      <c r="J535" s="476"/>
      <c r="K535" s="476"/>
      <c r="L535" s="476"/>
      <c r="M535" s="476"/>
      <c r="N535" s="476"/>
      <c r="O535" s="476"/>
      <c r="P535" s="476"/>
      <c r="Q535" s="476"/>
      <c r="R535" s="476"/>
      <c r="S535" s="476"/>
      <c r="T535" s="476"/>
      <c r="U535" s="476"/>
      <c r="V535" s="476"/>
      <c r="W535" s="476"/>
      <c r="X535" s="476"/>
      <c r="Y535" s="476"/>
      <c r="Z535" s="476"/>
      <c r="AA535" s="476"/>
      <c r="AB535" s="476"/>
      <c r="AC535" s="476"/>
      <c r="AD535" s="476"/>
      <c r="AE535" s="476"/>
      <c r="AF535" s="476"/>
      <c r="AG535" s="476"/>
      <c r="AH535" s="476"/>
      <c r="AI535" s="476"/>
      <c r="AJ535" s="476"/>
      <c r="AK535" s="476"/>
      <c r="AL535" s="476"/>
      <c r="AM535" s="476"/>
      <c r="AN535" s="476"/>
      <c r="AO535" s="476"/>
      <c r="AP535" s="476"/>
      <c r="AQ535" s="476"/>
      <c r="AR535" s="476"/>
      <c r="AS535" s="476"/>
      <c r="AT535" s="476"/>
    </row>
    <row r="536" spans="1:46" ht="12.75" customHeight="1">
      <c r="A536" s="476"/>
      <c r="B536" s="476"/>
      <c r="C536" s="476"/>
      <c r="D536" s="476"/>
      <c r="E536" s="476"/>
      <c r="F536" s="476"/>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476"/>
      <c r="AM536" s="476"/>
      <c r="AN536" s="476"/>
      <c r="AO536" s="476"/>
      <c r="AP536" s="476"/>
      <c r="AQ536" s="476"/>
      <c r="AR536" s="476"/>
      <c r="AS536" s="476"/>
      <c r="AT536" s="476"/>
    </row>
    <row r="537" spans="1:46" ht="12.75" customHeight="1">
      <c r="A537" s="476"/>
      <c r="B537" s="476"/>
      <c r="C537" s="476"/>
      <c r="D537" s="476"/>
      <c r="E537" s="476"/>
      <c r="F537" s="476"/>
      <c r="G537" s="476"/>
      <c r="H537" s="476"/>
      <c r="I537" s="476"/>
      <c r="J537" s="476"/>
      <c r="K537" s="476"/>
      <c r="L537" s="476"/>
      <c r="M537" s="476"/>
      <c r="N537" s="476"/>
      <c r="O537" s="476"/>
      <c r="P537" s="476"/>
      <c r="Q537" s="476"/>
      <c r="R537" s="476"/>
      <c r="S537" s="476"/>
      <c r="T537" s="476"/>
      <c r="U537" s="476"/>
      <c r="V537" s="476"/>
      <c r="W537" s="476"/>
      <c r="X537" s="476"/>
      <c r="Y537" s="476"/>
      <c r="Z537" s="476"/>
      <c r="AA537" s="476"/>
      <c r="AB537" s="476"/>
      <c r="AC537" s="476"/>
      <c r="AD537" s="476"/>
      <c r="AE537" s="476"/>
      <c r="AF537" s="476"/>
      <c r="AG537" s="476"/>
      <c r="AH537" s="476"/>
      <c r="AI537" s="476"/>
      <c r="AJ537" s="476"/>
      <c r="AK537" s="476"/>
      <c r="AL537" s="476"/>
      <c r="AM537" s="476"/>
      <c r="AN537" s="476"/>
      <c r="AO537" s="476"/>
      <c r="AP537" s="476"/>
      <c r="AQ537" s="476"/>
      <c r="AR537" s="476"/>
      <c r="AS537" s="476"/>
      <c r="AT537" s="476"/>
    </row>
    <row r="538" spans="1:46" ht="12.75" customHeight="1">
      <c r="A538" s="476"/>
      <c r="B538" s="476"/>
      <c r="C538" s="476"/>
      <c r="D538" s="476"/>
      <c r="E538" s="476"/>
      <c r="F538" s="476"/>
      <c r="G538" s="476"/>
      <c r="H538" s="476"/>
      <c r="I538" s="476"/>
      <c r="J538" s="476"/>
      <c r="K538" s="476"/>
      <c r="L538" s="476"/>
      <c r="M538" s="476"/>
      <c r="N538" s="476"/>
      <c r="O538" s="476"/>
      <c r="P538" s="476"/>
      <c r="Q538" s="476"/>
      <c r="R538" s="476"/>
      <c r="S538" s="476"/>
      <c r="T538" s="476"/>
      <c r="U538" s="476"/>
      <c r="V538" s="476"/>
      <c r="W538" s="476"/>
      <c r="X538" s="476"/>
      <c r="Y538" s="476"/>
      <c r="Z538" s="476"/>
      <c r="AA538" s="476"/>
      <c r="AB538" s="476"/>
      <c r="AC538" s="476"/>
      <c r="AD538" s="476"/>
      <c r="AE538" s="476"/>
      <c r="AF538" s="476"/>
      <c r="AG538" s="476"/>
      <c r="AH538" s="476"/>
      <c r="AI538" s="476"/>
      <c r="AJ538" s="476"/>
      <c r="AK538" s="476"/>
      <c r="AL538" s="476"/>
      <c r="AM538" s="476"/>
      <c r="AN538" s="476"/>
      <c r="AO538" s="476"/>
      <c r="AP538" s="476"/>
      <c r="AQ538" s="476"/>
      <c r="AR538" s="476"/>
      <c r="AS538" s="476"/>
      <c r="AT538" s="476"/>
    </row>
    <row r="539" spans="1:46" ht="12.75" customHeight="1">
      <c r="A539" s="476"/>
      <c r="B539" s="476"/>
      <c r="C539" s="476"/>
      <c r="D539" s="476"/>
      <c r="E539" s="476"/>
      <c r="F539" s="476"/>
      <c r="G539" s="476"/>
      <c r="H539" s="476"/>
      <c r="I539" s="476"/>
      <c r="J539" s="476"/>
      <c r="K539" s="476"/>
      <c r="L539" s="476"/>
      <c r="M539" s="476"/>
      <c r="N539" s="476"/>
      <c r="O539" s="476"/>
      <c r="P539" s="476"/>
      <c r="Q539" s="476"/>
      <c r="R539" s="476"/>
      <c r="S539" s="476"/>
      <c r="T539" s="476"/>
      <c r="U539" s="476"/>
      <c r="V539" s="476"/>
      <c r="W539" s="476"/>
      <c r="X539" s="476"/>
      <c r="Y539" s="476"/>
      <c r="Z539" s="476"/>
      <c r="AA539" s="476"/>
      <c r="AB539" s="476"/>
      <c r="AC539" s="476"/>
      <c r="AD539" s="476"/>
      <c r="AE539" s="476"/>
      <c r="AF539" s="476"/>
      <c r="AG539" s="476"/>
      <c r="AH539" s="476"/>
      <c r="AI539" s="476"/>
      <c r="AJ539" s="476"/>
      <c r="AK539" s="476"/>
      <c r="AL539" s="476"/>
      <c r="AM539" s="476"/>
      <c r="AN539" s="476"/>
      <c r="AO539" s="476"/>
      <c r="AP539" s="476"/>
      <c r="AQ539" s="476"/>
      <c r="AR539" s="476"/>
      <c r="AS539" s="476"/>
      <c r="AT539" s="476"/>
    </row>
    <row r="540" spans="1:46" ht="12.75" customHeight="1">
      <c r="A540" s="476"/>
      <c r="B540" s="476"/>
      <c r="C540" s="476"/>
      <c r="D540" s="476"/>
      <c r="E540" s="476"/>
      <c r="F540" s="476"/>
      <c r="G540" s="476"/>
      <c r="H540" s="476"/>
      <c r="I540" s="476"/>
      <c r="J540" s="476"/>
      <c r="K540" s="476"/>
      <c r="L540" s="476"/>
      <c r="M540" s="476"/>
      <c r="N540" s="476"/>
      <c r="O540" s="476"/>
      <c r="P540" s="476"/>
      <c r="Q540" s="476"/>
      <c r="R540" s="476"/>
      <c r="S540" s="476"/>
      <c r="T540" s="476"/>
      <c r="U540" s="476"/>
      <c r="V540" s="476"/>
      <c r="W540" s="476"/>
      <c r="X540" s="476"/>
      <c r="Y540" s="476"/>
      <c r="Z540" s="476"/>
      <c r="AA540" s="476"/>
      <c r="AB540" s="476"/>
      <c r="AC540" s="476"/>
      <c r="AD540" s="476"/>
      <c r="AE540" s="476"/>
      <c r="AF540" s="476"/>
      <c r="AG540" s="476"/>
      <c r="AH540" s="476"/>
      <c r="AI540" s="476"/>
      <c r="AJ540" s="476"/>
      <c r="AK540" s="476"/>
      <c r="AL540" s="476"/>
      <c r="AM540" s="476"/>
      <c r="AN540" s="476"/>
      <c r="AO540" s="476"/>
      <c r="AP540" s="476"/>
      <c r="AQ540" s="476"/>
      <c r="AR540" s="476"/>
      <c r="AS540" s="476"/>
      <c r="AT540" s="476"/>
    </row>
    <row r="541" spans="1:46" ht="12.75" customHeight="1">
      <c r="A541" s="476"/>
      <c r="B541" s="476"/>
      <c r="C541" s="476"/>
      <c r="D541" s="476"/>
      <c r="E541" s="476"/>
      <c r="F541" s="476"/>
      <c r="G541" s="476"/>
      <c r="H541" s="476"/>
      <c r="I541" s="476"/>
      <c r="J541" s="476"/>
      <c r="K541" s="476"/>
      <c r="L541" s="476"/>
      <c r="M541" s="476"/>
      <c r="N541" s="476"/>
      <c r="O541" s="476"/>
      <c r="P541" s="476"/>
      <c r="Q541" s="476"/>
      <c r="R541" s="476"/>
      <c r="S541" s="476"/>
      <c r="T541" s="476"/>
      <c r="U541" s="476"/>
      <c r="V541" s="476"/>
      <c r="W541" s="476"/>
      <c r="X541" s="476"/>
      <c r="Y541" s="476"/>
      <c r="Z541" s="476"/>
      <c r="AA541" s="476"/>
      <c r="AB541" s="476"/>
      <c r="AC541" s="476"/>
      <c r="AD541" s="476"/>
      <c r="AE541" s="476"/>
      <c r="AF541" s="476"/>
      <c r="AG541" s="476"/>
      <c r="AH541" s="476"/>
      <c r="AI541" s="476"/>
      <c r="AJ541" s="476"/>
      <c r="AK541" s="476"/>
      <c r="AL541" s="476"/>
      <c r="AM541" s="476"/>
      <c r="AN541" s="476"/>
      <c r="AO541" s="476"/>
      <c r="AP541" s="476"/>
      <c r="AQ541" s="476"/>
      <c r="AR541" s="476"/>
      <c r="AS541" s="476"/>
      <c r="AT541" s="476"/>
    </row>
    <row r="542" spans="1:46" ht="12.75" customHeight="1">
      <c r="A542" s="476"/>
      <c r="B542" s="476"/>
      <c r="C542" s="476"/>
      <c r="D542" s="476"/>
      <c r="E542" s="476"/>
      <c r="F542" s="476"/>
      <c r="G542" s="476"/>
      <c r="H542" s="476"/>
      <c r="I542" s="476"/>
      <c r="J542" s="476"/>
      <c r="K542" s="476"/>
      <c r="L542" s="476"/>
      <c r="M542" s="476"/>
      <c r="N542" s="476"/>
      <c r="O542" s="476"/>
      <c r="P542" s="476"/>
      <c r="Q542" s="476"/>
      <c r="R542" s="476"/>
      <c r="S542" s="476"/>
      <c r="T542" s="476"/>
      <c r="U542" s="476"/>
      <c r="V542" s="476"/>
      <c r="W542" s="476"/>
      <c r="X542" s="476"/>
      <c r="Y542" s="476"/>
      <c r="Z542" s="476"/>
      <c r="AA542" s="476"/>
      <c r="AB542" s="476"/>
      <c r="AC542" s="476"/>
      <c r="AD542" s="476"/>
      <c r="AE542" s="476"/>
      <c r="AF542" s="476"/>
      <c r="AG542" s="476"/>
      <c r="AH542" s="476"/>
      <c r="AI542" s="476"/>
      <c r="AJ542" s="476"/>
      <c r="AK542" s="476"/>
      <c r="AL542" s="476"/>
      <c r="AM542" s="476"/>
      <c r="AN542" s="476"/>
      <c r="AO542" s="476"/>
      <c r="AP542" s="476"/>
      <c r="AQ542" s="476"/>
      <c r="AR542" s="476"/>
      <c r="AS542" s="476"/>
      <c r="AT542" s="476"/>
    </row>
    <row r="543" spans="1:46" ht="12.75" customHeight="1">
      <c r="A543" s="476"/>
      <c r="B543" s="476"/>
      <c r="C543" s="476"/>
      <c r="D543" s="476"/>
      <c r="E543" s="476"/>
      <c r="F543" s="476"/>
      <c r="G543" s="476"/>
      <c r="H543" s="476"/>
      <c r="I543" s="476"/>
      <c r="J543" s="476"/>
      <c r="K543" s="476"/>
      <c r="L543" s="476"/>
      <c r="M543" s="476"/>
      <c r="N543" s="476"/>
      <c r="O543" s="476"/>
      <c r="P543" s="476"/>
      <c r="Q543" s="476"/>
      <c r="R543" s="476"/>
      <c r="S543" s="476"/>
      <c r="T543" s="476"/>
      <c r="U543" s="476"/>
      <c r="V543" s="476"/>
      <c r="W543" s="476"/>
      <c r="X543" s="476"/>
      <c r="Y543" s="476"/>
      <c r="Z543" s="476"/>
      <c r="AA543" s="476"/>
      <c r="AB543" s="476"/>
      <c r="AC543" s="476"/>
      <c r="AD543" s="476"/>
      <c r="AE543" s="476"/>
      <c r="AF543" s="476"/>
      <c r="AG543" s="476"/>
      <c r="AH543" s="476"/>
      <c r="AI543" s="476"/>
      <c r="AJ543" s="476"/>
      <c r="AK543" s="476"/>
      <c r="AL543" s="476"/>
      <c r="AM543" s="476"/>
      <c r="AN543" s="476"/>
      <c r="AO543" s="476"/>
      <c r="AP543" s="476"/>
      <c r="AQ543" s="476"/>
      <c r="AR543" s="476"/>
      <c r="AS543" s="476"/>
      <c r="AT543" s="476"/>
    </row>
    <row r="544" spans="1:46" ht="12.75" customHeight="1">
      <c r="A544" s="476"/>
      <c r="B544" s="476"/>
      <c r="C544" s="476"/>
      <c r="D544" s="476"/>
      <c r="E544" s="476"/>
      <c r="F544" s="476"/>
      <c r="G544" s="476"/>
      <c r="H544" s="476"/>
      <c r="I544" s="476"/>
      <c r="J544" s="476"/>
      <c r="K544" s="476"/>
      <c r="L544" s="476"/>
      <c r="M544" s="476"/>
      <c r="N544" s="476"/>
      <c r="O544" s="476"/>
      <c r="P544" s="476"/>
      <c r="Q544" s="476"/>
      <c r="R544" s="476"/>
      <c r="S544" s="476"/>
      <c r="T544" s="476"/>
      <c r="U544" s="476"/>
      <c r="V544" s="476"/>
      <c r="W544" s="476"/>
      <c r="X544" s="476"/>
      <c r="Y544" s="476"/>
      <c r="Z544" s="476"/>
      <c r="AA544" s="476"/>
      <c r="AB544" s="476"/>
      <c r="AC544" s="476"/>
      <c r="AD544" s="476"/>
      <c r="AE544" s="476"/>
      <c r="AF544" s="476"/>
      <c r="AG544" s="476"/>
      <c r="AH544" s="476"/>
      <c r="AI544" s="476"/>
      <c r="AJ544" s="476"/>
      <c r="AK544" s="476"/>
      <c r="AL544" s="476"/>
      <c r="AM544" s="476"/>
      <c r="AN544" s="476"/>
      <c r="AO544" s="476"/>
      <c r="AP544" s="476"/>
      <c r="AQ544" s="476"/>
      <c r="AR544" s="476"/>
      <c r="AS544" s="476"/>
      <c r="AT544" s="476"/>
    </row>
    <row r="545" spans="1:46" ht="12.75" customHeight="1">
      <c r="A545" s="476"/>
      <c r="B545" s="476"/>
      <c r="C545" s="476"/>
      <c r="D545" s="476"/>
      <c r="E545" s="476"/>
      <c r="F545" s="476"/>
      <c r="G545" s="476"/>
      <c r="H545" s="476"/>
      <c r="I545" s="476"/>
      <c r="J545" s="476"/>
      <c r="K545" s="476"/>
      <c r="L545" s="476"/>
      <c r="M545" s="476"/>
      <c r="N545" s="476"/>
      <c r="O545" s="476"/>
      <c r="P545" s="476"/>
      <c r="Q545" s="476"/>
      <c r="R545" s="476"/>
      <c r="S545" s="476"/>
      <c r="T545" s="476"/>
      <c r="U545" s="476"/>
      <c r="V545" s="476"/>
      <c r="W545" s="476"/>
      <c r="X545" s="476"/>
      <c r="Y545" s="476"/>
      <c r="Z545" s="476"/>
      <c r="AA545" s="476"/>
      <c r="AB545" s="476"/>
      <c r="AC545" s="476"/>
      <c r="AD545" s="476"/>
      <c r="AE545" s="476"/>
      <c r="AF545" s="476"/>
      <c r="AG545" s="476"/>
      <c r="AH545" s="476"/>
      <c r="AI545" s="476"/>
      <c r="AJ545" s="476"/>
      <c r="AK545" s="476"/>
      <c r="AL545" s="476"/>
      <c r="AM545" s="476"/>
      <c r="AN545" s="476"/>
      <c r="AO545" s="476"/>
      <c r="AP545" s="476"/>
      <c r="AQ545" s="476"/>
      <c r="AR545" s="476"/>
      <c r="AS545" s="476"/>
      <c r="AT545" s="476"/>
    </row>
    <row r="546" spans="1:46" ht="12.75" customHeight="1">
      <c r="A546" s="476"/>
      <c r="B546" s="476"/>
      <c r="C546" s="476"/>
      <c r="D546" s="476"/>
      <c r="E546" s="476"/>
      <c r="F546" s="476"/>
      <c r="G546" s="476"/>
      <c r="H546" s="476"/>
      <c r="I546" s="476"/>
      <c r="J546" s="476"/>
      <c r="K546" s="476"/>
      <c r="L546" s="476"/>
      <c r="M546" s="476"/>
      <c r="N546" s="476"/>
      <c r="O546" s="476"/>
      <c r="P546" s="476"/>
      <c r="Q546" s="476"/>
      <c r="R546" s="476"/>
      <c r="S546" s="476"/>
      <c r="T546" s="476"/>
      <c r="U546" s="476"/>
      <c r="V546" s="476"/>
      <c r="W546" s="476"/>
      <c r="X546" s="476"/>
      <c r="Y546" s="476"/>
      <c r="Z546" s="476"/>
      <c r="AA546" s="476"/>
      <c r="AB546" s="476"/>
      <c r="AC546" s="476"/>
      <c r="AD546" s="476"/>
      <c r="AE546" s="476"/>
      <c r="AF546" s="476"/>
      <c r="AG546" s="476"/>
      <c r="AH546" s="476"/>
      <c r="AI546" s="476"/>
      <c r="AJ546" s="476"/>
      <c r="AK546" s="476"/>
      <c r="AL546" s="476"/>
      <c r="AM546" s="476"/>
      <c r="AN546" s="476"/>
      <c r="AO546" s="476"/>
      <c r="AP546" s="476"/>
      <c r="AQ546" s="476"/>
      <c r="AR546" s="476"/>
      <c r="AS546" s="476"/>
      <c r="AT546" s="476"/>
    </row>
    <row r="547" spans="1:46" ht="12.75" customHeight="1">
      <c r="A547" s="476"/>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476"/>
      <c r="AD547" s="476"/>
      <c r="AE547" s="476"/>
      <c r="AF547" s="476"/>
      <c r="AG547" s="476"/>
      <c r="AH547" s="476"/>
      <c r="AI547" s="476"/>
      <c r="AJ547" s="476"/>
      <c r="AK547" s="476"/>
      <c r="AL547" s="476"/>
      <c r="AM547" s="476"/>
      <c r="AN547" s="476"/>
      <c r="AO547" s="476"/>
      <c r="AP547" s="476"/>
      <c r="AQ547" s="476"/>
      <c r="AR547" s="476"/>
      <c r="AS547" s="476"/>
      <c r="AT547" s="476"/>
    </row>
    <row r="548" spans="1:46" ht="12.75" customHeight="1">
      <c r="A548" s="476"/>
      <c r="B548" s="476"/>
      <c r="C548" s="476"/>
      <c r="D548" s="476"/>
      <c r="E548" s="476"/>
      <c r="F548" s="476"/>
      <c r="G548" s="476"/>
      <c r="H548" s="476"/>
      <c r="I548" s="476"/>
      <c r="J548" s="476"/>
      <c r="K548" s="476"/>
      <c r="L548" s="476"/>
      <c r="M548" s="476"/>
      <c r="N548" s="476"/>
      <c r="O548" s="476"/>
      <c r="P548" s="476"/>
      <c r="Q548" s="476"/>
      <c r="R548" s="476"/>
      <c r="S548" s="476"/>
      <c r="T548" s="476"/>
      <c r="U548" s="476"/>
      <c r="V548" s="476"/>
      <c r="W548" s="476"/>
      <c r="X548" s="476"/>
      <c r="Y548" s="476"/>
      <c r="Z548" s="476"/>
      <c r="AA548" s="476"/>
      <c r="AB548" s="476"/>
      <c r="AC548" s="476"/>
      <c r="AD548" s="476"/>
      <c r="AE548" s="476"/>
      <c r="AF548" s="476"/>
      <c r="AG548" s="476"/>
      <c r="AH548" s="476"/>
      <c r="AI548" s="476"/>
      <c r="AJ548" s="476"/>
      <c r="AK548" s="476"/>
      <c r="AL548" s="476"/>
      <c r="AM548" s="476"/>
      <c r="AN548" s="476"/>
      <c r="AO548" s="476"/>
      <c r="AP548" s="476"/>
      <c r="AQ548" s="476"/>
      <c r="AR548" s="476"/>
      <c r="AS548" s="476"/>
      <c r="AT548" s="476"/>
    </row>
    <row r="549" spans="1:46" ht="12.75" customHeight="1">
      <c r="A549" s="476"/>
      <c r="B549" s="476"/>
      <c r="C549" s="476"/>
      <c r="D549" s="476"/>
      <c r="E549" s="476"/>
      <c r="F549" s="476"/>
      <c r="G549" s="476"/>
      <c r="H549" s="476"/>
      <c r="I549" s="476"/>
      <c r="J549" s="476"/>
      <c r="K549" s="476"/>
      <c r="L549" s="476"/>
      <c r="M549" s="476"/>
      <c r="N549" s="476"/>
      <c r="O549" s="476"/>
      <c r="P549" s="476"/>
      <c r="Q549" s="476"/>
      <c r="R549" s="476"/>
      <c r="S549" s="476"/>
      <c r="T549" s="476"/>
      <c r="U549" s="476"/>
      <c r="V549" s="476"/>
      <c r="W549" s="476"/>
      <c r="X549" s="476"/>
      <c r="Y549" s="476"/>
      <c r="Z549" s="476"/>
      <c r="AA549" s="476"/>
      <c r="AB549" s="476"/>
      <c r="AC549" s="476"/>
      <c r="AD549" s="476"/>
      <c r="AE549" s="476"/>
      <c r="AF549" s="476"/>
      <c r="AG549" s="476"/>
      <c r="AH549" s="476"/>
      <c r="AI549" s="476"/>
      <c r="AJ549" s="476"/>
      <c r="AK549" s="476"/>
      <c r="AL549" s="476"/>
      <c r="AM549" s="476"/>
      <c r="AN549" s="476"/>
      <c r="AO549" s="476"/>
      <c r="AP549" s="476"/>
      <c r="AQ549" s="476"/>
      <c r="AR549" s="476"/>
      <c r="AS549" s="476"/>
      <c r="AT549" s="476"/>
    </row>
    <row r="550" spans="1:46" ht="12.75" customHeight="1">
      <c r="A550" s="476"/>
      <c r="B550" s="476"/>
      <c r="C550" s="476"/>
      <c r="D550" s="476"/>
      <c r="E550" s="476"/>
      <c r="F550" s="476"/>
      <c r="G550" s="476"/>
      <c r="H550" s="476"/>
      <c r="I550" s="476"/>
      <c r="J550" s="476"/>
      <c r="K550" s="476"/>
      <c r="L550" s="476"/>
      <c r="M550" s="476"/>
      <c r="N550" s="476"/>
      <c r="O550" s="476"/>
      <c r="P550" s="476"/>
      <c r="Q550" s="476"/>
      <c r="R550" s="476"/>
      <c r="S550" s="476"/>
      <c r="T550" s="476"/>
      <c r="U550" s="476"/>
      <c r="V550" s="476"/>
      <c r="W550" s="476"/>
      <c r="X550" s="476"/>
      <c r="Y550" s="476"/>
      <c r="Z550" s="476"/>
      <c r="AA550" s="476"/>
      <c r="AB550" s="476"/>
      <c r="AC550" s="476"/>
      <c r="AD550" s="476"/>
      <c r="AE550" s="476"/>
      <c r="AF550" s="476"/>
      <c r="AG550" s="476"/>
      <c r="AH550" s="476"/>
      <c r="AI550" s="476"/>
      <c r="AJ550" s="476"/>
      <c r="AK550" s="476"/>
      <c r="AL550" s="476"/>
      <c r="AM550" s="476"/>
      <c r="AN550" s="476"/>
      <c r="AO550" s="476"/>
      <c r="AP550" s="476"/>
      <c r="AQ550" s="476"/>
      <c r="AR550" s="476"/>
      <c r="AS550" s="476"/>
      <c r="AT550" s="476"/>
    </row>
    <row r="551" spans="1:46" ht="12.75" customHeight="1">
      <c r="A551" s="476"/>
      <c r="B551" s="476"/>
      <c r="C551" s="476"/>
      <c r="D551" s="476"/>
      <c r="E551" s="476"/>
      <c r="F551" s="476"/>
      <c r="G551" s="476"/>
      <c r="H551" s="476"/>
      <c r="I551" s="476"/>
      <c r="J551" s="476"/>
      <c r="K551" s="476"/>
      <c r="L551" s="476"/>
      <c r="M551" s="476"/>
      <c r="N551" s="476"/>
      <c r="O551" s="476"/>
      <c r="P551" s="476"/>
      <c r="Q551" s="476"/>
      <c r="R551" s="476"/>
      <c r="S551" s="476"/>
      <c r="T551" s="476"/>
      <c r="U551" s="476"/>
      <c r="V551" s="476"/>
      <c r="W551" s="476"/>
      <c r="X551" s="476"/>
      <c r="Y551" s="476"/>
      <c r="Z551" s="476"/>
      <c r="AA551" s="476"/>
      <c r="AB551" s="476"/>
      <c r="AC551" s="476"/>
      <c r="AD551" s="476"/>
      <c r="AE551" s="476"/>
      <c r="AF551" s="476"/>
      <c r="AG551" s="476"/>
      <c r="AH551" s="476"/>
      <c r="AI551" s="476"/>
      <c r="AJ551" s="476"/>
      <c r="AK551" s="476"/>
      <c r="AL551" s="476"/>
      <c r="AM551" s="476"/>
      <c r="AN551" s="476"/>
      <c r="AO551" s="476"/>
      <c r="AP551" s="476"/>
      <c r="AQ551" s="476"/>
      <c r="AR551" s="476"/>
      <c r="AS551" s="476"/>
      <c r="AT551" s="476"/>
    </row>
    <row r="552" spans="1:46" ht="12.75" customHeight="1">
      <c r="A552" s="476"/>
      <c r="B552" s="476"/>
      <c r="C552" s="476"/>
      <c r="D552" s="476"/>
      <c r="E552" s="476"/>
      <c r="F552" s="476"/>
      <c r="G552" s="476"/>
      <c r="H552" s="476"/>
      <c r="I552" s="476"/>
      <c r="J552" s="476"/>
      <c r="K552" s="476"/>
      <c r="L552" s="476"/>
      <c r="M552" s="476"/>
      <c r="N552" s="476"/>
      <c r="O552" s="476"/>
      <c r="P552" s="476"/>
      <c r="Q552" s="476"/>
      <c r="R552" s="476"/>
      <c r="S552" s="476"/>
      <c r="T552" s="476"/>
      <c r="U552" s="476"/>
      <c r="V552" s="476"/>
      <c r="W552" s="476"/>
      <c r="X552" s="476"/>
      <c r="Y552" s="476"/>
      <c r="Z552" s="476"/>
      <c r="AA552" s="476"/>
      <c r="AB552" s="476"/>
      <c r="AC552" s="476"/>
      <c r="AD552" s="476"/>
      <c r="AE552" s="476"/>
      <c r="AF552" s="476"/>
      <c r="AG552" s="476"/>
      <c r="AH552" s="476"/>
      <c r="AI552" s="476"/>
      <c r="AJ552" s="476"/>
      <c r="AK552" s="476"/>
      <c r="AL552" s="476"/>
      <c r="AM552" s="476"/>
      <c r="AN552" s="476"/>
      <c r="AO552" s="476"/>
      <c r="AP552" s="476"/>
      <c r="AQ552" s="476"/>
      <c r="AR552" s="476"/>
      <c r="AS552" s="476"/>
      <c r="AT552" s="476"/>
    </row>
    <row r="553" spans="1:46" ht="12.75" customHeight="1">
      <c r="A553" s="476"/>
      <c r="B553" s="476"/>
      <c r="C553" s="476"/>
      <c r="D553" s="476"/>
      <c r="E553" s="476"/>
      <c r="F553" s="476"/>
      <c r="G553" s="476"/>
      <c r="H553" s="476"/>
      <c r="I553" s="476"/>
      <c r="J553" s="476"/>
      <c r="K553" s="476"/>
      <c r="L553" s="476"/>
      <c r="M553" s="476"/>
      <c r="N553" s="476"/>
      <c r="O553" s="476"/>
      <c r="P553" s="476"/>
      <c r="Q553" s="476"/>
      <c r="R553" s="476"/>
      <c r="S553" s="476"/>
      <c r="T553" s="476"/>
      <c r="U553" s="476"/>
      <c r="V553" s="476"/>
      <c r="W553" s="476"/>
      <c r="X553" s="476"/>
      <c r="Y553" s="476"/>
      <c r="Z553" s="476"/>
      <c r="AA553" s="476"/>
      <c r="AB553" s="476"/>
      <c r="AC553" s="476"/>
      <c r="AD553" s="476"/>
      <c r="AE553" s="476"/>
      <c r="AF553" s="476"/>
      <c r="AG553" s="476"/>
      <c r="AH553" s="476"/>
      <c r="AI553" s="476"/>
      <c r="AJ553" s="476"/>
      <c r="AK553" s="476"/>
      <c r="AL553" s="476"/>
      <c r="AM553" s="476"/>
      <c r="AN553" s="476"/>
      <c r="AO553" s="476"/>
      <c r="AP553" s="476"/>
      <c r="AQ553" s="476"/>
      <c r="AR553" s="476"/>
      <c r="AS553" s="476"/>
      <c r="AT553" s="476"/>
    </row>
    <row r="554" spans="1:46" ht="12.75" customHeight="1">
      <c r="A554" s="476"/>
      <c r="B554" s="476"/>
      <c r="C554" s="476"/>
      <c r="D554" s="476"/>
      <c r="E554" s="476"/>
      <c r="F554" s="476"/>
      <c r="G554" s="476"/>
      <c r="H554" s="476"/>
      <c r="I554" s="476"/>
      <c r="J554" s="476"/>
      <c r="K554" s="476"/>
      <c r="L554" s="476"/>
      <c r="M554" s="476"/>
      <c r="N554" s="476"/>
      <c r="O554" s="476"/>
      <c r="P554" s="476"/>
      <c r="Q554" s="476"/>
      <c r="R554" s="476"/>
      <c r="S554" s="476"/>
      <c r="T554" s="476"/>
      <c r="U554" s="476"/>
      <c r="V554" s="476"/>
      <c r="W554" s="476"/>
      <c r="X554" s="476"/>
      <c r="Y554" s="476"/>
      <c r="Z554" s="476"/>
      <c r="AA554" s="476"/>
      <c r="AB554" s="476"/>
      <c r="AC554" s="476"/>
      <c r="AD554" s="476"/>
      <c r="AE554" s="476"/>
      <c r="AF554" s="476"/>
      <c r="AG554" s="476"/>
      <c r="AH554" s="476"/>
      <c r="AI554" s="476"/>
      <c r="AJ554" s="476"/>
      <c r="AK554" s="476"/>
      <c r="AL554" s="476"/>
      <c r="AM554" s="476"/>
      <c r="AN554" s="476"/>
      <c r="AO554" s="476"/>
      <c r="AP554" s="476"/>
      <c r="AQ554" s="476"/>
      <c r="AR554" s="476"/>
      <c r="AS554" s="476"/>
      <c r="AT554" s="476"/>
    </row>
    <row r="555" spans="1:46" ht="12.75" customHeight="1">
      <c r="A555" s="476"/>
      <c r="B555" s="476"/>
      <c r="C555" s="476"/>
      <c r="D555" s="476"/>
      <c r="E555" s="476"/>
      <c r="F555" s="476"/>
      <c r="G555" s="476"/>
      <c r="H555" s="476"/>
      <c r="I555" s="476"/>
      <c r="J555" s="476"/>
      <c r="K555" s="476"/>
      <c r="L555" s="476"/>
      <c r="M555" s="476"/>
      <c r="N555" s="476"/>
      <c r="O555" s="476"/>
      <c r="P555" s="476"/>
      <c r="Q555" s="476"/>
      <c r="R555" s="476"/>
      <c r="S555" s="476"/>
      <c r="T555" s="476"/>
      <c r="U555" s="476"/>
      <c r="V555" s="476"/>
      <c r="W555" s="476"/>
      <c r="X555" s="476"/>
      <c r="Y555" s="476"/>
      <c r="Z555" s="476"/>
      <c r="AA555" s="476"/>
      <c r="AB555" s="476"/>
      <c r="AC555" s="476"/>
      <c r="AD555" s="476"/>
      <c r="AE555" s="476"/>
      <c r="AF555" s="476"/>
      <c r="AG555" s="476"/>
      <c r="AH555" s="476"/>
      <c r="AI555" s="476"/>
      <c r="AJ555" s="476"/>
      <c r="AK555" s="476"/>
      <c r="AL555" s="476"/>
      <c r="AM555" s="476"/>
      <c r="AN555" s="476"/>
      <c r="AO555" s="476"/>
      <c r="AP555" s="476"/>
      <c r="AQ555" s="476"/>
      <c r="AR555" s="476"/>
      <c r="AS555" s="476"/>
      <c r="AT555" s="476"/>
    </row>
    <row r="556" spans="1:46" ht="12.75" customHeight="1">
      <c r="A556" s="476"/>
      <c r="B556" s="476"/>
      <c r="C556" s="476"/>
      <c r="D556" s="476"/>
      <c r="E556" s="476"/>
      <c r="F556" s="476"/>
      <c r="G556" s="476"/>
      <c r="H556" s="476"/>
      <c r="I556" s="476"/>
      <c r="J556" s="476"/>
      <c r="K556" s="476"/>
      <c r="L556" s="476"/>
      <c r="M556" s="476"/>
      <c r="N556" s="476"/>
      <c r="O556" s="476"/>
      <c r="P556" s="476"/>
      <c r="Q556" s="476"/>
      <c r="R556" s="476"/>
      <c r="S556" s="476"/>
      <c r="T556" s="476"/>
      <c r="U556" s="476"/>
      <c r="V556" s="476"/>
      <c r="W556" s="476"/>
      <c r="X556" s="476"/>
      <c r="Y556" s="476"/>
      <c r="Z556" s="476"/>
      <c r="AA556" s="476"/>
      <c r="AB556" s="476"/>
      <c r="AC556" s="476"/>
      <c r="AD556" s="476"/>
      <c r="AE556" s="476"/>
      <c r="AF556" s="476"/>
      <c r="AG556" s="476"/>
      <c r="AH556" s="476"/>
      <c r="AI556" s="476"/>
      <c r="AJ556" s="476"/>
      <c r="AK556" s="476"/>
      <c r="AL556" s="476"/>
      <c r="AM556" s="476"/>
      <c r="AN556" s="476"/>
      <c r="AO556" s="476"/>
      <c r="AP556" s="476"/>
      <c r="AQ556" s="476"/>
      <c r="AR556" s="476"/>
      <c r="AS556" s="476"/>
      <c r="AT556" s="476"/>
    </row>
    <row r="557" spans="1:46" ht="12.75" customHeight="1">
      <c r="A557" s="476"/>
      <c r="B557" s="476"/>
      <c r="C557" s="476"/>
      <c r="D557" s="476"/>
      <c r="E557" s="476"/>
      <c r="F557" s="476"/>
      <c r="G557" s="476"/>
      <c r="H557" s="476"/>
      <c r="I557" s="476"/>
      <c r="J557" s="476"/>
      <c r="K557" s="476"/>
      <c r="L557" s="476"/>
      <c r="M557" s="476"/>
      <c r="N557" s="476"/>
      <c r="O557" s="476"/>
      <c r="P557" s="476"/>
      <c r="Q557" s="476"/>
      <c r="R557" s="476"/>
      <c r="S557" s="476"/>
      <c r="T557" s="476"/>
      <c r="U557" s="476"/>
      <c r="V557" s="476"/>
      <c r="W557" s="476"/>
      <c r="X557" s="476"/>
      <c r="Y557" s="476"/>
      <c r="Z557" s="476"/>
      <c r="AA557" s="476"/>
      <c r="AB557" s="476"/>
      <c r="AC557" s="476"/>
      <c r="AD557" s="476"/>
      <c r="AE557" s="476"/>
      <c r="AF557" s="476"/>
      <c r="AG557" s="476"/>
      <c r="AH557" s="476"/>
      <c r="AI557" s="476"/>
      <c r="AJ557" s="476"/>
      <c r="AK557" s="476"/>
      <c r="AL557" s="476"/>
      <c r="AM557" s="476"/>
      <c r="AN557" s="476"/>
      <c r="AO557" s="476"/>
      <c r="AP557" s="476"/>
      <c r="AQ557" s="476"/>
      <c r="AR557" s="476"/>
      <c r="AS557" s="476"/>
      <c r="AT557" s="476"/>
    </row>
    <row r="558" spans="1:46" ht="12.75" customHeight="1">
      <c r="A558" s="476"/>
      <c r="B558" s="476"/>
      <c r="C558" s="476"/>
      <c r="D558" s="476"/>
      <c r="E558" s="476"/>
      <c r="F558" s="476"/>
      <c r="G558" s="476"/>
      <c r="H558" s="476"/>
      <c r="I558" s="476"/>
      <c r="J558" s="476"/>
      <c r="K558" s="476"/>
      <c r="L558" s="476"/>
      <c r="M558" s="476"/>
      <c r="N558" s="476"/>
      <c r="O558" s="476"/>
      <c r="P558" s="476"/>
      <c r="Q558" s="476"/>
      <c r="R558" s="476"/>
      <c r="S558" s="476"/>
      <c r="T558" s="476"/>
      <c r="U558" s="476"/>
      <c r="V558" s="476"/>
      <c r="W558" s="476"/>
      <c r="X558" s="476"/>
      <c r="Y558" s="476"/>
      <c r="Z558" s="476"/>
      <c r="AA558" s="476"/>
      <c r="AB558" s="476"/>
      <c r="AC558" s="476"/>
      <c r="AD558" s="476"/>
      <c r="AE558" s="476"/>
      <c r="AF558" s="476"/>
      <c r="AG558" s="476"/>
      <c r="AH558" s="476"/>
      <c r="AI558" s="476"/>
      <c r="AJ558" s="476"/>
      <c r="AK558" s="476"/>
      <c r="AL558" s="476"/>
      <c r="AM558" s="476"/>
      <c r="AN558" s="476"/>
      <c r="AO558" s="476"/>
      <c r="AP558" s="476"/>
      <c r="AQ558" s="476"/>
      <c r="AR558" s="476"/>
      <c r="AS558" s="476"/>
      <c r="AT558" s="476"/>
    </row>
    <row r="559" spans="1:46" ht="12.75" customHeight="1">
      <c r="A559" s="476"/>
      <c r="B559" s="476"/>
      <c r="C559" s="476"/>
      <c r="D559" s="476"/>
      <c r="E559" s="476"/>
      <c r="F559" s="476"/>
      <c r="G559" s="476"/>
      <c r="H559" s="476"/>
      <c r="I559" s="476"/>
      <c r="J559" s="476"/>
      <c r="K559" s="476"/>
      <c r="L559" s="476"/>
      <c r="M559" s="476"/>
      <c r="N559" s="476"/>
      <c r="O559" s="476"/>
      <c r="P559" s="476"/>
      <c r="Q559" s="476"/>
      <c r="R559" s="476"/>
      <c r="S559" s="476"/>
      <c r="T559" s="476"/>
      <c r="U559" s="476"/>
      <c r="V559" s="476"/>
      <c r="W559" s="476"/>
      <c r="X559" s="476"/>
      <c r="Y559" s="476"/>
      <c r="Z559" s="476"/>
      <c r="AA559" s="476"/>
      <c r="AB559" s="476"/>
      <c r="AC559" s="476"/>
      <c r="AD559" s="476"/>
      <c r="AE559" s="476"/>
      <c r="AF559" s="476"/>
      <c r="AG559" s="476"/>
      <c r="AH559" s="476"/>
      <c r="AI559" s="476"/>
      <c r="AJ559" s="476"/>
      <c r="AK559" s="476"/>
      <c r="AL559" s="476"/>
      <c r="AM559" s="476"/>
      <c r="AN559" s="476"/>
      <c r="AO559" s="476"/>
      <c r="AP559" s="476"/>
      <c r="AQ559" s="476"/>
      <c r="AR559" s="476"/>
      <c r="AS559" s="476"/>
      <c r="AT559" s="476"/>
    </row>
    <row r="560" spans="1:46" ht="12.75" customHeight="1">
      <c r="A560" s="476"/>
      <c r="B560" s="476"/>
      <c r="C560" s="476"/>
      <c r="D560" s="476"/>
      <c r="E560" s="476"/>
      <c r="F560" s="476"/>
      <c r="G560" s="476"/>
      <c r="H560" s="476"/>
      <c r="I560" s="476"/>
      <c r="J560" s="476"/>
      <c r="K560" s="476"/>
      <c r="L560" s="476"/>
      <c r="M560" s="476"/>
      <c r="N560" s="476"/>
      <c r="O560" s="476"/>
      <c r="P560" s="476"/>
      <c r="Q560" s="476"/>
      <c r="R560" s="476"/>
      <c r="S560" s="476"/>
      <c r="T560" s="476"/>
      <c r="U560" s="476"/>
      <c r="V560" s="476"/>
      <c r="W560" s="476"/>
      <c r="X560" s="476"/>
      <c r="Y560" s="476"/>
      <c r="Z560" s="476"/>
      <c r="AA560" s="476"/>
      <c r="AB560" s="476"/>
      <c r="AC560" s="476"/>
      <c r="AD560" s="476"/>
      <c r="AE560" s="476"/>
      <c r="AF560" s="476"/>
      <c r="AG560" s="476"/>
      <c r="AH560" s="476"/>
      <c r="AI560" s="476"/>
      <c r="AJ560" s="476"/>
      <c r="AK560" s="476"/>
      <c r="AL560" s="476"/>
      <c r="AM560" s="476"/>
      <c r="AN560" s="476"/>
      <c r="AO560" s="476"/>
      <c r="AP560" s="476"/>
      <c r="AQ560" s="476"/>
      <c r="AR560" s="476"/>
      <c r="AS560" s="476"/>
      <c r="AT560" s="476"/>
    </row>
    <row r="561" spans="1:46" ht="12.75" customHeight="1">
      <c r="A561" s="476"/>
      <c r="B561" s="476"/>
      <c r="C561" s="476"/>
      <c r="D561" s="476"/>
      <c r="E561" s="476"/>
      <c r="F561" s="476"/>
      <c r="G561" s="476"/>
      <c r="H561" s="476"/>
      <c r="I561" s="476"/>
      <c r="J561" s="476"/>
      <c r="K561" s="476"/>
      <c r="L561" s="476"/>
      <c r="M561" s="476"/>
      <c r="N561" s="476"/>
      <c r="O561" s="476"/>
      <c r="P561" s="476"/>
      <c r="Q561" s="476"/>
      <c r="R561" s="476"/>
      <c r="S561" s="476"/>
      <c r="T561" s="476"/>
      <c r="U561" s="476"/>
      <c r="V561" s="476"/>
      <c r="W561" s="476"/>
      <c r="X561" s="476"/>
      <c r="Y561" s="476"/>
      <c r="Z561" s="476"/>
      <c r="AA561" s="476"/>
      <c r="AB561" s="476"/>
      <c r="AC561" s="476"/>
      <c r="AD561" s="476"/>
      <c r="AE561" s="476"/>
      <c r="AF561" s="476"/>
      <c r="AG561" s="476"/>
      <c r="AH561" s="476"/>
      <c r="AI561" s="476"/>
      <c r="AJ561" s="476"/>
      <c r="AK561" s="476"/>
      <c r="AL561" s="476"/>
      <c r="AM561" s="476"/>
      <c r="AN561" s="476"/>
      <c r="AO561" s="476"/>
      <c r="AP561" s="476"/>
      <c r="AQ561" s="476"/>
      <c r="AR561" s="476"/>
      <c r="AS561" s="476"/>
      <c r="AT561" s="476"/>
    </row>
    <row r="562" spans="1:46" ht="12.75" customHeight="1">
      <c r="A562" s="476"/>
      <c r="B562" s="476"/>
      <c r="C562" s="476"/>
      <c r="D562" s="476"/>
      <c r="E562" s="476"/>
      <c r="F562" s="476"/>
      <c r="G562" s="476"/>
      <c r="H562" s="476"/>
      <c r="I562" s="476"/>
      <c r="J562" s="476"/>
      <c r="K562" s="476"/>
      <c r="L562" s="476"/>
      <c r="M562" s="476"/>
      <c r="N562" s="476"/>
      <c r="O562" s="476"/>
      <c r="P562" s="476"/>
      <c r="Q562" s="476"/>
      <c r="R562" s="476"/>
      <c r="S562" s="476"/>
      <c r="T562" s="476"/>
      <c r="U562" s="476"/>
      <c r="V562" s="476"/>
      <c r="W562" s="476"/>
      <c r="X562" s="476"/>
      <c r="Y562" s="476"/>
      <c r="Z562" s="476"/>
      <c r="AA562" s="476"/>
      <c r="AB562" s="476"/>
      <c r="AC562" s="476"/>
      <c r="AD562" s="476"/>
      <c r="AE562" s="476"/>
      <c r="AF562" s="476"/>
      <c r="AG562" s="476"/>
      <c r="AH562" s="476"/>
      <c r="AI562" s="476"/>
      <c r="AJ562" s="476"/>
      <c r="AK562" s="476"/>
      <c r="AL562" s="476"/>
      <c r="AM562" s="476"/>
      <c r="AN562" s="476"/>
      <c r="AO562" s="476"/>
      <c r="AP562" s="476"/>
      <c r="AQ562" s="476"/>
      <c r="AR562" s="476"/>
      <c r="AS562" s="476"/>
      <c r="AT562" s="476"/>
    </row>
    <row r="563" spans="1:46" ht="12.75" customHeight="1">
      <c r="A563" s="476"/>
      <c r="B563" s="476"/>
      <c r="C563" s="476"/>
      <c r="D563" s="476"/>
      <c r="E563" s="476"/>
      <c r="F563" s="476"/>
      <c r="G563" s="476"/>
      <c r="H563" s="476"/>
      <c r="I563" s="476"/>
      <c r="J563" s="476"/>
      <c r="K563" s="476"/>
      <c r="L563" s="476"/>
      <c r="M563" s="476"/>
      <c r="N563" s="476"/>
      <c r="O563" s="476"/>
      <c r="P563" s="476"/>
      <c r="Q563" s="476"/>
      <c r="R563" s="476"/>
      <c r="S563" s="476"/>
      <c r="T563" s="476"/>
      <c r="U563" s="476"/>
      <c r="V563" s="476"/>
      <c r="W563" s="476"/>
      <c r="X563" s="476"/>
      <c r="Y563" s="476"/>
      <c r="Z563" s="476"/>
      <c r="AA563" s="476"/>
      <c r="AB563" s="476"/>
      <c r="AC563" s="476"/>
      <c r="AD563" s="476"/>
      <c r="AE563" s="476"/>
      <c r="AF563" s="476"/>
      <c r="AG563" s="476"/>
      <c r="AH563" s="476"/>
      <c r="AI563" s="476"/>
      <c r="AJ563" s="476"/>
      <c r="AK563" s="476"/>
      <c r="AL563" s="476"/>
      <c r="AM563" s="476"/>
      <c r="AN563" s="476"/>
      <c r="AO563" s="476"/>
      <c r="AP563" s="476"/>
      <c r="AQ563" s="476"/>
      <c r="AR563" s="476"/>
      <c r="AS563" s="476"/>
      <c r="AT563" s="476"/>
    </row>
    <row r="564" spans="1:46" ht="12.75" customHeight="1">
      <c r="A564" s="476"/>
      <c r="B564" s="476"/>
      <c r="C564" s="476"/>
      <c r="D564" s="476"/>
      <c r="E564" s="476"/>
      <c r="F564" s="476"/>
      <c r="G564" s="476"/>
      <c r="H564" s="476"/>
      <c r="I564" s="476"/>
      <c r="J564" s="476"/>
      <c r="K564" s="476"/>
      <c r="L564" s="476"/>
      <c r="M564" s="476"/>
      <c r="N564" s="476"/>
      <c r="O564" s="476"/>
      <c r="P564" s="476"/>
      <c r="Q564" s="476"/>
      <c r="R564" s="476"/>
      <c r="S564" s="476"/>
      <c r="T564" s="476"/>
      <c r="U564" s="476"/>
      <c r="V564" s="476"/>
      <c r="W564" s="476"/>
      <c r="X564" s="476"/>
      <c r="Y564" s="476"/>
      <c r="Z564" s="476"/>
      <c r="AA564" s="476"/>
      <c r="AB564" s="476"/>
      <c r="AC564" s="476"/>
      <c r="AD564" s="476"/>
      <c r="AE564" s="476"/>
      <c r="AF564" s="476"/>
      <c r="AG564" s="476"/>
      <c r="AH564" s="476"/>
      <c r="AI564" s="476"/>
      <c r="AJ564" s="476"/>
      <c r="AK564" s="476"/>
      <c r="AL564" s="476"/>
      <c r="AM564" s="476"/>
      <c r="AN564" s="476"/>
      <c r="AO564" s="476"/>
      <c r="AP564" s="476"/>
      <c r="AQ564" s="476"/>
      <c r="AR564" s="476"/>
      <c r="AS564" s="476"/>
      <c r="AT564" s="476"/>
    </row>
    <row r="565" spans="1:46" ht="12.75" customHeight="1">
      <c r="A565" s="476"/>
      <c r="B565" s="476"/>
      <c r="C565" s="476"/>
      <c r="D565" s="476"/>
      <c r="E565" s="476"/>
      <c r="F565" s="476"/>
      <c r="G565" s="476"/>
      <c r="H565" s="476"/>
      <c r="I565" s="476"/>
      <c r="J565" s="476"/>
      <c r="K565" s="476"/>
      <c r="L565" s="476"/>
      <c r="M565" s="476"/>
      <c r="N565" s="476"/>
      <c r="O565" s="476"/>
      <c r="P565" s="476"/>
      <c r="Q565" s="476"/>
      <c r="R565" s="476"/>
      <c r="S565" s="476"/>
      <c r="T565" s="476"/>
      <c r="U565" s="476"/>
      <c r="V565" s="476"/>
      <c r="W565" s="476"/>
      <c r="X565" s="476"/>
      <c r="Y565" s="476"/>
      <c r="Z565" s="476"/>
      <c r="AA565" s="476"/>
      <c r="AB565" s="476"/>
      <c r="AC565" s="476"/>
      <c r="AD565" s="476"/>
      <c r="AE565" s="476"/>
      <c r="AF565" s="476"/>
      <c r="AG565" s="476"/>
      <c r="AH565" s="476"/>
      <c r="AI565" s="476"/>
      <c r="AJ565" s="476"/>
      <c r="AK565" s="476"/>
      <c r="AL565" s="476"/>
      <c r="AM565" s="476"/>
      <c r="AN565" s="476"/>
      <c r="AO565" s="476"/>
      <c r="AP565" s="476"/>
      <c r="AQ565" s="476"/>
      <c r="AR565" s="476"/>
      <c r="AS565" s="476"/>
      <c r="AT565" s="476"/>
    </row>
    <row r="566" spans="1:46" ht="12.75" customHeight="1">
      <c r="A566" s="476"/>
      <c r="B566" s="476"/>
      <c r="C566" s="476"/>
      <c r="D566" s="476"/>
      <c r="E566" s="476"/>
      <c r="F566" s="476"/>
      <c r="G566" s="476"/>
      <c r="H566" s="476"/>
      <c r="I566" s="476"/>
      <c r="J566" s="476"/>
      <c r="K566" s="476"/>
      <c r="L566" s="476"/>
      <c r="M566" s="476"/>
      <c r="N566" s="476"/>
      <c r="O566" s="476"/>
      <c r="P566" s="476"/>
      <c r="Q566" s="476"/>
      <c r="R566" s="476"/>
      <c r="S566" s="476"/>
      <c r="T566" s="476"/>
      <c r="U566" s="476"/>
      <c r="V566" s="476"/>
      <c r="W566" s="476"/>
      <c r="X566" s="476"/>
      <c r="Y566" s="476"/>
      <c r="Z566" s="476"/>
      <c r="AA566" s="476"/>
      <c r="AB566" s="476"/>
      <c r="AC566" s="476"/>
      <c r="AD566" s="476"/>
      <c r="AE566" s="476"/>
      <c r="AF566" s="476"/>
      <c r="AG566" s="476"/>
      <c r="AH566" s="476"/>
      <c r="AI566" s="476"/>
      <c r="AJ566" s="476"/>
      <c r="AK566" s="476"/>
      <c r="AL566" s="476"/>
      <c r="AM566" s="476"/>
      <c r="AN566" s="476"/>
      <c r="AO566" s="476"/>
      <c r="AP566" s="476"/>
      <c r="AQ566" s="476"/>
      <c r="AR566" s="476"/>
      <c r="AS566" s="476"/>
      <c r="AT566" s="476"/>
    </row>
    <row r="567" spans="1:46" ht="12.75" customHeight="1">
      <c r="A567" s="476"/>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6"/>
      <c r="AT567" s="476"/>
    </row>
    <row r="568" spans="1:46" ht="12.75" customHeight="1">
      <c r="A568" s="476"/>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6"/>
      <c r="AT568" s="476"/>
    </row>
    <row r="569" spans="1:46" ht="12.75" customHeight="1">
      <c r="A569" s="476"/>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6"/>
      <c r="AT569" s="476"/>
    </row>
    <row r="570" spans="1:46" ht="12.75" customHeight="1">
      <c r="A570" s="476"/>
      <c r="B570" s="476"/>
      <c r="C570" s="476"/>
      <c r="D570" s="476"/>
      <c r="E570" s="476"/>
      <c r="F570" s="476"/>
      <c r="G570" s="476"/>
      <c r="H570" s="476"/>
      <c r="I570" s="476"/>
      <c r="J570" s="476"/>
      <c r="K570" s="476"/>
      <c r="L570" s="476"/>
      <c r="M570" s="476"/>
      <c r="N570" s="476"/>
      <c r="O570" s="476"/>
      <c r="P570" s="476"/>
      <c r="Q570" s="476"/>
      <c r="R570" s="476"/>
      <c r="S570" s="476"/>
      <c r="T570" s="476"/>
      <c r="U570" s="476"/>
      <c r="V570" s="476"/>
      <c r="W570" s="476"/>
      <c r="X570" s="476"/>
      <c r="Y570" s="476"/>
      <c r="Z570" s="476"/>
      <c r="AA570" s="476"/>
      <c r="AB570" s="476"/>
      <c r="AC570" s="476"/>
      <c r="AD570" s="476"/>
      <c r="AE570" s="476"/>
      <c r="AF570" s="476"/>
      <c r="AG570" s="476"/>
      <c r="AH570" s="476"/>
      <c r="AI570" s="476"/>
      <c r="AJ570" s="476"/>
      <c r="AK570" s="476"/>
      <c r="AL570" s="476"/>
      <c r="AM570" s="476"/>
      <c r="AN570" s="476"/>
      <c r="AO570" s="476"/>
      <c r="AP570" s="476"/>
      <c r="AQ570" s="476"/>
      <c r="AR570" s="476"/>
      <c r="AS570" s="476"/>
      <c r="AT570" s="476"/>
    </row>
    <row r="571" spans="1:46" ht="12.75" customHeight="1">
      <c r="A571" s="476"/>
      <c r="B571" s="476"/>
      <c r="C571" s="476"/>
      <c r="D571" s="476"/>
      <c r="E571" s="476"/>
      <c r="F571" s="476"/>
      <c r="G571" s="476"/>
      <c r="H571" s="476"/>
      <c r="I571" s="476"/>
      <c r="J571" s="476"/>
      <c r="K571" s="476"/>
      <c r="L571" s="476"/>
      <c r="M571" s="476"/>
      <c r="N571" s="476"/>
      <c r="O571" s="476"/>
      <c r="P571" s="476"/>
      <c r="Q571" s="476"/>
      <c r="R571" s="476"/>
      <c r="S571" s="476"/>
      <c r="T571" s="476"/>
      <c r="U571" s="476"/>
      <c r="V571" s="476"/>
      <c r="W571" s="476"/>
      <c r="X571" s="476"/>
      <c r="Y571" s="476"/>
      <c r="Z571" s="476"/>
      <c r="AA571" s="476"/>
      <c r="AB571" s="476"/>
      <c r="AC571" s="476"/>
      <c r="AD571" s="476"/>
      <c r="AE571" s="476"/>
      <c r="AF571" s="476"/>
      <c r="AG571" s="476"/>
      <c r="AH571" s="476"/>
      <c r="AI571" s="476"/>
      <c r="AJ571" s="476"/>
      <c r="AK571" s="476"/>
      <c r="AL571" s="476"/>
      <c r="AM571" s="476"/>
      <c r="AN571" s="476"/>
      <c r="AO571" s="476"/>
      <c r="AP571" s="476"/>
      <c r="AQ571" s="476"/>
      <c r="AR571" s="476"/>
      <c r="AS571" s="476"/>
      <c r="AT571" s="476"/>
    </row>
    <row r="572" spans="1:46" ht="12.75" customHeight="1">
      <c r="A572" s="476"/>
      <c r="B572" s="476"/>
      <c r="C572" s="476"/>
      <c r="D572" s="476"/>
      <c r="E572" s="476"/>
      <c r="F572" s="476"/>
      <c r="G572" s="476"/>
      <c r="H572" s="476"/>
      <c r="I572" s="476"/>
      <c r="J572" s="476"/>
      <c r="K572" s="476"/>
      <c r="L572" s="476"/>
      <c r="M572" s="476"/>
      <c r="N572" s="476"/>
      <c r="O572" s="476"/>
      <c r="P572" s="476"/>
      <c r="Q572" s="476"/>
      <c r="R572" s="476"/>
      <c r="S572" s="476"/>
      <c r="T572" s="476"/>
      <c r="U572" s="476"/>
      <c r="V572" s="476"/>
      <c r="W572" s="476"/>
      <c r="X572" s="476"/>
      <c r="Y572" s="476"/>
      <c r="Z572" s="476"/>
      <c r="AA572" s="476"/>
      <c r="AB572" s="476"/>
      <c r="AC572" s="476"/>
      <c r="AD572" s="476"/>
      <c r="AE572" s="476"/>
      <c r="AF572" s="476"/>
      <c r="AG572" s="476"/>
      <c r="AH572" s="476"/>
      <c r="AI572" s="476"/>
      <c r="AJ572" s="476"/>
      <c r="AK572" s="476"/>
      <c r="AL572" s="476"/>
      <c r="AM572" s="476"/>
      <c r="AN572" s="476"/>
      <c r="AO572" s="476"/>
      <c r="AP572" s="476"/>
      <c r="AQ572" s="476"/>
      <c r="AR572" s="476"/>
      <c r="AS572" s="476"/>
      <c r="AT572" s="476"/>
    </row>
    <row r="573" spans="1:46" ht="12.75" customHeight="1">
      <c r="A573" s="476"/>
      <c r="B573" s="476"/>
      <c r="C573" s="476"/>
      <c r="D573" s="476"/>
      <c r="E573" s="476"/>
      <c r="F573" s="476"/>
      <c r="G573" s="476"/>
      <c r="H573" s="476"/>
      <c r="I573" s="476"/>
      <c r="J573" s="476"/>
      <c r="K573" s="476"/>
      <c r="L573" s="476"/>
      <c r="M573" s="476"/>
      <c r="N573" s="476"/>
      <c r="O573" s="476"/>
      <c r="P573" s="476"/>
      <c r="Q573" s="476"/>
      <c r="R573" s="476"/>
      <c r="S573" s="476"/>
      <c r="T573" s="476"/>
      <c r="U573" s="476"/>
      <c r="V573" s="476"/>
      <c r="W573" s="476"/>
      <c r="X573" s="476"/>
      <c r="Y573" s="476"/>
      <c r="Z573" s="476"/>
      <c r="AA573" s="476"/>
      <c r="AB573" s="476"/>
      <c r="AC573" s="476"/>
      <c r="AD573" s="476"/>
      <c r="AE573" s="476"/>
      <c r="AF573" s="476"/>
      <c r="AG573" s="476"/>
      <c r="AH573" s="476"/>
      <c r="AI573" s="476"/>
      <c r="AJ573" s="476"/>
      <c r="AK573" s="476"/>
      <c r="AL573" s="476"/>
      <c r="AM573" s="476"/>
      <c r="AN573" s="476"/>
      <c r="AO573" s="476"/>
      <c r="AP573" s="476"/>
      <c r="AQ573" s="476"/>
      <c r="AR573" s="476"/>
      <c r="AS573" s="476"/>
      <c r="AT573" s="476"/>
    </row>
    <row r="574" spans="1:46" ht="12.75" customHeight="1">
      <c r="A574" s="476"/>
      <c r="B574" s="476"/>
      <c r="C574" s="476"/>
      <c r="D574" s="476"/>
      <c r="E574" s="476"/>
      <c r="F574" s="476"/>
      <c r="G574" s="476"/>
      <c r="H574" s="476"/>
      <c r="I574" s="476"/>
      <c r="J574" s="476"/>
      <c r="K574" s="476"/>
      <c r="L574" s="476"/>
      <c r="M574" s="476"/>
      <c r="N574" s="476"/>
      <c r="O574" s="476"/>
      <c r="P574" s="476"/>
      <c r="Q574" s="476"/>
      <c r="R574" s="476"/>
      <c r="S574" s="476"/>
      <c r="T574" s="476"/>
      <c r="U574" s="476"/>
      <c r="V574" s="476"/>
      <c r="W574" s="476"/>
      <c r="X574" s="476"/>
      <c r="Y574" s="476"/>
      <c r="Z574" s="476"/>
      <c r="AA574" s="476"/>
      <c r="AB574" s="476"/>
      <c r="AC574" s="476"/>
      <c r="AD574" s="476"/>
      <c r="AE574" s="476"/>
      <c r="AF574" s="476"/>
      <c r="AG574" s="476"/>
      <c r="AH574" s="476"/>
      <c r="AI574" s="476"/>
      <c r="AJ574" s="476"/>
      <c r="AK574" s="476"/>
      <c r="AL574" s="476"/>
      <c r="AM574" s="476"/>
      <c r="AN574" s="476"/>
      <c r="AO574" s="476"/>
      <c r="AP574" s="476"/>
      <c r="AQ574" s="476"/>
      <c r="AR574" s="476"/>
      <c r="AS574" s="476"/>
      <c r="AT574" s="476"/>
    </row>
    <row r="575" spans="1:46" ht="12.75" customHeight="1">
      <c r="A575" s="476"/>
      <c r="B575" s="476"/>
      <c r="C575" s="476"/>
      <c r="D575" s="476"/>
      <c r="E575" s="476"/>
      <c r="F575" s="476"/>
      <c r="G575" s="476"/>
      <c r="H575" s="476"/>
      <c r="I575" s="476"/>
      <c r="J575" s="476"/>
      <c r="K575" s="476"/>
      <c r="L575" s="476"/>
      <c r="M575" s="476"/>
      <c r="N575" s="476"/>
      <c r="O575" s="476"/>
      <c r="P575" s="476"/>
      <c r="Q575" s="476"/>
      <c r="R575" s="476"/>
      <c r="S575" s="476"/>
      <c r="T575" s="476"/>
      <c r="U575" s="476"/>
      <c r="V575" s="476"/>
      <c r="W575" s="476"/>
      <c r="X575" s="476"/>
      <c r="Y575" s="476"/>
      <c r="Z575" s="476"/>
      <c r="AA575" s="476"/>
      <c r="AB575" s="476"/>
      <c r="AC575" s="476"/>
      <c r="AD575" s="476"/>
      <c r="AE575" s="476"/>
      <c r="AF575" s="476"/>
      <c r="AG575" s="476"/>
      <c r="AH575" s="476"/>
      <c r="AI575" s="476"/>
      <c r="AJ575" s="476"/>
      <c r="AK575" s="476"/>
      <c r="AL575" s="476"/>
      <c r="AM575" s="476"/>
      <c r="AN575" s="476"/>
      <c r="AO575" s="476"/>
      <c r="AP575" s="476"/>
      <c r="AQ575" s="476"/>
      <c r="AR575" s="476"/>
      <c r="AS575" s="476"/>
      <c r="AT575" s="476"/>
    </row>
    <row r="576" spans="1:46" ht="12.75" customHeight="1">
      <c r="A576" s="476"/>
      <c r="B576" s="476"/>
      <c r="C576" s="476"/>
      <c r="D576" s="476"/>
      <c r="E576" s="476"/>
      <c r="F576" s="476"/>
      <c r="G576" s="476"/>
      <c r="H576" s="476"/>
      <c r="I576" s="476"/>
      <c r="J576" s="476"/>
      <c r="K576" s="476"/>
      <c r="L576" s="476"/>
      <c r="M576" s="476"/>
      <c r="N576" s="476"/>
      <c r="O576" s="476"/>
      <c r="P576" s="476"/>
      <c r="Q576" s="476"/>
      <c r="R576" s="476"/>
      <c r="S576" s="476"/>
      <c r="T576" s="476"/>
      <c r="U576" s="476"/>
      <c r="V576" s="476"/>
      <c r="W576" s="476"/>
      <c r="X576" s="476"/>
      <c r="Y576" s="476"/>
      <c r="Z576" s="476"/>
      <c r="AA576" s="476"/>
      <c r="AB576" s="476"/>
      <c r="AC576" s="476"/>
      <c r="AD576" s="476"/>
      <c r="AE576" s="476"/>
      <c r="AF576" s="476"/>
      <c r="AG576" s="476"/>
      <c r="AH576" s="476"/>
      <c r="AI576" s="476"/>
      <c r="AJ576" s="476"/>
      <c r="AK576" s="476"/>
      <c r="AL576" s="476"/>
      <c r="AM576" s="476"/>
      <c r="AN576" s="476"/>
      <c r="AO576" s="476"/>
      <c r="AP576" s="476"/>
      <c r="AQ576" s="476"/>
      <c r="AR576" s="476"/>
      <c r="AS576" s="476"/>
      <c r="AT576" s="476"/>
    </row>
    <row r="577" spans="1:46" ht="12.75" customHeight="1">
      <c r="A577" s="476"/>
      <c r="B577" s="476"/>
      <c r="C577" s="476"/>
      <c r="D577" s="476"/>
      <c r="E577" s="476"/>
      <c r="F577" s="476"/>
      <c r="G577" s="476"/>
      <c r="H577" s="476"/>
      <c r="I577" s="476"/>
      <c r="J577" s="476"/>
      <c r="K577" s="476"/>
      <c r="L577" s="476"/>
      <c r="M577" s="476"/>
      <c r="N577" s="476"/>
      <c r="O577" s="476"/>
      <c r="P577" s="476"/>
      <c r="Q577" s="476"/>
      <c r="R577" s="476"/>
      <c r="S577" s="476"/>
      <c r="T577" s="476"/>
      <c r="U577" s="476"/>
      <c r="V577" s="476"/>
      <c r="W577" s="476"/>
      <c r="X577" s="476"/>
      <c r="Y577" s="476"/>
      <c r="Z577" s="476"/>
      <c r="AA577" s="476"/>
      <c r="AB577" s="476"/>
      <c r="AC577" s="476"/>
      <c r="AD577" s="476"/>
      <c r="AE577" s="476"/>
      <c r="AF577" s="476"/>
      <c r="AG577" s="476"/>
      <c r="AH577" s="476"/>
      <c r="AI577" s="476"/>
      <c r="AJ577" s="476"/>
      <c r="AK577" s="476"/>
      <c r="AL577" s="476"/>
      <c r="AM577" s="476"/>
      <c r="AN577" s="476"/>
      <c r="AO577" s="476"/>
      <c r="AP577" s="476"/>
      <c r="AQ577" s="476"/>
      <c r="AR577" s="476"/>
      <c r="AS577" s="476"/>
      <c r="AT577" s="476"/>
    </row>
    <row r="578" spans="1:46" ht="12.75" customHeight="1">
      <c r="A578" s="476"/>
      <c r="B578" s="476"/>
      <c r="C578" s="476"/>
      <c r="D578" s="476"/>
      <c r="E578" s="476"/>
      <c r="F578" s="476"/>
      <c r="G578" s="476"/>
      <c r="H578" s="476"/>
      <c r="I578" s="476"/>
      <c r="J578" s="476"/>
      <c r="K578" s="476"/>
      <c r="L578" s="476"/>
      <c r="M578" s="476"/>
      <c r="N578" s="476"/>
      <c r="O578" s="476"/>
      <c r="P578" s="476"/>
      <c r="Q578" s="476"/>
      <c r="R578" s="476"/>
      <c r="S578" s="476"/>
      <c r="T578" s="476"/>
      <c r="U578" s="476"/>
      <c r="V578" s="476"/>
      <c r="W578" s="476"/>
      <c r="X578" s="476"/>
      <c r="Y578" s="476"/>
      <c r="Z578" s="476"/>
      <c r="AA578" s="476"/>
      <c r="AB578" s="476"/>
      <c r="AC578" s="476"/>
      <c r="AD578" s="476"/>
      <c r="AE578" s="476"/>
      <c r="AF578" s="476"/>
      <c r="AG578" s="476"/>
      <c r="AH578" s="476"/>
      <c r="AI578" s="476"/>
      <c r="AJ578" s="476"/>
      <c r="AK578" s="476"/>
      <c r="AL578" s="476"/>
      <c r="AM578" s="476"/>
      <c r="AN578" s="476"/>
      <c r="AO578" s="476"/>
      <c r="AP578" s="476"/>
      <c r="AQ578" s="476"/>
      <c r="AR578" s="476"/>
      <c r="AS578" s="476"/>
      <c r="AT578" s="476"/>
    </row>
    <row r="579" spans="1:46" ht="12.75" customHeight="1">
      <c r="A579" s="476"/>
      <c r="B579" s="476"/>
      <c r="C579" s="476"/>
      <c r="D579" s="476"/>
      <c r="E579" s="476"/>
      <c r="F579" s="476"/>
      <c r="G579" s="476"/>
      <c r="H579" s="476"/>
      <c r="I579" s="476"/>
      <c r="J579" s="476"/>
      <c r="K579" s="476"/>
      <c r="L579" s="476"/>
      <c r="M579" s="476"/>
      <c r="N579" s="476"/>
      <c r="O579" s="476"/>
      <c r="P579" s="476"/>
      <c r="Q579" s="476"/>
      <c r="R579" s="476"/>
      <c r="S579" s="476"/>
      <c r="T579" s="476"/>
      <c r="U579" s="476"/>
      <c r="V579" s="476"/>
      <c r="W579" s="476"/>
      <c r="X579" s="476"/>
      <c r="Y579" s="476"/>
      <c r="Z579" s="476"/>
      <c r="AA579" s="476"/>
      <c r="AB579" s="476"/>
      <c r="AC579" s="476"/>
      <c r="AD579" s="476"/>
      <c r="AE579" s="476"/>
      <c r="AF579" s="476"/>
      <c r="AG579" s="476"/>
      <c r="AH579" s="476"/>
      <c r="AI579" s="476"/>
      <c r="AJ579" s="476"/>
      <c r="AK579" s="476"/>
      <c r="AL579" s="476"/>
      <c r="AM579" s="476"/>
      <c r="AN579" s="476"/>
      <c r="AO579" s="476"/>
      <c r="AP579" s="476"/>
      <c r="AQ579" s="476"/>
      <c r="AR579" s="476"/>
      <c r="AS579" s="476"/>
      <c r="AT579" s="476"/>
    </row>
    <row r="580" spans="1:46" ht="12.75" customHeight="1">
      <c r="A580" s="476"/>
      <c r="B580" s="476"/>
      <c r="C580" s="476"/>
      <c r="D580" s="476"/>
      <c r="E580" s="476"/>
      <c r="F580" s="476"/>
      <c r="G580" s="476"/>
      <c r="H580" s="476"/>
      <c r="I580" s="476"/>
      <c r="J580" s="476"/>
      <c r="K580" s="476"/>
      <c r="L580" s="476"/>
      <c r="M580" s="476"/>
      <c r="N580" s="476"/>
      <c r="O580" s="476"/>
      <c r="P580" s="476"/>
      <c r="Q580" s="476"/>
      <c r="R580" s="476"/>
      <c r="S580" s="476"/>
      <c r="T580" s="476"/>
      <c r="U580" s="476"/>
      <c r="V580" s="476"/>
      <c r="W580" s="476"/>
      <c r="X580" s="476"/>
      <c r="Y580" s="476"/>
      <c r="Z580" s="476"/>
      <c r="AA580" s="476"/>
      <c r="AB580" s="476"/>
      <c r="AC580" s="476"/>
      <c r="AD580" s="476"/>
      <c r="AE580" s="476"/>
      <c r="AF580" s="476"/>
      <c r="AG580" s="476"/>
      <c r="AH580" s="476"/>
      <c r="AI580" s="476"/>
      <c r="AJ580" s="476"/>
      <c r="AK580" s="476"/>
      <c r="AL580" s="476"/>
      <c r="AM580" s="476"/>
      <c r="AN580" s="476"/>
      <c r="AO580" s="476"/>
      <c r="AP580" s="476"/>
      <c r="AQ580" s="476"/>
      <c r="AR580" s="476"/>
      <c r="AS580" s="476"/>
      <c r="AT580" s="476"/>
    </row>
    <row r="581" spans="1:46" ht="12.75" customHeight="1">
      <c r="A581" s="476"/>
      <c r="B581" s="476"/>
      <c r="C581" s="476"/>
      <c r="D581" s="476"/>
      <c r="E581" s="476"/>
      <c r="F581" s="476"/>
      <c r="G581" s="476"/>
      <c r="H581" s="476"/>
      <c r="I581" s="476"/>
      <c r="J581" s="476"/>
      <c r="K581" s="476"/>
      <c r="L581" s="476"/>
      <c r="M581" s="476"/>
      <c r="N581" s="476"/>
      <c r="O581" s="476"/>
      <c r="P581" s="476"/>
      <c r="Q581" s="476"/>
      <c r="R581" s="476"/>
      <c r="S581" s="476"/>
      <c r="T581" s="476"/>
      <c r="U581" s="476"/>
      <c r="V581" s="476"/>
      <c r="W581" s="476"/>
      <c r="X581" s="476"/>
      <c r="Y581" s="476"/>
      <c r="Z581" s="476"/>
      <c r="AA581" s="476"/>
      <c r="AB581" s="476"/>
      <c r="AC581" s="476"/>
      <c r="AD581" s="476"/>
      <c r="AE581" s="476"/>
      <c r="AF581" s="476"/>
      <c r="AG581" s="476"/>
      <c r="AH581" s="476"/>
      <c r="AI581" s="476"/>
      <c r="AJ581" s="476"/>
      <c r="AK581" s="476"/>
      <c r="AL581" s="476"/>
      <c r="AM581" s="476"/>
      <c r="AN581" s="476"/>
      <c r="AO581" s="476"/>
      <c r="AP581" s="476"/>
      <c r="AQ581" s="476"/>
      <c r="AR581" s="476"/>
      <c r="AS581" s="476"/>
      <c r="AT581" s="476"/>
    </row>
    <row r="582" spans="1:46" ht="12.75" customHeight="1">
      <c r="A582" s="476"/>
      <c r="B582" s="476"/>
      <c r="C582" s="476"/>
      <c r="D582" s="476"/>
      <c r="E582" s="476"/>
      <c r="F582" s="476"/>
      <c r="G582" s="476"/>
      <c r="H582" s="476"/>
      <c r="I582" s="476"/>
      <c r="J582" s="476"/>
      <c r="K582" s="476"/>
      <c r="L582" s="476"/>
      <c r="M582" s="476"/>
      <c r="N582" s="476"/>
      <c r="O582" s="476"/>
      <c r="P582" s="476"/>
      <c r="Q582" s="476"/>
      <c r="R582" s="476"/>
      <c r="S582" s="476"/>
      <c r="T582" s="476"/>
      <c r="U582" s="476"/>
      <c r="V582" s="476"/>
      <c r="W582" s="476"/>
      <c r="X582" s="476"/>
      <c r="Y582" s="476"/>
      <c r="Z582" s="476"/>
      <c r="AA582" s="476"/>
      <c r="AB582" s="476"/>
      <c r="AC582" s="476"/>
      <c r="AD582" s="476"/>
      <c r="AE582" s="476"/>
      <c r="AF582" s="476"/>
      <c r="AG582" s="476"/>
      <c r="AH582" s="476"/>
      <c r="AI582" s="476"/>
      <c r="AJ582" s="476"/>
      <c r="AK582" s="476"/>
      <c r="AL582" s="476"/>
      <c r="AM582" s="476"/>
      <c r="AN582" s="476"/>
      <c r="AO582" s="476"/>
      <c r="AP582" s="476"/>
      <c r="AQ582" s="476"/>
      <c r="AR582" s="476"/>
      <c r="AS582" s="476"/>
      <c r="AT582" s="476"/>
    </row>
    <row r="583" spans="1:46" ht="12.75" customHeight="1">
      <c r="A583" s="476"/>
      <c r="B583" s="476"/>
      <c r="C583" s="476"/>
      <c r="D583" s="476"/>
      <c r="E583" s="476"/>
      <c r="F583" s="476"/>
      <c r="G583" s="476"/>
      <c r="H583" s="476"/>
      <c r="I583" s="476"/>
      <c r="J583" s="476"/>
      <c r="K583" s="476"/>
      <c r="L583" s="476"/>
      <c r="M583" s="476"/>
      <c r="N583" s="476"/>
      <c r="O583" s="476"/>
      <c r="P583" s="476"/>
      <c r="Q583" s="476"/>
      <c r="R583" s="476"/>
      <c r="S583" s="476"/>
      <c r="T583" s="476"/>
      <c r="U583" s="476"/>
      <c r="V583" s="476"/>
      <c r="W583" s="476"/>
      <c r="X583" s="476"/>
      <c r="Y583" s="476"/>
      <c r="Z583" s="476"/>
      <c r="AA583" s="476"/>
      <c r="AB583" s="476"/>
      <c r="AC583" s="476"/>
      <c r="AD583" s="476"/>
      <c r="AE583" s="476"/>
      <c r="AF583" s="476"/>
      <c r="AG583" s="476"/>
      <c r="AH583" s="476"/>
      <c r="AI583" s="476"/>
      <c r="AJ583" s="476"/>
      <c r="AK583" s="476"/>
      <c r="AL583" s="476"/>
      <c r="AM583" s="476"/>
      <c r="AN583" s="476"/>
      <c r="AO583" s="476"/>
      <c r="AP583" s="476"/>
      <c r="AQ583" s="476"/>
      <c r="AR583" s="476"/>
      <c r="AS583" s="476"/>
      <c r="AT583" s="476"/>
    </row>
    <row r="584" spans="1:46" ht="12.75" customHeight="1">
      <c r="A584" s="476"/>
      <c r="B584" s="476"/>
      <c r="C584" s="476"/>
      <c r="D584" s="476"/>
      <c r="E584" s="476"/>
      <c r="F584" s="476"/>
      <c r="G584" s="476"/>
      <c r="H584" s="476"/>
      <c r="I584" s="476"/>
      <c r="J584" s="476"/>
      <c r="K584" s="476"/>
      <c r="L584" s="476"/>
      <c r="M584" s="476"/>
      <c r="N584" s="476"/>
      <c r="O584" s="476"/>
      <c r="P584" s="476"/>
      <c r="Q584" s="476"/>
      <c r="R584" s="476"/>
      <c r="S584" s="476"/>
      <c r="T584" s="476"/>
      <c r="U584" s="476"/>
      <c r="V584" s="476"/>
      <c r="W584" s="476"/>
      <c r="X584" s="476"/>
      <c r="Y584" s="476"/>
      <c r="Z584" s="476"/>
      <c r="AA584" s="476"/>
      <c r="AB584" s="476"/>
      <c r="AC584" s="476"/>
      <c r="AD584" s="476"/>
      <c r="AE584" s="476"/>
      <c r="AF584" s="476"/>
      <c r="AG584" s="476"/>
      <c r="AH584" s="476"/>
      <c r="AI584" s="476"/>
      <c r="AJ584" s="476"/>
      <c r="AK584" s="476"/>
      <c r="AL584" s="476"/>
      <c r="AM584" s="476"/>
      <c r="AN584" s="476"/>
      <c r="AO584" s="476"/>
      <c r="AP584" s="476"/>
      <c r="AQ584" s="476"/>
      <c r="AR584" s="476"/>
      <c r="AS584" s="476"/>
      <c r="AT584" s="476"/>
    </row>
    <row r="585" spans="1:46" ht="12.75" customHeight="1">
      <c r="A585" s="476"/>
      <c r="B585" s="476"/>
      <c r="C585" s="476"/>
      <c r="D585" s="476"/>
      <c r="E585" s="476"/>
      <c r="F585" s="476"/>
      <c r="G585" s="476"/>
      <c r="H585" s="476"/>
      <c r="I585" s="476"/>
      <c r="J585" s="476"/>
      <c r="K585" s="476"/>
      <c r="L585" s="476"/>
      <c r="M585" s="476"/>
      <c r="N585" s="476"/>
      <c r="O585" s="476"/>
      <c r="P585" s="476"/>
      <c r="Q585" s="476"/>
      <c r="R585" s="476"/>
      <c r="S585" s="476"/>
      <c r="T585" s="476"/>
      <c r="U585" s="476"/>
      <c r="V585" s="476"/>
      <c r="W585" s="476"/>
      <c r="X585" s="476"/>
      <c r="Y585" s="476"/>
      <c r="Z585" s="476"/>
      <c r="AA585" s="476"/>
      <c r="AB585" s="476"/>
      <c r="AC585" s="476"/>
      <c r="AD585" s="476"/>
      <c r="AE585" s="476"/>
      <c r="AF585" s="476"/>
      <c r="AG585" s="476"/>
      <c r="AH585" s="476"/>
      <c r="AI585" s="476"/>
      <c r="AJ585" s="476"/>
      <c r="AK585" s="476"/>
      <c r="AL585" s="476"/>
      <c r="AM585" s="476"/>
      <c r="AN585" s="476"/>
      <c r="AO585" s="476"/>
      <c r="AP585" s="476"/>
      <c r="AQ585" s="476"/>
      <c r="AR585" s="476"/>
      <c r="AS585" s="476"/>
      <c r="AT585" s="476"/>
    </row>
    <row r="586" spans="1:46" ht="12.75" customHeight="1">
      <c r="A586" s="476"/>
      <c r="B586" s="476"/>
      <c r="C586" s="476"/>
      <c r="D586" s="476"/>
      <c r="E586" s="476"/>
      <c r="F586" s="476"/>
      <c r="G586" s="476"/>
      <c r="H586" s="476"/>
      <c r="I586" s="476"/>
      <c r="J586" s="476"/>
      <c r="K586" s="476"/>
      <c r="L586" s="476"/>
      <c r="M586" s="476"/>
      <c r="N586" s="476"/>
      <c r="O586" s="476"/>
      <c r="P586" s="476"/>
      <c r="Q586" s="476"/>
      <c r="R586" s="476"/>
      <c r="S586" s="476"/>
      <c r="T586" s="476"/>
      <c r="U586" s="476"/>
      <c r="V586" s="476"/>
      <c r="W586" s="476"/>
      <c r="X586" s="476"/>
      <c r="Y586" s="476"/>
      <c r="Z586" s="476"/>
      <c r="AA586" s="476"/>
      <c r="AB586" s="476"/>
      <c r="AC586" s="476"/>
      <c r="AD586" s="476"/>
      <c r="AE586" s="476"/>
      <c r="AF586" s="476"/>
      <c r="AG586" s="476"/>
      <c r="AH586" s="476"/>
      <c r="AI586" s="476"/>
      <c r="AJ586" s="476"/>
      <c r="AK586" s="476"/>
      <c r="AL586" s="476"/>
      <c r="AM586" s="476"/>
      <c r="AN586" s="476"/>
      <c r="AO586" s="476"/>
      <c r="AP586" s="476"/>
      <c r="AQ586" s="476"/>
      <c r="AR586" s="476"/>
      <c r="AS586" s="476"/>
      <c r="AT586" s="476"/>
    </row>
    <row r="587" spans="1:46" ht="12.75" customHeight="1">
      <c r="A587" s="476"/>
      <c r="B587" s="476"/>
      <c r="C587" s="476"/>
      <c r="D587" s="476"/>
      <c r="E587" s="476"/>
      <c r="F587" s="476"/>
      <c r="G587" s="476"/>
      <c r="H587" s="476"/>
      <c r="I587" s="476"/>
      <c r="J587" s="476"/>
      <c r="K587" s="476"/>
      <c r="L587" s="476"/>
      <c r="M587" s="476"/>
      <c r="N587" s="476"/>
      <c r="O587" s="476"/>
      <c r="P587" s="476"/>
      <c r="Q587" s="476"/>
      <c r="R587" s="476"/>
      <c r="S587" s="476"/>
      <c r="T587" s="476"/>
      <c r="U587" s="476"/>
      <c r="V587" s="476"/>
      <c r="W587" s="476"/>
      <c r="X587" s="476"/>
      <c r="Y587" s="476"/>
      <c r="Z587" s="476"/>
      <c r="AA587" s="476"/>
      <c r="AB587" s="476"/>
      <c r="AC587" s="476"/>
      <c r="AD587" s="476"/>
      <c r="AE587" s="476"/>
      <c r="AF587" s="476"/>
      <c r="AG587" s="476"/>
      <c r="AH587" s="476"/>
      <c r="AI587" s="476"/>
      <c r="AJ587" s="476"/>
      <c r="AK587" s="476"/>
      <c r="AL587" s="476"/>
      <c r="AM587" s="476"/>
      <c r="AN587" s="476"/>
      <c r="AO587" s="476"/>
      <c r="AP587" s="476"/>
      <c r="AQ587" s="476"/>
      <c r="AR587" s="476"/>
      <c r="AS587" s="476"/>
      <c r="AT587" s="476"/>
    </row>
    <row r="588" spans="1:46" ht="12.75" customHeight="1">
      <c r="A588" s="476"/>
      <c r="B588" s="476"/>
      <c r="C588" s="476"/>
      <c r="D588" s="476"/>
      <c r="E588" s="476"/>
      <c r="F588" s="476"/>
      <c r="G588" s="476"/>
      <c r="H588" s="476"/>
      <c r="I588" s="476"/>
      <c r="J588" s="476"/>
      <c r="K588" s="476"/>
      <c r="L588" s="476"/>
      <c r="M588" s="476"/>
      <c r="N588" s="476"/>
      <c r="O588" s="476"/>
      <c r="P588" s="476"/>
      <c r="Q588" s="476"/>
      <c r="R588" s="476"/>
      <c r="S588" s="476"/>
      <c r="T588" s="476"/>
      <c r="U588" s="476"/>
      <c r="V588" s="476"/>
      <c r="W588" s="476"/>
      <c r="X588" s="476"/>
      <c r="Y588" s="476"/>
      <c r="Z588" s="476"/>
      <c r="AA588" s="476"/>
      <c r="AB588" s="476"/>
      <c r="AC588" s="476"/>
      <c r="AD588" s="476"/>
      <c r="AE588" s="476"/>
      <c r="AF588" s="476"/>
      <c r="AG588" s="476"/>
      <c r="AH588" s="476"/>
      <c r="AI588" s="476"/>
      <c r="AJ588" s="476"/>
      <c r="AK588" s="476"/>
      <c r="AL588" s="476"/>
      <c r="AM588" s="476"/>
      <c r="AN588" s="476"/>
      <c r="AO588" s="476"/>
      <c r="AP588" s="476"/>
      <c r="AQ588" s="476"/>
      <c r="AR588" s="476"/>
      <c r="AS588" s="476"/>
      <c r="AT588" s="476"/>
    </row>
    <row r="589" spans="1:46" ht="12.75" customHeight="1">
      <c r="A589" s="476"/>
      <c r="B589" s="476"/>
      <c r="C589" s="476"/>
      <c r="D589" s="476"/>
      <c r="E589" s="476"/>
      <c r="F589" s="476"/>
      <c r="G589" s="476"/>
      <c r="H589" s="476"/>
      <c r="I589" s="476"/>
      <c r="J589" s="476"/>
      <c r="K589" s="476"/>
      <c r="L589" s="476"/>
      <c r="M589" s="476"/>
      <c r="N589" s="476"/>
      <c r="O589" s="476"/>
      <c r="P589" s="476"/>
      <c r="Q589" s="476"/>
      <c r="R589" s="476"/>
      <c r="S589" s="476"/>
      <c r="T589" s="476"/>
      <c r="U589" s="476"/>
      <c r="V589" s="476"/>
      <c r="W589" s="476"/>
      <c r="X589" s="476"/>
      <c r="Y589" s="476"/>
      <c r="Z589" s="476"/>
      <c r="AA589" s="476"/>
      <c r="AB589" s="476"/>
      <c r="AC589" s="476"/>
      <c r="AD589" s="476"/>
      <c r="AE589" s="476"/>
      <c r="AF589" s="476"/>
      <c r="AG589" s="476"/>
      <c r="AH589" s="476"/>
      <c r="AI589" s="476"/>
      <c r="AJ589" s="476"/>
      <c r="AK589" s="476"/>
      <c r="AL589" s="476"/>
      <c r="AM589" s="476"/>
      <c r="AN589" s="476"/>
      <c r="AO589" s="476"/>
      <c r="AP589" s="476"/>
      <c r="AQ589" s="476"/>
      <c r="AR589" s="476"/>
      <c r="AS589" s="476"/>
      <c r="AT589" s="476"/>
    </row>
    <row r="590" spans="1:46" ht="12.75" customHeight="1">
      <c r="A590" s="476"/>
      <c r="B590" s="476"/>
      <c r="C590" s="476"/>
      <c r="D590" s="476"/>
      <c r="E590" s="476"/>
      <c r="F590" s="476"/>
      <c r="G590" s="476"/>
      <c r="H590" s="476"/>
      <c r="I590" s="476"/>
      <c r="J590" s="476"/>
      <c r="K590" s="476"/>
      <c r="L590" s="476"/>
      <c r="M590" s="476"/>
      <c r="N590" s="476"/>
      <c r="O590" s="476"/>
      <c r="P590" s="476"/>
      <c r="Q590" s="476"/>
      <c r="R590" s="476"/>
      <c r="S590" s="476"/>
      <c r="T590" s="476"/>
      <c r="U590" s="476"/>
      <c r="V590" s="476"/>
      <c r="W590" s="476"/>
      <c r="X590" s="476"/>
      <c r="Y590" s="476"/>
      <c r="Z590" s="476"/>
      <c r="AA590" s="476"/>
      <c r="AB590" s="476"/>
      <c r="AC590" s="476"/>
      <c r="AD590" s="476"/>
      <c r="AE590" s="476"/>
      <c r="AF590" s="476"/>
      <c r="AG590" s="476"/>
      <c r="AH590" s="476"/>
      <c r="AI590" s="476"/>
      <c r="AJ590" s="476"/>
      <c r="AK590" s="476"/>
      <c r="AL590" s="476"/>
      <c r="AM590" s="476"/>
      <c r="AN590" s="476"/>
      <c r="AO590" s="476"/>
      <c r="AP590" s="476"/>
      <c r="AQ590" s="476"/>
      <c r="AR590" s="476"/>
      <c r="AS590" s="476"/>
      <c r="AT590" s="476"/>
    </row>
    <row r="591" spans="1:46" ht="12.75" customHeight="1">
      <c r="A591" s="476"/>
      <c r="B591" s="476"/>
      <c r="C591" s="476"/>
      <c r="D591" s="476"/>
      <c r="E591" s="476"/>
      <c r="F591" s="476"/>
      <c r="G591" s="476"/>
      <c r="H591" s="476"/>
      <c r="I591" s="476"/>
      <c r="J591" s="476"/>
      <c r="K591" s="476"/>
      <c r="L591" s="476"/>
      <c r="M591" s="476"/>
      <c r="N591" s="476"/>
      <c r="O591" s="476"/>
      <c r="P591" s="476"/>
      <c r="Q591" s="476"/>
      <c r="R591" s="476"/>
      <c r="S591" s="476"/>
      <c r="T591" s="476"/>
      <c r="U591" s="476"/>
      <c r="V591" s="476"/>
      <c r="W591" s="476"/>
      <c r="X591" s="476"/>
      <c r="Y591" s="476"/>
      <c r="Z591" s="476"/>
      <c r="AA591" s="476"/>
      <c r="AB591" s="476"/>
      <c r="AC591" s="476"/>
      <c r="AD591" s="476"/>
      <c r="AE591" s="476"/>
      <c r="AF591" s="476"/>
      <c r="AG591" s="476"/>
      <c r="AH591" s="476"/>
      <c r="AI591" s="476"/>
      <c r="AJ591" s="476"/>
      <c r="AK591" s="476"/>
      <c r="AL591" s="476"/>
      <c r="AM591" s="476"/>
      <c r="AN591" s="476"/>
      <c r="AO591" s="476"/>
      <c r="AP591" s="476"/>
      <c r="AQ591" s="476"/>
      <c r="AR591" s="476"/>
      <c r="AS591" s="476"/>
      <c r="AT591" s="476"/>
    </row>
    <row r="592" spans="1:46" ht="12.75" customHeight="1">
      <c r="A592" s="476"/>
      <c r="B592" s="476"/>
      <c r="C592" s="476"/>
      <c r="D592" s="476"/>
      <c r="E592" s="476"/>
      <c r="F592" s="476"/>
      <c r="G592" s="476"/>
      <c r="H592" s="476"/>
      <c r="I592" s="476"/>
      <c r="J592" s="476"/>
      <c r="K592" s="476"/>
      <c r="L592" s="476"/>
      <c r="M592" s="476"/>
      <c r="N592" s="476"/>
      <c r="O592" s="476"/>
      <c r="P592" s="476"/>
      <c r="Q592" s="476"/>
      <c r="R592" s="476"/>
      <c r="S592" s="476"/>
      <c r="T592" s="476"/>
      <c r="U592" s="476"/>
      <c r="V592" s="476"/>
      <c r="W592" s="476"/>
      <c r="X592" s="476"/>
      <c r="Y592" s="476"/>
      <c r="Z592" s="476"/>
      <c r="AA592" s="476"/>
      <c r="AB592" s="476"/>
      <c r="AC592" s="476"/>
      <c r="AD592" s="476"/>
      <c r="AE592" s="476"/>
      <c r="AF592" s="476"/>
      <c r="AG592" s="476"/>
      <c r="AH592" s="476"/>
      <c r="AI592" s="476"/>
      <c r="AJ592" s="476"/>
      <c r="AK592" s="476"/>
      <c r="AL592" s="476"/>
      <c r="AM592" s="476"/>
      <c r="AN592" s="476"/>
      <c r="AO592" s="476"/>
      <c r="AP592" s="476"/>
      <c r="AQ592" s="476"/>
      <c r="AR592" s="476"/>
      <c r="AS592" s="476"/>
      <c r="AT592" s="476"/>
    </row>
    <row r="593" spans="1:46" ht="12.75" customHeight="1">
      <c r="A593" s="476"/>
      <c r="B593" s="476"/>
      <c r="C593" s="476"/>
      <c r="D593" s="476"/>
      <c r="E593" s="476"/>
      <c r="F593" s="476"/>
      <c r="G593" s="476"/>
      <c r="H593" s="476"/>
      <c r="I593" s="476"/>
      <c r="J593" s="476"/>
      <c r="K593" s="476"/>
      <c r="L593" s="476"/>
      <c r="M593" s="476"/>
      <c r="N593" s="476"/>
      <c r="O593" s="476"/>
      <c r="P593" s="476"/>
      <c r="Q593" s="476"/>
      <c r="R593" s="476"/>
      <c r="S593" s="476"/>
      <c r="T593" s="476"/>
      <c r="U593" s="476"/>
      <c r="V593" s="476"/>
      <c r="W593" s="476"/>
      <c r="X593" s="476"/>
      <c r="Y593" s="476"/>
      <c r="Z593" s="476"/>
      <c r="AA593" s="476"/>
      <c r="AB593" s="476"/>
      <c r="AC593" s="476"/>
      <c r="AD593" s="476"/>
      <c r="AE593" s="476"/>
      <c r="AF593" s="476"/>
      <c r="AG593" s="476"/>
      <c r="AH593" s="476"/>
      <c r="AI593" s="476"/>
      <c r="AJ593" s="476"/>
      <c r="AK593" s="476"/>
      <c r="AL593" s="476"/>
      <c r="AM593" s="476"/>
      <c r="AN593" s="476"/>
      <c r="AO593" s="476"/>
      <c r="AP593" s="476"/>
      <c r="AQ593" s="476"/>
      <c r="AR593" s="476"/>
      <c r="AS593" s="476"/>
      <c r="AT593" s="476"/>
    </row>
    <row r="594" spans="1:46" ht="12.75" customHeight="1">
      <c r="A594" s="476"/>
      <c r="B594" s="476"/>
      <c r="C594" s="476"/>
      <c r="D594" s="476"/>
      <c r="E594" s="476"/>
      <c r="F594" s="476"/>
      <c r="G594" s="476"/>
      <c r="H594" s="476"/>
      <c r="I594" s="476"/>
      <c r="J594" s="476"/>
      <c r="K594" s="476"/>
      <c r="L594" s="476"/>
      <c r="M594" s="476"/>
      <c r="N594" s="476"/>
      <c r="O594" s="476"/>
      <c r="P594" s="476"/>
      <c r="Q594" s="476"/>
      <c r="R594" s="476"/>
      <c r="S594" s="476"/>
      <c r="T594" s="476"/>
      <c r="U594" s="476"/>
      <c r="V594" s="476"/>
      <c r="W594" s="476"/>
      <c r="X594" s="476"/>
      <c r="Y594" s="476"/>
      <c r="Z594" s="476"/>
      <c r="AA594" s="476"/>
      <c r="AB594" s="476"/>
      <c r="AC594" s="476"/>
      <c r="AD594" s="476"/>
      <c r="AE594" s="476"/>
      <c r="AF594" s="476"/>
      <c r="AG594" s="476"/>
      <c r="AH594" s="476"/>
      <c r="AI594" s="476"/>
      <c r="AJ594" s="476"/>
      <c r="AK594" s="476"/>
      <c r="AL594" s="476"/>
      <c r="AM594" s="476"/>
      <c r="AN594" s="476"/>
      <c r="AO594" s="476"/>
      <c r="AP594" s="476"/>
      <c r="AQ594" s="476"/>
      <c r="AR594" s="476"/>
      <c r="AS594" s="476"/>
      <c r="AT594" s="476"/>
    </row>
    <row r="595" spans="1:46" ht="12.75" customHeight="1">
      <c r="A595" s="476"/>
      <c r="B595" s="476"/>
      <c r="C595" s="476"/>
      <c r="D595" s="476"/>
      <c r="E595" s="476"/>
      <c r="F595" s="476"/>
      <c r="G595" s="476"/>
      <c r="H595" s="476"/>
      <c r="I595" s="476"/>
      <c r="J595" s="476"/>
      <c r="K595" s="476"/>
      <c r="L595" s="476"/>
      <c r="M595" s="476"/>
      <c r="N595" s="476"/>
      <c r="O595" s="476"/>
      <c r="P595" s="476"/>
      <c r="Q595" s="476"/>
      <c r="R595" s="476"/>
      <c r="S595" s="476"/>
      <c r="T595" s="476"/>
      <c r="U595" s="476"/>
      <c r="V595" s="476"/>
      <c r="W595" s="476"/>
      <c r="X595" s="476"/>
      <c r="Y595" s="476"/>
      <c r="Z595" s="476"/>
      <c r="AA595" s="476"/>
      <c r="AB595" s="476"/>
      <c r="AC595" s="476"/>
      <c r="AD595" s="476"/>
      <c r="AE595" s="476"/>
      <c r="AF595" s="476"/>
      <c r="AG595" s="476"/>
      <c r="AH595" s="476"/>
      <c r="AI595" s="476"/>
      <c r="AJ595" s="476"/>
      <c r="AK595" s="476"/>
      <c r="AL595" s="476"/>
      <c r="AM595" s="476"/>
      <c r="AN595" s="476"/>
      <c r="AO595" s="476"/>
      <c r="AP595" s="476"/>
      <c r="AQ595" s="476"/>
      <c r="AR595" s="476"/>
      <c r="AS595" s="476"/>
      <c r="AT595" s="476"/>
    </row>
    <row r="596" spans="1:46" ht="12.75" customHeight="1">
      <c r="A596" s="476"/>
      <c r="B596" s="476"/>
      <c r="C596" s="476"/>
      <c r="D596" s="476"/>
      <c r="E596" s="476"/>
      <c r="F596" s="476"/>
      <c r="G596" s="476"/>
      <c r="H596" s="476"/>
      <c r="I596" s="476"/>
      <c r="J596" s="476"/>
      <c r="K596" s="476"/>
      <c r="L596" s="476"/>
      <c r="M596" s="476"/>
      <c r="N596" s="476"/>
      <c r="O596" s="476"/>
      <c r="P596" s="476"/>
      <c r="Q596" s="476"/>
      <c r="R596" s="476"/>
      <c r="S596" s="476"/>
      <c r="T596" s="476"/>
      <c r="U596" s="476"/>
      <c r="V596" s="476"/>
      <c r="W596" s="476"/>
      <c r="X596" s="476"/>
      <c r="Y596" s="476"/>
      <c r="Z596" s="476"/>
      <c r="AA596" s="476"/>
      <c r="AB596" s="476"/>
      <c r="AC596" s="476"/>
      <c r="AD596" s="476"/>
      <c r="AE596" s="476"/>
      <c r="AF596" s="476"/>
      <c r="AG596" s="476"/>
      <c r="AH596" s="476"/>
      <c r="AI596" s="476"/>
      <c r="AJ596" s="476"/>
      <c r="AK596" s="476"/>
      <c r="AL596" s="476"/>
      <c r="AM596" s="476"/>
      <c r="AN596" s="476"/>
      <c r="AO596" s="476"/>
      <c r="AP596" s="476"/>
      <c r="AQ596" s="476"/>
      <c r="AR596" s="476"/>
      <c r="AS596" s="476"/>
      <c r="AT596" s="476"/>
    </row>
    <row r="597" spans="1:46" ht="12.75" customHeight="1">
      <c r="A597" s="476"/>
      <c r="B597" s="476"/>
      <c r="C597" s="476"/>
      <c r="D597" s="476"/>
      <c r="E597" s="476"/>
      <c r="F597" s="476"/>
      <c r="G597" s="476"/>
      <c r="H597" s="476"/>
      <c r="I597" s="476"/>
      <c r="J597" s="476"/>
      <c r="K597" s="476"/>
      <c r="L597" s="476"/>
      <c r="M597" s="476"/>
      <c r="N597" s="476"/>
      <c r="O597" s="476"/>
      <c r="P597" s="476"/>
      <c r="Q597" s="476"/>
      <c r="R597" s="476"/>
      <c r="S597" s="476"/>
      <c r="T597" s="476"/>
      <c r="U597" s="476"/>
      <c r="V597" s="476"/>
      <c r="W597" s="476"/>
      <c r="X597" s="476"/>
      <c r="Y597" s="476"/>
      <c r="Z597" s="476"/>
      <c r="AA597" s="476"/>
      <c r="AB597" s="476"/>
      <c r="AC597" s="476"/>
      <c r="AD597" s="476"/>
      <c r="AE597" s="476"/>
      <c r="AF597" s="476"/>
      <c r="AG597" s="476"/>
      <c r="AH597" s="476"/>
      <c r="AI597" s="476"/>
      <c r="AJ597" s="476"/>
      <c r="AK597" s="476"/>
      <c r="AL597" s="476"/>
      <c r="AM597" s="476"/>
      <c r="AN597" s="476"/>
      <c r="AO597" s="476"/>
      <c r="AP597" s="476"/>
      <c r="AQ597" s="476"/>
      <c r="AR597" s="476"/>
      <c r="AS597" s="476"/>
      <c r="AT597" s="476"/>
    </row>
    <row r="598" spans="1:46" ht="12.75" customHeight="1">
      <c r="A598" s="476"/>
      <c r="B598" s="476"/>
      <c r="C598" s="476"/>
      <c r="D598" s="476"/>
      <c r="E598" s="476"/>
      <c r="F598" s="476"/>
      <c r="G598" s="476"/>
      <c r="H598" s="476"/>
      <c r="I598" s="476"/>
      <c r="J598" s="476"/>
      <c r="K598" s="476"/>
      <c r="L598" s="476"/>
      <c r="M598" s="476"/>
      <c r="N598" s="476"/>
      <c r="O598" s="476"/>
      <c r="P598" s="476"/>
      <c r="Q598" s="476"/>
      <c r="R598" s="476"/>
      <c r="S598" s="476"/>
      <c r="T598" s="476"/>
      <c r="U598" s="476"/>
      <c r="V598" s="476"/>
      <c r="W598" s="476"/>
      <c r="X598" s="476"/>
      <c r="Y598" s="476"/>
      <c r="Z598" s="476"/>
      <c r="AA598" s="476"/>
      <c r="AB598" s="476"/>
      <c r="AC598" s="476"/>
      <c r="AD598" s="476"/>
      <c r="AE598" s="476"/>
      <c r="AF598" s="476"/>
      <c r="AG598" s="476"/>
      <c r="AH598" s="476"/>
      <c r="AI598" s="476"/>
      <c r="AJ598" s="476"/>
      <c r="AK598" s="476"/>
      <c r="AL598" s="476"/>
      <c r="AM598" s="476"/>
      <c r="AN598" s="476"/>
      <c r="AO598" s="476"/>
      <c r="AP598" s="476"/>
      <c r="AQ598" s="476"/>
      <c r="AR598" s="476"/>
      <c r="AS598" s="476"/>
      <c r="AT598" s="476"/>
    </row>
    <row r="599" spans="1:46" ht="12.75" customHeight="1">
      <c r="A599" s="476"/>
      <c r="B599" s="476"/>
      <c r="C599" s="476"/>
      <c r="D599" s="476"/>
      <c r="E599" s="476"/>
      <c r="F599" s="476"/>
      <c r="G599" s="476"/>
      <c r="H599" s="476"/>
      <c r="I599" s="476"/>
      <c r="J599" s="476"/>
      <c r="K599" s="476"/>
      <c r="L599" s="476"/>
      <c r="M599" s="476"/>
      <c r="N599" s="476"/>
      <c r="O599" s="476"/>
      <c r="P599" s="476"/>
      <c r="Q599" s="476"/>
      <c r="R599" s="476"/>
      <c r="S599" s="476"/>
      <c r="T599" s="476"/>
      <c r="U599" s="476"/>
      <c r="V599" s="476"/>
      <c r="W599" s="476"/>
      <c r="X599" s="476"/>
      <c r="Y599" s="476"/>
      <c r="Z599" s="476"/>
      <c r="AA599" s="476"/>
      <c r="AB599" s="476"/>
      <c r="AC599" s="476"/>
      <c r="AD599" s="476"/>
      <c r="AE599" s="476"/>
      <c r="AF599" s="476"/>
      <c r="AG599" s="476"/>
      <c r="AH599" s="476"/>
      <c r="AI599" s="476"/>
      <c r="AJ599" s="476"/>
      <c r="AK599" s="476"/>
      <c r="AL599" s="476"/>
      <c r="AM599" s="476"/>
      <c r="AN599" s="476"/>
      <c r="AO599" s="476"/>
      <c r="AP599" s="476"/>
      <c r="AQ599" s="476"/>
      <c r="AR599" s="476"/>
      <c r="AS599" s="476"/>
      <c r="AT599" s="476"/>
    </row>
    <row r="600" spans="1:46" ht="12.75" customHeight="1">
      <c r="A600" s="476"/>
      <c r="B600" s="476"/>
      <c r="C600" s="476"/>
      <c r="D600" s="476"/>
      <c r="E600" s="476"/>
      <c r="F600" s="476"/>
      <c r="G600" s="476"/>
      <c r="H600" s="476"/>
      <c r="I600" s="476"/>
      <c r="J600" s="476"/>
      <c r="K600" s="476"/>
      <c r="L600" s="476"/>
      <c r="M600" s="476"/>
      <c r="N600" s="476"/>
      <c r="O600" s="476"/>
      <c r="P600" s="476"/>
      <c r="Q600" s="476"/>
      <c r="R600" s="476"/>
      <c r="S600" s="476"/>
      <c r="T600" s="476"/>
      <c r="U600" s="476"/>
      <c r="V600" s="476"/>
      <c r="W600" s="476"/>
      <c r="X600" s="476"/>
      <c r="Y600" s="476"/>
      <c r="Z600" s="476"/>
      <c r="AA600" s="476"/>
      <c r="AB600" s="476"/>
      <c r="AC600" s="476"/>
      <c r="AD600" s="476"/>
      <c r="AE600" s="476"/>
      <c r="AF600" s="476"/>
      <c r="AG600" s="476"/>
      <c r="AH600" s="476"/>
      <c r="AI600" s="476"/>
      <c r="AJ600" s="476"/>
      <c r="AK600" s="476"/>
      <c r="AL600" s="476"/>
      <c r="AM600" s="476"/>
      <c r="AN600" s="476"/>
      <c r="AO600" s="476"/>
      <c r="AP600" s="476"/>
      <c r="AQ600" s="476"/>
      <c r="AR600" s="476"/>
      <c r="AS600" s="476"/>
      <c r="AT600" s="476"/>
    </row>
    <row r="601" spans="1:46" ht="12.75" customHeight="1">
      <c r="A601" s="476"/>
      <c r="B601" s="476"/>
      <c r="C601" s="476"/>
      <c r="D601" s="476"/>
      <c r="E601" s="476"/>
      <c r="F601" s="476"/>
      <c r="G601" s="476"/>
      <c r="H601" s="476"/>
      <c r="I601" s="476"/>
      <c r="J601" s="476"/>
      <c r="K601" s="476"/>
      <c r="L601" s="476"/>
      <c r="M601" s="476"/>
      <c r="N601" s="476"/>
      <c r="O601" s="476"/>
      <c r="P601" s="476"/>
      <c r="Q601" s="476"/>
      <c r="R601" s="476"/>
      <c r="S601" s="476"/>
      <c r="T601" s="476"/>
      <c r="U601" s="476"/>
      <c r="V601" s="476"/>
      <c r="W601" s="476"/>
      <c r="X601" s="476"/>
      <c r="Y601" s="476"/>
      <c r="Z601" s="476"/>
      <c r="AA601" s="476"/>
      <c r="AB601" s="476"/>
      <c r="AC601" s="476"/>
      <c r="AD601" s="476"/>
      <c r="AE601" s="476"/>
      <c r="AF601" s="476"/>
      <c r="AG601" s="476"/>
      <c r="AH601" s="476"/>
      <c r="AI601" s="476"/>
      <c r="AJ601" s="476"/>
      <c r="AK601" s="476"/>
      <c r="AL601" s="476"/>
      <c r="AM601" s="476"/>
      <c r="AN601" s="476"/>
      <c r="AO601" s="476"/>
      <c r="AP601" s="476"/>
      <c r="AQ601" s="476"/>
      <c r="AR601" s="476"/>
      <c r="AS601" s="476"/>
      <c r="AT601" s="476"/>
    </row>
    <row r="602" spans="1:46" ht="12.75" customHeight="1">
      <c r="A602" s="476"/>
      <c r="B602" s="476"/>
      <c r="C602" s="476"/>
      <c r="D602" s="476"/>
      <c r="E602" s="476"/>
      <c r="F602" s="476"/>
      <c r="G602" s="476"/>
      <c r="H602" s="476"/>
      <c r="I602" s="476"/>
      <c r="J602" s="476"/>
      <c r="K602" s="476"/>
      <c r="L602" s="476"/>
      <c r="M602" s="476"/>
      <c r="N602" s="476"/>
      <c r="O602" s="476"/>
      <c r="P602" s="476"/>
      <c r="Q602" s="476"/>
      <c r="R602" s="476"/>
      <c r="S602" s="476"/>
      <c r="T602" s="476"/>
      <c r="U602" s="476"/>
      <c r="V602" s="476"/>
      <c r="W602" s="476"/>
      <c r="X602" s="476"/>
      <c r="Y602" s="476"/>
      <c r="Z602" s="476"/>
      <c r="AA602" s="476"/>
      <c r="AB602" s="476"/>
      <c r="AC602" s="476"/>
      <c r="AD602" s="476"/>
      <c r="AE602" s="476"/>
      <c r="AF602" s="476"/>
      <c r="AG602" s="476"/>
      <c r="AH602" s="476"/>
      <c r="AI602" s="476"/>
      <c r="AJ602" s="476"/>
      <c r="AK602" s="476"/>
      <c r="AL602" s="476"/>
      <c r="AM602" s="476"/>
      <c r="AN602" s="476"/>
      <c r="AO602" s="476"/>
      <c r="AP602" s="476"/>
      <c r="AQ602" s="476"/>
      <c r="AR602" s="476"/>
      <c r="AS602" s="476"/>
      <c r="AT602" s="476"/>
    </row>
    <row r="603" spans="1:46" ht="12.75" customHeight="1">
      <c r="A603" s="476"/>
      <c r="B603" s="476"/>
      <c r="C603" s="476"/>
      <c r="D603" s="476"/>
      <c r="E603" s="476"/>
      <c r="F603" s="476"/>
      <c r="G603" s="476"/>
      <c r="H603" s="476"/>
      <c r="I603" s="476"/>
      <c r="J603" s="476"/>
      <c r="K603" s="476"/>
      <c r="L603" s="476"/>
      <c r="M603" s="476"/>
      <c r="N603" s="476"/>
      <c r="O603" s="476"/>
      <c r="P603" s="476"/>
      <c r="Q603" s="476"/>
      <c r="R603" s="476"/>
      <c r="S603" s="476"/>
      <c r="T603" s="476"/>
      <c r="U603" s="476"/>
      <c r="V603" s="476"/>
      <c r="W603" s="476"/>
      <c r="X603" s="476"/>
      <c r="Y603" s="476"/>
      <c r="Z603" s="476"/>
      <c r="AA603" s="476"/>
      <c r="AB603" s="476"/>
      <c r="AC603" s="476"/>
      <c r="AD603" s="476"/>
      <c r="AE603" s="476"/>
      <c r="AF603" s="476"/>
      <c r="AG603" s="476"/>
      <c r="AH603" s="476"/>
      <c r="AI603" s="476"/>
      <c r="AJ603" s="476"/>
      <c r="AK603" s="476"/>
      <c r="AL603" s="476"/>
      <c r="AM603" s="476"/>
      <c r="AN603" s="476"/>
      <c r="AO603" s="476"/>
      <c r="AP603" s="476"/>
      <c r="AQ603" s="476"/>
      <c r="AR603" s="476"/>
      <c r="AS603" s="476"/>
      <c r="AT603" s="476"/>
    </row>
    <row r="604" spans="1:46" ht="12.75" customHeight="1">
      <c r="A604" s="476"/>
      <c r="B604" s="476"/>
      <c r="C604" s="476"/>
      <c r="D604" s="476"/>
      <c r="E604" s="476"/>
      <c r="F604" s="476"/>
      <c r="G604" s="476"/>
      <c r="H604" s="476"/>
      <c r="I604" s="476"/>
      <c r="J604" s="476"/>
      <c r="K604" s="476"/>
      <c r="L604" s="476"/>
      <c r="M604" s="476"/>
      <c r="N604" s="476"/>
      <c r="O604" s="476"/>
      <c r="P604" s="476"/>
      <c r="Q604" s="476"/>
      <c r="R604" s="476"/>
      <c r="S604" s="476"/>
      <c r="T604" s="476"/>
      <c r="U604" s="476"/>
      <c r="V604" s="476"/>
      <c r="W604" s="476"/>
      <c r="X604" s="476"/>
      <c r="Y604" s="476"/>
      <c r="Z604" s="476"/>
      <c r="AA604" s="476"/>
      <c r="AB604" s="476"/>
      <c r="AC604" s="476"/>
      <c r="AD604" s="476"/>
      <c r="AE604" s="476"/>
      <c r="AF604" s="476"/>
      <c r="AG604" s="476"/>
      <c r="AH604" s="476"/>
      <c r="AI604" s="476"/>
      <c r="AJ604" s="476"/>
      <c r="AK604" s="476"/>
      <c r="AL604" s="476"/>
      <c r="AM604" s="476"/>
      <c r="AN604" s="476"/>
      <c r="AO604" s="476"/>
      <c r="AP604" s="476"/>
      <c r="AQ604" s="476"/>
      <c r="AR604" s="476"/>
      <c r="AS604" s="476"/>
      <c r="AT604" s="476"/>
    </row>
    <row r="605" spans="1:46" ht="12.75" customHeight="1">
      <c r="A605" s="476"/>
      <c r="B605" s="476"/>
      <c r="C605" s="476"/>
      <c r="D605" s="476"/>
      <c r="E605" s="476"/>
      <c r="F605" s="476"/>
      <c r="G605" s="476"/>
      <c r="H605" s="476"/>
      <c r="I605" s="476"/>
      <c r="J605" s="476"/>
      <c r="K605" s="476"/>
      <c r="L605" s="476"/>
      <c r="M605" s="476"/>
      <c r="N605" s="476"/>
      <c r="O605" s="476"/>
      <c r="P605" s="476"/>
      <c r="Q605" s="476"/>
      <c r="R605" s="476"/>
      <c r="S605" s="476"/>
      <c r="T605" s="476"/>
      <c r="U605" s="476"/>
      <c r="V605" s="476"/>
      <c r="W605" s="476"/>
      <c r="X605" s="476"/>
      <c r="Y605" s="476"/>
      <c r="Z605" s="476"/>
      <c r="AA605" s="476"/>
      <c r="AB605" s="476"/>
      <c r="AC605" s="476"/>
      <c r="AD605" s="476"/>
      <c r="AE605" s="476"/>
      <c r="AF605" s="476"/>
      <c r="AG605" s="476"/>
      <c r="AH605" s="476"/>
      <c r="AI605" s="476"/>
      <c r="AJ605" s="476"/>
      <c r="AK605" s="476"/>
      <c r="AL605" s="476"/>
      <c r="AM605" s="476"/>
      <c r="AN605" s="476"/>
      <c r="AO605" s="476"/>
      <c r="AP605" s="476"/>
      <c r="AQ605" s="476"/>
      <c r="AR605" s="476"/>
      <c r="AS605" s="476"/>
      <c r="AT605" s="476"/>
    </row>
    <row r="606" spans="1:46" ht="12.75" customHeight="1">
      <c r="A606" s="476"/>
      <c r="B606" s="476"/>
      <c r="C606" s="476"/>
      <c r="D606" s="476"/>
      <c r="E606" s="476"/>
      <c r="F606" s="476"/>
      <c r="G606" s="476"/>
      <c r="H606" s="476"/>
      <c r="I606" s="476"/>
      <c r="J606" s="476"/>
      <c r="K606" s="476"/>
      <c r="L606" s="476"/>
      <c r="M606" s="476"/>
      <c r="N606" s="476"/>
      <c r="O606" s="476"/>
      <c r="P606" s="476"/>
      <c r="Q606" s="476"/>
      <c r="R606" s="476"/>
      <c r="S606" s="476"/>
      <c r="T606" s="476"/>
      <c r="U606" s="476"/>
      <c r="V606" s="476"/>
      <c r="W606" s="476"/>
      <c r="X606" s="476"/>
      <c r="Y606" s="476"/>
      <c r="Z606" s="476"/>
      <c r="AA606" s="476"/>
      <c r="AB606" s="476"/>
      <c r="AC606" s="476"/>
      <c r="AD606" s="476"/>
      <c r="AE606" s="476"/>
      <c r="AF606" s="476"/>
      <c r="AG606" s="476"/>
      <c r="AH606" s="476"/>
      <c r="AI606" s="476"/>
      <c r="AJ606" s="476"/>
      <c r="AK606" s="476"/>
      <c r="AL606" s="476"/>
      <c r="AM606" s="476"/>
      <c r="AN606" s="476"/>
      <c r="AO606" s="476"/>
      <c r="AP606" s="476"/>
      <c r="AQ606" s="476"/>
      <c r="AR606" s="476"/>
      <c r="AS606" s="476"/>
      <c r="AT606" s="476"/>
    </row>
    <row r="607" spans="1:46" ht="12.75" customHeight="1">
      <c r="A607" s="476"/>
      <c r="B607" s="476"/>
      <c r="C607" s="476"/>
      <c r="D607" s="476"/>
      <c r="E607" s="476"/>
      <c r="F607" s="476"/>
      <c r="G607" s="476"/>
      <c r="H607" s="476"/>
      <c r="I607" s="476"/>
      <c r="J607" s="476"/>
      <c r="K607" s="476"/>
      <c r="L607" s="476"/>
      <c r="M607" s="476"/>
      <c r="N607" s="476"/>
      <c r="O607" s="476"/>
      <c r="P607" s="476"/>
      <c r="Q607" s="476"/>
      <c r="R607" s="476"/>
      <c r="S607" s="476"/>
      <c r="T607" s="476"/>
      <c r="U607" s="476"/>
      <c r="V607" s="476"/>
      <c r="W607" s="476"/>
      <c r="X607" s="476"/>
      <c r="Y607" s="476"/>
      <c r="Z607" s="476"/>
      <c r="AA607" s="476"/>
      <c r="AB607" s="476"/>
      <c r="AC607" s="476"/>
      <c r="AD607" s="476"/>
      <c r="AE607" s="476"/>
      <c r="AF607" s="476"/>
      <c r="AG607" s="476"/>
      <c r="AH607" s="476"/>
      <c r="AI607" s="476"/>
      <c r="AJ607" s="476"/>
      <c r="AK607" s="476"/>
      <c r="AL607" s="476"/>
      <c r="AM607" s="476"/>
      <c r="AN607" s="476"/>
      <c r="AO607" s="476"/>
      <c r="AP607" s="476"/>
      <c r="AQ607" s="476"/>
      <c r="AR607" s="476"/>
      <c r="AS607" s="476"/>
      <c r="AT607" s="476"/>
    </row>
    <row r="608" spans="1:46" ht="12.75" customHeight="1">
      <c r="A608" s="476"/>
      <c r="B608" s="476"/>
      <c r="C608" s="476"/>
      <c r="D608" s="476"/>
      <c r="E608" s="476"/>
      <c r="F608" s="476"/>
      <c r="G608" s="476"/>
      <c r="H608" s="476"/>
      <c r="I608" s="476"/>
      <c r="J608" s="476"/>
      <c r="K608" s="476"/>
      <c r="L608" s="476"/>
      <c r="M608" s="476"/>
      <c r="N608" s="476"/>
      <c r="O608" s="476"/>
      <c r="P608" s="476"/>
      <c r="Q608" s="476"/>
      <c r="R608" s="476"/>
      <c r="S608" s="476"/>
      <c r="T608" s="476"/>
      <c r="U608" s="476"/>
      <c r="V608" s="476"/>
      <c r="W608" s="476"/>
      <c r="X608" s="476"/>
      <c r="Y608" s="476"/>
      <c r="Z608" s="476"/>
      <c r="AA608" s="476"/>
      <c r="AB608" s="476"/>
      <c r="AC608" s="476"/>
      <c r="AD608" s="476"/>
      <c r="AE608" s="476"/>
      <c r="AF608" s="476"/>
      <c r="AG608" s="476"/>
      <c r="AH608" s="476"/>
      <c r="AI608" s="476"/>
      <c r="AJ608" s="476"/>
      <c r="AK608" s="476"/>
      <c r="AL608" s="476"/>
      <c r="AM608" s="476"/>
      <c r="AN608" s="476"/>
      <c r="AO608" s="476"/>
      <c r="AP608" s="476"/>
      <c r="AQ608" s="476"/>
      <c r="AR608" s="476"/>
      <c r="AS608" s="476"/>
      <c r="AT608" s="476"/>
    </row>
    <row r="609" spans="1:46" ht="12.75" customHeight="1">
      <c r="A609" s="476"/>
      <c r="B609" s="476"/>
      <c r="C609" s="476"/>
      <c r="D609" s="476"/>
      <c r="E609" s="476"/>
      <c r="F609" s="476"/>
      <c r="G609" s="476"/>
      <c r="H609" s="476"/>
      <c r="I609" s="476"/>
      <c r="J609" s="476"/>
      <c r="K609" s="476"/>
      <c r="L609" s="476"/>
      <c r="M609" s="476"/>
      <c r="N609" s="476"/>
      <c r="O609" s="476"/>
      <c r="P609" s="476"/>
      <c r="Q609" s="476"/>
      <c r="R609" s="476"/>
      <c r="S609" s="476"/>
      <c r="T609" s="476"/>
      <c r="U609" s="476"/>
      <c r="V609" s="476"/>
      <c r="W609" s="476"/>
      <c r="X609" s="476"/>
      <c r="Y609" s="476"/>
      <c r="Z609" s="476"/>
      <c r="AA609" s="476"/>
      <c r="AB609" s="476"/>
      <c r="AC609" s="476"/>
      <c r="AD609" s="476"/>
      <c r="AE609" s="476"/>
      <c r="AF609" s="476"/>
      <c r="AG609" s="476"/>
      <c r="AH609" s="476"/>
      <c r="AI609" s="476"/>
      <c r="AJ609" s="476"/>
      <c r="AK609" s="476"/>
      <c r="AL609" s="476"/>
      <c r="AM609" s="476"/>
      <c r="AN609" s="476"/>
      <c r="AO609" s="476"/>
      <c r="AP609" s="476"/>
      <c r="AQ609" s="476"/>
      <c r="AR609" s="476"/>
      <c r="AS609" s="476"/>
      <c r="AT609" s="476"/>
    </row>
    <row r="610" spans="1:46" ht="12.75" customHeight="1">
      <c r="A610" s="476"/>
      <c r="B610" s="476"/>
      <c r="C610" s="476"/>
      <c r="D610" s="476"/>
      <c r="E610" s="476"/>
      <c r="F610" s="476"/>
      <c r="G610" s="476"/>
      <c r="H610" s="476"/>
      <c r="I610" s="476"/>
      <c r="J610" s="476"/>
      <c r="K610" s="476"/>
      <c r="L610" s="476"/>
      <c r="M610" s="476"/>
      <c r="N610" s="476"/>
      <c r="O610" s="476"/>
      <c r="P610" s="476"/>
      <c r="Q610" s="476"/>
      <c r="R610" s="476"/>
      <c r="S610" s="476"/>
      <c r="T610" s="476"/>
      <c r="U610" s="476"/>
      <c r="V610" s="476"/>
      <c r="W610" s="476"/>
      <c r="X610" s="476"/>
      <c r="Y610" s="476"/>
      <c r="Z610" s="476"/>
      <c r="AA610" s="476"/>
      <c r="AB610" s="476"/>
      <c r="AC610" s="476"/>
      <c r="AD610" s="476"/>
      <c r="AE610" s="476"/>
      <c r="AF610" s="476"/>
      <c r="AG610" s="476"/>
      <c r="AH610" s="476"/>
      <c r="AI610" s="476"/>
      <c r="AJ610" s="476"/>
      <c r="AK610" s="476"/>
      <c r="AL610" s="476"/>
      <c r="AM610" s="476"/>
      <c r="AN610" s="476"/>
      <c r="AO610" s="476"/>
      <c r="AP610" s="476"/>
      <c r="AQ610" s="476"/>
      <c r="AR610" s="476"/>
      <c r="AS610" s="476"/>
      <c r="AT610" s="476"/>
    </row>
    <row r="611" spans="1:46" ht="12.75" customHeight="1">
      <c r="A611" s="476"/>
      <c r="B611" s="476"/>
      <c r="C611" s="476"/>
      <c r="D611" s="476"/>
      <c r="E611" s="476"/>
      <c r="F611" s="476"/>
      <c r="G611" s="476"/>
      <c r="H611" s="476"/>
      <c r="I611" s="476"/>
      <c r="J611" s="476"/>
      <c r="K611" s="476"/>
      <c r="L611" s="476"/>
      <c r="M611" s="476"/>
      <c r="N611" s="476"/>
      <c r="O611" s="476"/>
      <c r="P611" s="476"/>
      <c r="Q611" s="476"/>
      <c r="R611" s="476"/>
      <c r="S611" s="476"/>
      <c r="T611" s="476"/>
      <c r="U611" s="476"/>
      <c r="V611" s="476"/>
      <c r="W611" s="476"/>
      <c r="X611" s="476"/>
      <c r="Y611" s="476"/>
      <c r="Z611" s="476"/>
      <c r="AA611" s="476"/>
      <c r="AB611" s="476"/>
      <c r="AC611" s="476"/>
      <c r="AD611" s="476"/>
      <c r="AE611" s="476"/>
      <c r="AF611" s="476"/>
      <c r="AG611" s="476"/>
      <c r="AH611" s="476"/>
      <c r="AI611" s="476"/>
      <c r="AJ611" s="476"/>
      <c r="AK611" s="476"/>
      <c r="AL611" s="476"/>
      <c r="AM611" s="476"/>
      <c r="AN611" s="476"/>
      <c r="AO611" s="476"/>
      <c r="AP611" s="476"/>
      <c r="AQ611" s="476"/>
      <c r="AR611" s="476"/>
      <c r="AS611" s="476"/>
      <c r="AT611" s="476"/>
    </row>
    <row r="612" spans="1:46" ht="12.75" customHeight="1">
      <c r="A612" s="476"/>
      <c r="B612" s="476"/>
      <c r="C612" s="476"/>
      <c r="D612" s="476"/>
      <c r="E612" s="476"/>
      <c r="F612" s="476"/>
      <c r="G612" s="476"/>
      <c r="H612" s="476"/>
      <c r="I612" s="476"/>
      <c r="J612" s="476"/>
      <c r="K612" s="476"/>
      <c r="L612" s="476"/>
      <c r="M612" s="476"/>
      <c r="N612" s="476"/>
      <c r="O612" s="476"/>
      <c r="P612" s="476"/>
      <c r="Q612" s="476"/>
      <c r="R612" s="476"/>
      <c r="S612" s="476"/>
      <c r="T612" s="476"/>
      <c r="U612" s="476"/>
      <c r="V612" s="476"/>
      <c r="W612" s="476"/>
      <c r="X612" s="476"/>
      <c r="Y612" s="476"/>
      <c r="Z612" s="476"/>
      <c r="AA612" s="476"/>
      <c r="AB612" s="476"/>
      <c r="AC612" s="476"/>
      <c r="AD612" s="476"/>
      <c r="AE612" s="476"/>
      <c r="AF612" s="476"/>
      <c r="AG612" s="476"/>
      <c r="AH612" s="476"/>
      <c r="AI612" s="476"/>
      <c r="AJ612" s="476"/>
      <c r="AK612" s="476"/>
      <c r="AL612" s="476"/>
      <c r="AM612" s="476"/>
      <c r="AN612" s="476"/>
      <c r="AO612" s="476"/>
      <c r="AP612" s="476"/>
      <c r="AQ612" s="476"/>
      <c r="AR612" s="476"/>
      <c r="AS612" s="476"/>
      <c r="AT612" s="476"/>
    </row>
    <row r="613" spans="1:46" ht="12.75" customHeight="1">
      <c r="A613" s="476"/>
      <c r="B613" s="476"/>
      <c r="C613" s="476"/>
      <c r="D613" s="476"/>
      <c r="E613" s="476"/>
      <c r="F613" s="476"/>
      <c r="G613" s="476"/>
      <c r="H613" s="476"/>
      <c r="I613" s="476"/>
      <c r="J613" s="476"/>
      <c r="K613" s="476"/>
      <c r="L613" s="476"/>
      <c r="M613" s="476"/>
      <c r="N613" s="476"/>
      <c r="O613" s="476"/>
      <c r="P613" s="476"/>
      <c r="Q613" s="476"/>
      <c r="R613" s="476"/>
      <c r="S613" s="476"/>
      <c r="T613" s="476"/>
      <c r="U613" s="476"/>
      <c r="V613" s="476"/>
      <c r="W613" s="476"/>
      <c r="X613" s="476"/>
      <c r="Y613" s="476"/>
      <c r="Z613" s="476"/>
      <c r="AA613" s="476"/>
      <c r="AB613" s="476"/>
      <c r="AC613" s="476"/>
      <c r="AD613" s="476"/>
      <c r="AE613" s="476"/>
      <c r="AF613" s="476"/>
      <c r="AG613" s="476"/>
      <c r="AH613" s="476"/>
      <c r="AI613" s="476"/>
      <c r="AJ613" s="476"/>
      <c r="AK613" s="476"/>
      <c r="AL613" s="476"/>
      <c r="AM613" s="476"/>
      <c r="AN613" s="476"/>
      <c r="AO613" s="476"/>
      <c r="AP613" s="476"/>
      <c r="AQ613" s="476"/>
      <c r="AR613" s="476"/>
      <c r="AS613" s="476"/>
      <c r="AT613" s="476"/>
    </row>
    <row r="614" spans="1:46" ht="12.75" customHeight="1">
      <c r="A614" s="476"/>
      <c r="B614" s="476"/>
      <c r="C614" s="476"/>
      <c r="D614" s="476"/>
      <c r="E614" s="476"/>
      <c r="F614" s="476"/>
      <c r="G614" s="476"/>
      <c r="H614" s="476"/>
      <c r="I614" s="476"/>
      <c r="J614" s="476"/>
      <c r="K614" s="476"/>
      <c r="L614" s="476"/>
      <c r="M614" s="476"/>
      <c r="N614" s="476"/>
      <c r="O614" s="476"/>
      <c r="P614" s="476"/>
      <c r="Q614" s="476"/>
      <c r="R614" s="476"/>
      <c r="S614" s="476"/>
      <c r="T614" s="476"/>
      <c r="U614" s="476"/>
      <c r="V614" s="476"/>
      <c r="W614" s="476"/>
      <c r="X614" s="476"/>
      <c r="Y614" s="476"/>
      <c r="Z614" s="476"/>
      <c r="AA614" s="476"/>
      <c r="AB614" s="476"/>
      <c r="AC614" s="476"/>
      <c r="AD614" s="476"/>
      <c r="AE614" s="476"/>
      <c r="AF614" s="476"/>
      <c r="AG614" s="476"/>
      <c r="AH614" s="476"/>
      <c r="AI614" s="476"/>
      <c r="AJ614" s="476"/>
      <c r="AK614" s="476"/>
      <c r="AL614" s="476"/>
      <c r="AM614" s="476"/>
      <c r="AN614" s="476"/>
      <c r="AO614" s="476"/>
      <c r="AP614" s="476"/>
      <c r="AQ614" s="476"/>
      <c r="AR614" s="476"/>
      <c r="AS614" s="476"/>
      <c r="AT614" s="476"/>
    </row>
    <row r="615" spans="1:46" ht="12.75" customHeight="1">
      <c r="A615" s="476"/>
      <c r="B615" s="476"/>
      <c r="C615" s="476"/>
      <c r="D615" s="476"/>
      <c r="E615" s="476"/>
      <c r="F615" s="476"/>
      <c r="G615" s="476"/>
      <c r="H615" s="476"/>
      <c r="I615" s="476"/>
      <c r="J615" s="476"/>
      <c r="K615" s="476"/>
      <c r="L615" s="476"/>
      <c r="M615" s="476"/>
      <c r="N615" s="476"/>
      <c r="O615" s="476"/>
      <c r="P615" s="476"/>
      <c r="Q615" s="476"/>
      <c r="R615" s="476"/>
      <c r="S615" s="476"/>
      <c r="T615" s="476"/>
      <c r="U615" s="476"/>
      <c r="V615" s="476"/>
      <c r="W615" s="476"/>
      <c r="X615" s="476"/>
      <c r="Y615" s="476"/>
      <c r="Z615" s="476"/>
      <c r="AA615" s="476"/>
      <c r="AB615" s="476"/>
      <c r="AC615" s="476"/>
      <c r="AD615" s="476"/>
      <c r="AE615" s="476"/>
      <c r="AF615" s="476"/>
      <c r="AG615" s="476"/>
      <c r="AH615" s="476"/>
      <c r="AI615" s="476"/>
      <c r="AJ615" s="476"/>
      <c r="AK615" s="476"/>
      <c r="AL615" s="476"/>
      <c r="AM615" s="476"/>
      <c r="AN615" s="476"/>
      <c r="AO615" s="476"/>
      <c r="AP615" s="476"/>
      <c r="AQ615" s="476"/>
      <c r="AR615" s="476"/>
      <c r="AS615" s="476"/>
      <c r="AT615" s="476"/>
    </row>
    <row r="616" spans="1:46" ht="12.75" customHeight="1">
      <c r="A616" s="476"/>
      <c r="B616" s="476"/>
      <c r="C616" s="476"/>
      <c r="D616" s="476"/>
      <c r="E616" s="476"/>
      <c r="F616" s="476"/>
      <c r="G616" s="476"/>
      <c r="H616" s="476"/>
      <c r="I616" s="476"/>
      <c r="J616" s="476"/>
      <c r="K616" s="476"/>
      <c r="L616" s="476"/>
      <c r="M616" s="476"/>
      <c r="N616" s="476"/>
      <c r="O616" s="476"/>
      <c r="P616" s="476"/>
      <c r="Q616" s="476"/>
      <c r="R616" s="476"/>
      <c r="S616" s="476"/>
      <c r="T616" s="476"/>
      <c r="U616" s="476"/>
      <c r="V616" s="476"/>
      <c r="W616" s="476"/>
      <c r="X616" s="476"/>
      <c r="Y616" s="476"/>
      <c r="Z616" s="476"/>
      <c r="AA616" s="476"/>
      <c r="AB616" s="476"/>
      <c r="AC616" s="476"/>
      <c r="AD616" s="476"/>
      <c r="AE616" s="476"/>
      <c r="AF616" s="476"/>
      <c r="AG616" s="476"/>
      <c r="AH616" s="476"/>
      <c r="AI616" s="476"/>
      <c r="AJ616" s="476"/>
      <c r="AK616" s="476"/>
      <c r="AL616" s="476"/>
      <c r="AM616" s="476"/>
      <c r="AN616" s="476"/>
      <c r="AO616" s="476"/>
      <c r="AP616" s="476"/>
      <c r="AQ616" s="476"/>
      <c r="AR616" s="476"/>
      <c r="AS616" s="476"/>
      <c r="AT616" s="476"/>
    </row>
    <row r="617" spans="1:46" ht="12.75" customHeight="1">
      <c r="A617" s="476"/>
      <c r="B617" s="476"/>
      <c r="C617" s="476"/>
      <c r="D617" s="476"/>
      <c r="E617" s="476"/>
      <c r="F617" s="476"/>
      <c r="G617" s="476"/>
      <c r="H617" s="476"/>
      <c r="I617" s="476"/>
      <c r="J617" s="476"/>
      <c r="K617" s="476"/>
      <c r="L617" s="476"/>
      <c r="M617" s="476"/>
      <c r="N617" s="476"/>
      <c r="O617" s="476"/>
      <c r="P617" s="476"/>
      <c r="Q617" s="476"/>
      <c r="R617" s="476"/>
      <c r="S617" s="476"/>
      <c r="T617" s="476"/>
      <c r="U617" s="476"/>
      <c r="V617" s="476"/>
      <c r="W617" s="476"/>
      <c r="X617" s="476"/>
      <c r="Y617" s="476"/>
      <c r="Z617" s="476"/>
      <c r="AA617" s="476"/>
      <c r="AB617" s="476"/>
      <c r="AC617" s="476"/>
      <c r="AD617" s="476"/>
      <c r="AE617" s="476"/>
      <c r="AF617" s="476"/>
      <c r="AG617" s="476"/>
      <c r="AH617" s="476"/>
      <c r="AI617" s="476"/>
      <c r="AJ617" s="476"/>
      <c r="AK617" s="476"/>
      <c r="AL617" s="476"/>
      <c r="AM617" s="476"/>
      <c r="AN617" s="476"/>
      <c r="AO617" s="476"/>
      <c r="AP617" s="476"/>
      <c r="AQ617" s="476"/>
      <c r="AR617" s="476"/>
      <c r="AS617" s="476"/>
      <c r="AT617" s="476"/>
    </row>
    <row r="618" spans="1:46" ht="12.75" customHeight="1">
      <c r="A618" s="476"/>
      <c r="B618" s="476"/>
      <c r="C618" s="476"/>
      <c r="D618" s="476"/>
      <c r="E618" s="476"/>
      <c r="F618" s="476"/>
      <c r="G618" s="476"/>
      <c r="H618" s="476"/>
      <c r="I618" s="476"/>
      <c r="J618" s="476"/>
      <c r="K618" s="476"/>
      <c r="L618" s="476"/>
      <c r="M618" s="476"/>
      <c r="N618" s="476"/>
      <c r="O618" s="476"/>
      <c r="P618" s="476"/>
      <c r="Q618" s="476"/>
      <c r="R618" s="476"/>
      <c r="S618" s="476"/>
      <c r="T618" s="476"/>
      <c r="U618" s="476"/>
      <c r="V618" s="476"/>
      <c r="W618" s="476"/>
      <c r="X618" s="476"/>
      <c r="Y618" s="476"/>
      <c r="Z618" s="476"/>
      <c r="AA618" s="476"/>
      <c r="AB618" s="476"/>
      <c r="AC618" s="476"/>
      <c r="AD618" s="476"/>
      <c r="AE618" s="476"/>
      <c r="AF618" s="476"/>
      <c r="AG618" s="476"/>
      <c r="AH618" s="476"/>
      <c r="AI618" s="476"/>
      <c r="AJ618" s="476"/>
      <c r="AK618" s="476"/>
      <c r="AL618" s="476"/>
      <c r="AM618" s="476"/>
      <c r="AN618" s="476"/>
      <c r="AO618" s="476"/>
      <c r="AP618" s="476"/>
      <c r="AQ618" s="476"/>
      <c r="AR618" s="476"/>
      <c r="AS618" s="476"/>
      <c r="AT618" s="476"/>
    </row>
    <row r="619" spans="1:46" ht="12.75" customHeight="1">
      <c r="A619" s="476"/>
      <c r="B619" s="476"/>
      <c r="C619" s="476"/>
      <c r="D619" s="476"/>
      <c r="E619" s="476"/>
      <c r="F619" s="476"/>
      <c r="G619" s="476"/>
      <c r="H619" s="476"/>
      <c r="I619" s="476"/>
      <c r="J619" s="476"/>
      <c r="K619" s="476"/>
      <c r="L619" s="476"/>
      <c r="M619" s="476"/>
      <c r="N619" s="476"/>
      <c r="O619" s="476"/>
      <c r="P619" s="476"/>
      <c r="Q619" s="476"/>
      <c r="R619" s="476"/>
      <c r="S619" s="476"/>
      <c r="T619" s="476"/>
      <c r="U619" s="476"/>
      <c r="V619" s="476"/>
      <c r="W619" s="476"/>
      <c r="X619" s="476"/>
      <c r="Y619" s="476"/>
      <c r="Z619" s="476"/>
      <c r="AA619" s="476"/>
      <c r="AB619" s="476"/>
      <c r="AC619" s="476"/>
      <c r="AD619" s="476"/>
      <c r="AE619" s="476"/>
      <c r="AF619" s="476"/>
      <c r="AG619" s="476"/>
      <c r="AH619" s="476"/>
      <c r="AI619" s="476"/>
      <c r="AJ619" s="476"/>
      <c r="AK619" s="476"/>
      <c r="AL619" s="476"/>
      <c r="AM619" s="476"/>
      <c r="AN619" s="476"/>
      <c r="AO619" s="476"/>
      <c r="AP619" s="476"/>
      <c r="AQ619" s="476"/>
      <c r="AR619" s="476"/>
      <c r="AS619" s="476"/>
      <c r="AT619" s="476"/>
    </row>
    <row r="620" spans="1:46" ht="12.75" customHeight="1">
      <c r="A620" s="476"/>
      <c r="B620" s="476"/>
      <c r="C620" s="476"/>
      <c r="D620" s="476"/>
      <c r="E620" s="476"/>
      <c r="F620" s="476"/>
      <c r="G620" s="476"/>
      <c r="H620" s="476"/>
      <c r="I620" s="476"/>
      <c r="J620" s="476"/>
      <c r="K620" s="476"/>
      <c r="L620" s="476"/>
      <c r="M620" s="476"/>
      <c r="N620" s="476"/>
      <c r="O620" s="476"/>
      <c r="P620" s="476"/>
      <c r="Q620" s="476"/>
      <c r="R620" s="476"/>
      <c r="S620" s="476"/>
      <c r="T620" s="476"/>
      <c r="U620" s="476"/>
      <c r="V620" s="476"/>
      <c r="W620" s="476"/>
      <c r="X620" s="476"/>
      <c r="Y620" s="476"/>
      <c r="Z620" s="476"/>
      <c r="AA620" s="476"/>
      <c r="AB620" s="476"/>
      <c r="AC620" s="476"/>
      <c r="AD620" s="476"/>
      <c r="AE620" s="476"/>
      <c r="AF620" s="476"/>
      <c r="AG620" s="476"/>
      <c r="AH620" s="476"/>
      <c r="AI620" s="476"/>
      <c r="AJ620" s="476"/>
      <c r="AK620" s="476"/>
      <c r="AL620" s="476"/>
      <c r="AM620" s="476"/>
      <c r="AN620" s="476"/>
      <c r="AO620" s="476"/>
      <c r="AP620" s="476"/>
      <c r="AQ620" s="476"/>
      <c r="AR620" s="476"/>
      <c r="AS620" s="476"/>
      <c r="AT620" s="476"/>
    </row>
    <row r="621" spans="1:46" ht="12.75" customHeight="1">
      <c r="A621" s="476"/>
      <c r="B621" s="476"/>
      <c r="C621" s="476"/>
      <c r="D621" s="476"/>
      <c r="E621" s="476"/>
      <c r="F621" s="476"/>
      <c r="G621" s="476"/>
      <c r="H621" s="476"/>
      <c r="I621" s="476"/>
      <c r="J621" s="476"/>
      <c r="K621" s="476"/>
      <c r="L621" s="476"/>
      <c r="M621" s="476"/>
      <c r="N621" s="476"/>
      <c r="O621" s="476"/>
      <c r="P621" s="476"/>
      <c r="Q621" s="476"/>
      <c r="R621" s="476"/>
      <c r="S621" s="476"/>
      <c r="T621" s="476"/>
      <c r="U621" s="476"/>
      <c r="V621" s="476"/>
      <c r="W621" s="476"/>
      <c r="X621" s="476"/>
      <c r="Y621" s="476"/>
      <c r="Z621" s="476"/>
      <c r="AA621" s="476"/>
      <c r="AB621" s="476"/>
      <c r="AC621" s="476"/>
      <c r="AD621" s="476"/>
      <c r="AE621" s="476"/>
      <c r="AF621" s="476"/>
      <c r="AG621" s="476"/>
      <c r="AH621" s="476"/>
      <c r="AI621" s="476"/>
      <c r="AJ621" s="476"/>
      <c r="AK621" s="476"/>
      <c r="AL621" s="476"/>
      <c r="AM621" s="476"/>
      <c r="AN621" s="476"/>
      <c r="AO621" s="476"/>
      <c r="AP621" s="476"/>
      <c r="AQ621" s="476"/>
      <c r="AR621" s="476"/>
      <c r="AS621" s="476"/>
      <c r="AT621" s="476"/>
    </row>
    <row r="622" spans="1:46" ht="12.75" customHeight="1">
      <c r="A622" s="476"/>
      <c r="B622" s="476"/>
      <c r="C622" s="476"/>
      <c r="D622" s="476"/>
      <c r="E622" s="476"/>
      <c r="F622" s="476"/>
      <c r="G622" s="476"/>
      <c r="H622" s="476"/>
      <c r="I622" s="476"/>
      <c r="J622" s="476"/>
      <c r="K622" s="476"/>
      <c r="L622" s="476"/>
      <c r="M622" s="476"/>
      <c r="N622" s="476"/>
      <c r="O622" s="476"/>
      <c r="P622" s="476"/>
      <c r="Q622" s="476"/>
      <c r="R622" s="476"/>
      <c r="S622" s="476"/>
      <c r="T622" s="476"/>
      <c r="U622" s="476"/>
      <c r="V622" s="476"/>
      <c r="W622" s="476"/>
      <c r="X622" s="476"/>
      <c r="Y622" s="476"/>
      <c r="Z622" s="476"/>
      <c r="AA622" s="476"/>
      <c r="AB622" s="476"/>
      <c r="AC622" s="476"/>
      <c r="AD622" s="476"/>
      <c r="AE622" s="476"/>
      <c r="AF622" s="476"/>
      <c r="AG622" s="476"/>
      <c r="AH622" s="476"/>
      <c r="AI622" s="476"/>
      <c r="AJ622" s="476"/>
      <c r="AK622" s="476"/>
      <c r="AL622" s="476"/>
      <c r="AM622" s="476"/>
      <c r="AN622" s="476"/>
      <c r="AO622" s="476"/>
      <c r="AP622" s="476"/>
      <c r="AQ622" s="476"/>
      <c r="AR622" s="476"/>
      <c r="AS622" s="476"/>
      <c r="AT622" s="476"/>
    </row>
    <row r="623" spans="1:46" ht="12.75" customHeight="1">
      <c r="A623" s="476"/>
      <c r="B623" s="476"/>
      <c r="C623" s="476"/>
      <c r="D623" s="476"/>
      <c r="E623" s="476"/>
      <c r="F623" s="476"/>
      <c r="G623" s="476"/>
      <c r="H623" s="476"/>
      <c r="I623" s="476"/>
      <c r="J623" s="476"/>
      <c r="K623" s="476"/>
      <c r="L623" s="476"/>
      <c r="M623" s="476"/>
      <c r="N623" s="476"/>
      <c r="O623" s="476"/>
      <c r="P623" s="476"/>
      <c r="Q623" s="476"/>
      <c r="R623" s="476"/>
      <c r="S623" s="476"/>
      <c r="T623" s="476"/>
      <c r="U623" s="476"/>
      <c r="V623" s="476"/>
      <c r="W623" s="476"/>
      <c r="X623" s="476"/>
      <c r="Y623" s="476"/>
      <c r="Z623" s="476"/>
      <c r="AA623" s="476"/>
      <c r="AB623" s="476"/>
      <c r="AC623" s="476"/>
      <c r="AD623" s="476"/>
      <c r="AE623" s="476"/>
      <c r="AF623" s="476"/>
      <c r="AG623" s="476"/>
      <c r="AH623" s="476"/>
      <c r="AI623" s="476"/>
      <c r="AJ623" s="476"/>
      <c r="AK623" s="476"/>
      <c r="AL623" s="476"/>
      <c r="AM623" s="476"/>
      <c r="AN623" s="476"/>
      <c r="AO623" s="476"/>
      <c r="AP623" s="476"/>
      <c r="AQ623" s="476"/>
      <c r="AR623" s="476"/>
      <c r="AS623" s="476"/>
      <c r="AT623" s="476"/>
    </row>
    <row r="624" spans="1:46" ht="12.75" customHeight="1">
      <c r="A624" s="476"/>
      <c r="B624" s="476"/>
      <c r="C624" s="476"/>
      <c r="D624" s="476"/>
      <c r="E624" s="476"/>
      <c r="F624" s="476"/>
      <c r="G624" s="476"/>
      <c r="H624" s="476"/>
      <c r="I624" s="476"/>
      <c r="J624" s="476"/>
      <c r="K624" s="476"/>
      <c r="L624" s="476"/>
      <c r="M624" s="476"/>
      <c r="N624" s="476"/>
      <c r="O624" s="476"/>
      <c r="P624" s="476"/>
      <c r="Q624" s="476"/>
      <c r="R624" s="476"/>
      <c r="S624" s="476"/>
      <c r="T624" s="476"/>
      <c r="U624" s="476"/>
      <c r="V624" s="476"/>
      <c r="W624" s="476"/>
      <c r="X624" s="476"/>
      <c r="Y624" s="476"/>
      <c r="Z624" s="476"/>
      <c r="AA624" s="476"/>
      <c r="AB624" s="476"/>
      <c r="AC624" s="476"/>
      <c r="AD624" s="476"/>
      <c r="AE624" s="476"/>
      <c r="AF624" s="476"/>
      <c r="AG624" s="476"/>
      <c r="AH624" s="476"/>
      <c r="AI624" s="476"/>
      <c r="AJ624" s="476"/>
      <c r="AK624" s="476"/>
      <c r="AL624" s="476"/>
      <c r="AM624" s="476"/>
      <c r="AN624" s="476"/>
      <c r="AO624" s="476"/>
      <c r="AP624" s="476"/>
      <c r="AQ624" s="476"/>
      <c r="AR624" s="476"/>
      <c r="AS624" s="476"/>
      <c r="AT624" s="476"/>
    </row>
    <row r="625" spans="1:46" ht="12.75" customHeight="1">
      <c r="A625" s="476"/>
      <c r="B625" s="476"/>
      <c r="C625" s="476"/>
      <c r="D625" s="476"/>
      <c r="E625" s="476"/>
      <c r="F625" s="476"/>
      <c r="G625" s="476"/>
      <c r="H625" s="476"/>
      <c r="I625" s="476"/>
      <c r="J625" s="476"/>
      <c r="K625" s="476"/>
      <c r="L625" s="476"/>
      <c r="M625" s="476"/>
      <c r="N625" s="476"/>
      <c r="O625" s="476"/>
      <c r="P625" s="476"/>
      <c r="Q625" s="476"/>
      <c r="R625" s="476"/>
      <c r="S625" s="476"/>
      <c r="T625" s="476"/>
      <c r="U625" s="476"/>
      <c r="V625" s="476"/>
      <c r="W625" s="476"/>
      <c r="X625" s="476"/>
      <c r="Y625" s="476"/>
      <c r="Z625" s="476"/>
      <c r="AA625" s="476"/>
      <c r="AB625" s="476"/>
      <c r="AC625" s="476"/>
      <c r="AD625" s="476"/>
      <c r="AE625" s="476"/>
      <c r="AF625" s="476"/>
      <c r="AG625" s="476"/>
      <c r="AH625" s="476"/>
      <c r="AI625" s="476"/>
      <c r="AJ625" s="476"/>
      <c r="AK625" s="476"/>
      <c r="AL625" s="476"/>
      <c r="AM625" s="476"/>
      <c r="AN625" s="476"/>
      <c r="AO625" s="476"/>
      <c r="AP625" s="476"/>
      <c r="AQ625" s="476"/>
      <c r="AR625" s="476"/>
      <c r="AS625" s="476"/>
      <c r="AT625" s="476"/>
    </row>
    <row r="626" spans="1:46" ht="12.75" customHeight="1">
      <c r="A626" s="476"/>
      <c r="B626" s="476"/>
      <c r="C626" s="476"/>
      <c r="D626" s="476"/>
      <c r="E626" s="476"/>
      <c r="F626" s="476"/>
      <c r="G626" s="476"/>
      <c r="H626" s="476"/>
      <c r="I626" s="476"/>
      <c r="J626" s="476"/>
      <c r="K626" s="476"/>
      <c r="L626" s="476"/>
      <c r="M626" s="476"/>
      <c r="N626" s="476"/>
      <c r="O626" s="476"/>
      <c r="P626" s="476"/>
      <c r="Q626" s="476"/>
      <c r="R626" s="476"/>
      <c r="S626" s="476"/>
      <c r="T626" s="476"/>
      <c r="U626" s="476"/>
      <c r="V626" s="476"/>
      <c r="W626" s="476"/>
      <c r="X626" s="476"/>
      <c r="Y626" s="476"/>
      <c r="Z626" s="476"/>
      <c r="AA626" s="476"/>
      <c r="AB626" s="476"/>
      <c r="AC626" s="476"/>
      <c r="AD626" s="476"/>
      <c r="AE626" s="476"/>
      <c r="AF626" s="476"/>
      <c r="AG626" s="476"/>
      <c r="AH626" s="476"/>
      <c r="AI626" s="476"/>
      <c r="AJ626" s="476"/>
      <c r="AK626" s="476"/>
      <c r="AL626" s="476"/>
      <c r="AM626" s="476"/>
      <c r="AN626" s="476"/>
      <c r="AO626" s="476"/>
      <c r="AP626" s="476"/>
      <c r="AQ626" s="476"/>
      <c r="AR626" s="476"/>
      <c r="AS626" s="476"/>
      <c r="AT626" s="476"/>
    </row>
    <row r="627" spans="1:46" ht="12.75" customHeight="1">
      <c r="A627" s="476"/>
      <c r="B627" s="476"/>
      <c r="C627" s="476"/>
      <c r="D627" s="476"/>
      <c r="E627" s="476"/>
      <c r="F627" s="476"/>
      <c r="G627" s="476"/>
      <c r="H627" s="476"/>
      <c r="I627" s="476"/>
      <c r="J627" s="476"/>
      <c r="K627" s="476"/>
      <c r="L627" s="476"/>
      <c r="M627" s="476"/>
      <c r="N627" s="476"/>
      <c r="O627" s="476"/>
      <c r="P627" s="476"/>
      <c r="Q627" s="476"/>
      <c r="R627" s="476"/>
      <c r="S627" s="476"/>
      <c r="T627" s="476"/>
      <c r="U627" s="476"/>
      <c r="V627" s="476"/>
      <c r="W627" s="476"/>
      <c r="X627" s="476"/>
      <c r="Y627" s="476"/>
      <c r="Z627" s="476"/>
      <c r="AA627" s="476"/>
      <c r="AB627" s="476"/>
      <c r="AC627" s="476"/>
      <c r="AD627" s="476"/>
      <c r="AE627" s="476"/>
      <c r="AF627" s="476"/>
      <c r="AG627" s="476"/>
      <c r="AH627" s="476"/>
      <c r="AI627" s="476"/>
      <c r="AJ627" s="476"/>
      <c r="AK627" s="476"/>
      <c r="AL627" s="476"/>
      <c r="AM627" s="476"/>
      <c r="AN627" s="476"/>
      <c r="AO627" s="476"/>
      <c r="AP627" s="476"/>
      <c r="AQ627" s="476"/>
      <c r="AR627" s="476"/>
      <c r="AS627" s="476"/>
      <c r="AT627" s="476"/>
    </row>
    <row r="628" spans="1:46" ht="12.75" customHeight="1">
      <c r="A628" s="476"/>
      <c r="B628" s="476"/>
      <c r="C628" s="476"/>
      <c r="D628" s="476"/>
      <c r="E628" s="476"/>
      <c r="F628" s="476"/>
      <c r="G628" s="476"/>
      <c r="H628" s="476"/>
      <c r="I628" s="476"/>
      <c r="J628" s="476"/>
      <c r="K628" s="476"/>
      <c r="L628" s="476"/>
      <c r="M628" s="476"/>
      <c r="N628" s="476"/>
      <c r="O628" s="476"/>
      <c r="P628" s="476"/>
      <c r="Q628" s="476"/>
      <c r="R628" s="476"/>
      <c r="S628" s="476"/>
      <c r="T628" s="476"/>
      <c r="U628" s="476"/>
      <c r="V628" s="476"/>
      <c r="W628" s="476"/>
      <c r="X628" s="476"/>
      <c r="Y628" s="476"/>
      <c r="Z628" s="476"/>
      <c r="AA628" s="476"/>
      <c r="AB628" s="476"/>
      <c r="AC628" s="476"/>
      <c r="AD628" s="476"/>
      <c r="AE628" s="476"/>
      <c r="AF628" s="476"/>
      <c r="AG628" s="476"/>
      <c r="AH628" s="476"/>
      <c r="AI628" s="476"/>
      <c r="AJ628" s="476"/>
      <c r="AK628" s="476"/>
      <c r="AL628" s="476"/>
      <c r="AM628" s="476"/>
      <c r="AN628" s="476"/>
      <c r="AO628" s="476"/>
      <c r="AP628" s="476"/>
      <c r="AQ628" s="476"/>
      <c r="AR628" s="476"/>
      <c r="AS628" s="476"/>
      <c r="AT628" s="476"/>
    </row>
    <row r="629" spans="1:46" ht="12.75" customHeight="1">
      <c r="A629" s="476"/>
      <c r="B629" s="476"/>
      <c r="C629" s="476"/>
      <c r="D629" s="476"/>
      <c r="E629" s="476"/>
      <c r="F629" s="476"/>
      <c r="G629" s="476"/>
      <c r="H629" s="476"/>
      <c r="I629" s="476"/>
      <c r="J629" s="476"/>
      <c r="K629" s="476"/>
      <c r="L629" s="476"/>
      <c r="M629" s="476"/>
      <c r="N629" s="476"/>
      <c r="O629" s="476"/>
      <c r="P629" s="476"/>
      <c r="Q629" s="476"/>
      <c r="R629" s="476"/>
      <c r="S629" s="476"/>
      <c r="T629" s="476"/>
      <c r="U629" s="476"/>
      <c r="V629" s="476"/>
      <c r="W629" s="476"/>
      <c r="X629" s="476"/>
      <c r="Y629" s="476"/>
      <c r="Z629" s="476"/>
      <c r="AA629" s="476"/>
      <c r="AB629" s="476"/>
      <c r="AC629" s="476"/>
      <c r="AD629" s="476"/>
      <c r="AE629" s="476"/>
      <c r="AF629" s="476"/>
      <c r="AG629" s="476"/>
      <c r="AH629" s="476"/>
      <c r="AI629" s="476"/>
      <c r="AJ629" s="476"/>
      <c r="AK629" s="476"/>
      <c r="AL629" s="476"/>
      <c r="AM629" s="476"/>
      <c r="AN629" s="476"/>
      <c r="AO629" s="476"/>
      <c r="AP629" s="476"/>
      <c r="AQ629" s="476"/>
      <c r="AR629" s="476"/>
      <c r="AS629" s="476"/>
      <c r="AT629" s="476"/>
    </row>
    <row r="630" spans="1:46" ht="12.75" customHeight="1">
      <c r="A630" s="476"/>
      <c r="B630" s="476"/>
      <c r="C630" s="476"/>
      <c r="D630" s="476"/>
      <c r="E630" s="476"/>
      <c r="F630" s="476"/>
      <c r="G630" s="476"/>
      <c r="H630" s="476"/>
      <c r="I630" s="476"/>
      <c r="J630" s="476"/>
      <c r="K630" s="476"/>
      <c r="L630" s="476"/>
      <c r="M630" s="476"/>
      <c r="N630" s="476"/>
      <c r="O630" s="476"/>
      <c r="P630" s="476"/>
      <c r="Q630" s="476"/>
      <c r="R630" s="476"/>
      <c r="S630" s="476"/>
      <c r="T630" s="476"/>
      <c r="U630" s="476"/>
      <c r="V630" s="476"/>
      <c r="W630" s="476"/>
      <c r="X630" s="476"/>
      <c r="Y630" s="476"/>
      <c r="Z630" s="476"/>
      <c r="AA630" s="476"/>
      <c r="AB630" s="476"/>
      <c r="AC630" s="476"/>
      <c r="AD630" s="476"/>
      <c r="AE630" s="476"/>
      <c r="AF630" s="476"/>
      <c r="AG630" s="476"/>
      <c r="AH630" s="476"/>
      <c r="AI630" s="476"/>
      <c r="AJ630" s="476"/>
      <c r="AK630" s="476"/>
      <c r="AL630" s="476"/>
      <c r="AM630" s="476"/>
      <c r="AN630" s="476"/>
      <c r="AO630" s="476"/>
      <c r="AP630" s="476"/>
      <c r="AQ630" s="476"/>
      <c r="AR630" s="476"/>
      <c r="AS630" s="476"/>
      <c r="AT630" s="476"/>
    </row>
    <row r="631" spans="1:46" ht="12.75" customHeight="1">
      <c r="A631" s="476"/>
      <c r="B631" s="476"/>
      <c r="C631" s="476"/>
      <c r="D631" s="476"/>
      <c r="E631" s="476"/>
      <c r="F631" s="476"/>
      <c r="G631" s="476"/>
      <c r="H631" s="476"/>
      <c r="I631" s="476"/>
      <c r="J631" s="476"/>
      <c r="K631" s="476"/>
      <c r="L631" s="476"/>
      <c r="M631" s="476"/>
      <c r="N631" s="476"/>
      <c r="O631" s="476"/>
      <c r="P631" s="476"/>
      <c r="Q631" s="476"/>
      <c r="R631" s="476"/>
      <c r="S631" s="476"/>
      <c r="T631" s="476"/>
      <c r="U631" s="476"/>
      <c r="V631" s="476"/>
      <c r="W631" s="476"/>
      <c r="X631" s="476"/>
      <c r="Y631" s="476"/>
      <c r="Z631" s="476"/>
      <c r="AA631" s="476"/>
      <c r="AB631" s="476"/>
      <c r="AC631" s="476"/>
      <c r="AD631" s="476"/>
      <c r="AE631" s="476"/>
      <c r="AF631" s="476"/>
      <c r="AG631" s="476"/>
      <c r="AH631" s="476"/>
      <c r="AI631" s="476"/>
      <c r="AJ631" s="476"/>
      <c r="AK631" s="476"/>
      <c r="AL631" s="476"/>
      <c r="AM631" s="476"/>
      <c r="AN631" s="476"/>
      <c r="AO631" s="476"/>
      <c r="AP631" s="476"/>
      <c r="AQ631" s="476"/>
      <c r="AR631" s="476"/>
      <c r="AS631" s="476"/>
      <c r="AT631" s="476"/>
    </row>
    <row r="632" spans="1:46" ht="12.75" customHeight="1">
      <c r="A632" s="476"/>
      <c r="B632" s="476"/>
      <c r="C632" s="476"/>
      <c r="D632" s="476"/>
      <c r="E632" s="476"/>
      <c r="F632" s="476"/>
      <c r="G632" s="476"/>
      <c r="H632" s="476"/>
      <c r="I632" s="476"/>
      <c r="J632" s="476"/>
      <c r="K632" s="476"/>
      <c r="L632" s="476"/>
      <c r="M632" s="476"/>
      <c r="N632" s="476"/>
      <c r="O632" s="476"/>
      <c r="P632" s="476"/>
      <c r="Q632" s="476"/>
      <c r="R632" s="476"/>
      <c r="S632" s="476"/>
      <c r="T632" s="476"/>
      <c r="U632" s="476"/>
      <c r="V632" s="476"/>
      <c r="W632" s="476"/>
      <c r="X632" s="476"/>
      <c r="Y632" s="476"/>
      <c r="Z632" s="476"/>
      <c r="AA632" s="476"/>
      <c r="AB632" s="476"/>
      <c r="AC632" s="476"/>
      <c r="AD632" s="476"/>
      <c r="AE632" s="476"/>
      <c r="AF632" s="476"/>
      <c r="AG632" s="476"/>
      <c r="AH632" s="476"/>
      <c r="AI632" s="476"/>
      <c r="AJ632" s="476"/>
      <c r="AK632" s="476"/>
      <c r="AL632" s="476"/>
      <c r="AM632" s="476"/>
      <c r="AN632" s="476"/>
      <c r="AO632" s="476"/>
      <c r="AP632" s="476"/>
      <c r="AQ632" s="476"/>
      <c r="AR632" s="476"/>
      <c r="AS632" s="476"/>
      <c r="AT632" s="476"/>
    </row>
    <row r="633" spans="1:46" ht="12.75" customHeight="1">
      <c r="A633" s="476"/>
      <c r="B633" s="476"/>
      <c r="C633" s="476"/>
      <c r="D633" s="476"/>
      <c r="E633" s="476"/>
      <c r="F633" s="476"/>
      <c r="G633" s="476"/>
      <c r="H633" s="476"/>
      <c r="I633" s="476"/>
      <c r="J633" s="476"/>
      <c r="K633" s="476"/>
      <c r="L633" s="476"/>
      <c r="M633" s="476"/>
      <c r="N633" s="476"/>
      <c r="O633" s="476"/>
      <c r="P633" s="476"/>
      <c r="Q633" s="476"/>
      <c r="R633" s="476"/>
      <c r="S633" s="476"/>
      <c r="T633" s="476"/>
      <c r="U633" s="476"/>
      <c r="V633" s="476"/>
      <c r="W633" s="476"/>
      <c r="X633" s="476"/>
      <c r="Y633" s="476"/>
      <c r="Z633" s="476"/>
      <c r="AA633" s="476"/>
      <c r="AB633" s="476"/>
      <c r="AC633" s="476"/>
      <c r="AD633" s="476"/>
      <c r="AE633" s="476"/>
      <c r="AF633" s="476"/>
      <c r="AG633" s="476"/>
      <c r="AH633" s="476"/>
      <c r="AI633" s="476"/>
      <c r="AJ633" s="476"/>
      <c r="AK633" s="476"/>
      <c r="AL633" s="476"/>
      <c r="AM633" s="476"/>
      <c r="AN633" s="476"/>
      <c r="AO633" s="476"/>
      <c r="AP633" s="476"/>
      <c r="AQ633" s="476"/>
      <c r="AR633" s="476"/>
      <c r="AS633" s="476"/>
      <c r="AT633" s="476"/>
    </row>
    <row r="634" spans="1:46" ht="12.75" customHeight="1">
      <c r="A634" s="476"/>
      <c r="B634" s="476"/>
      <c r="C634" s="476"/>
      <c r="D634" s="476"/>
      <c r="E634" s="476"/>
      <c r="F634" s="476"/>
      <c r="G634" s="476"/>
      <c r="H634" s="476"/>
      <c r="I634" s="476"/>
      <c r="J634" s="476"/>
      <c r="K634" s="476"/>
      <c r="L634" s="476"/>
      <c r="M634" s="476"/>
      <c r="N634" s="476"/>
      <c r="O634" s="476"/>
      <c r="P634" s="476"/>
      <c r="Q634" s="476"/>
      <c r="R634" s="476"/>
      <c r="S634" s="476"/>
      <c r="T634" s="476"/>
      <c r="U634" s="476"/>
      <c r="V634" s="476"/>
      <c r="W634" s="476"/>
      <c r="X634" s="476"/>
      <c r="Y634" s="476"/>
      <c r="Z634" s="476"/>
      <c r="AA634" s="476"/>
      <c r="AB634" s="476"/>
      <c r="AC634" s="476"/>
      <c r="AD634" s="476"/>
      <c r="AE634" s="476"/>
      <c r="AF634" s="476"/>
      <c r="AG634" s="476"/>
      <c r="AH634" s="476"/>
      <c r="AI634" s="476"/>
      <c r="AJ634" s="476"/>
      <c r="AK634" s="476"/>
      <c r="AL634" s="476"/>
      <c r="AM634" s="476"/>
      <c r="AN634" s="476"/>
      <c r="AO634" s="476"/>
      <c r="AP634" s="476"/>
      <c r="AQ634" s="476"/>
      <c r="AR634" s="476"/>
      <c r="AS634" s="476"/>
      <c r="AT634" s="476"/>
    </row>
    <row r="635" spans="1:46" ht="12.75" customHeight="1">
      <c r="A635" s="476"/>
      <c r="B635" s="476"/>
      <c r="C635" s="476"/>
      <c r="D635" s="476"/>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76"/>
      <c r="AD635" s="476"/>
      <c r="AE635" s="476"/>
      <c r="AF635" s="476"/>
      <c r="AG635" s="476"/>
      <c r="AH635" s="476"/>
      <c r="AI635" s="476"/>
      <c r="AJ635" s="476"/>
      <c r="AK635" s="476"/>
      <c r="AL635" s="476"/>
      <c r="AM635" s="476"/>
      <c r="AN635" s="476"/>
      <c r="AO635" s="476"/>
      <c r="AP635" s="476"/>
      <c r="AQ635" s="476"/>
      <c r="AR635" s="476"/>
      <c r="AS635" s="476"/>
      <c r="AT635" s="476"/>
    </row>
    <row r="636" spans="1:46" ht="12.75" customHeight="1">
      <c r="A636" s="476"/>
      <c r="B636" s="476"/>
      <c r="C636" s="476"/>
      <c r="D636" s="476"/>
      <c r="E636" s="476"/>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76"/>
      <c r="AD636" s="476"/>
      <c r="AE636" s="476"/>
      <c r="AF636" s="476"/>
      <c r="AG636" s="476"/>
      <c r="AH636" s="476"/>
      <c r="AI636" s="476"/>
      <c r="AJ636" s="476"/>
      <c r="AK636" s="476"/>
      <c r="AL636" s="476"/>
      <c r="AM636" s="476"/>
      <c r="AN636" s="476"/>
      <c r="AO636" s="476"/>
      <c r="AP636" s="476"/>
      <c r="AQ636" s="476"/>
      <c r="AR636" s="476"/>
      <c r="AS636" s="476"/>
      <c r="AT636" s="476"/>
    </row>
    <row r="637" spans="1:46" ht="12.75" customHeight="1">
      <c r="A637" s="476"/>
      <c r="B637" s="476"/>
      <c r="C637" s="476"/>
      <c r="D637" s="476"/>
      <c r="E637" s="476"/>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76"/>
      <c r="AD637" s="476"/>
      <c r="AE637" s="476"/>
      <c r="AF637" s="476"/>
      <c r="AG637" s="476"/>
      <c r="AH637" s="476"/>
      <c r="AI637" s="476"/>
      <c r="AJ637" s="476"/>
      <c r="AK637" s="476"/>
      <c r="AL637" s="476"/>
      <c r="AM637" s="476"/>
      <c r="AN637" s="476"/>
      <c r="AO637" s="476"/>
      <c r="AP637" s="476"/>
      <c r="AQ637" s="476"/>
      <c r="AR637" s="476"/>
      <c r="AS637" s="476"/>
      <c r="AT637" s="476"/>
    </row>
    <row r="638" spans="1:46" ht="12.75" customHeight="1">
      <c r="A638" s="476"/>
      <c r="B638" s="476"/>
      <c r="C638" s="476"/>
      <c r="D638" s="476"/>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76"/>
      <c r="AD638" s="476"/>
      <c r="AE638" s="476"/>
      <c r="AF638" s="476"/>
      <c r="AG638" s="476"/>
      <c r="AH638" s="476"/>
      <c r="AI638" s="476"/>
      <c r="AJ638" s="476"/>
      <c r="AK638" s="476"/>
      <c r="AL638" s="476"/>
      <c r="AM638" s="476"/>
      <c r="AN638" s="476"/>
      <c r="AO638" s="476"/>
      <c r="AP638" s="476"/>
      <c r="AQ638" s="476"/>
      <c r="AR638" s="476"/>
      <c r="AS638" s="476"/>
      <c r="AT638" s="476"/>
    </row>
    <row r="639" spans="1:46" ht="12.75" customHeight="1">
      <c r="A639" s="476"/>
      <c r="B639" s="476"/>
      <c r="C639" s="476"/>
      <c r="D639" s="476"/>
      <c r="E639" s="476"/>
      <c r="F639" s="476"/>
      <c r="G639" s="476"/>
      <c r="H639" s="476"/>
      <c r="I639" s="476"/>
      <c r="J639" s="476"/>
      <c r="K639" s="476"/>
      <c r="L639" s="476"/>
      <c r="M639" s="476"/>
      <c r="N639" s="476"/>
      <c r="O639" s="476"/>
      <c r="P639" s="476"/>
      <c r="Q639" s="476"/>
      <c r="R639" s="476"/>
      <c r="S639" s="476"/>
      <c r="T639" s="476"/>
      <c r="U639" s="476"/>
      <c r="V639" s="476"/>
      <c r="W639" s="476"/>
      <c r="X639" s="476"/>
      <c r="Y639" s="476"/>
      <c r="Z639" s="476"/>
      <c r="AA639" s="476"/>
      <c r="AB639" s="476"/>
      <c r="AC639" s="476"/>
      <c r="AD639" s="476"/>
      <c r="AE639" s="476"/>
      <c r="AF639" s="476"/>
      <c r="AG639" s="476"/>
      <c r="AH639" s="476"/>
      <c r="AI639" s="476"/>
      <c r="AJ639" s="476"/>
      <c r="AK639" s="476"/>
      <c r="AL639" s="476"/>
      <c r="AM639" s="476"/>
      <c r="AN639" s="476"/>
      <c r="AO639" s="476"/>
      <c r="AP639" s="476"/>
      <c r="AQ639" s="476"/>
      <c r="AR639" s="476"/>
      <c r="AS639" s="476"/>
      <c r="AT639" s="476"/>
    </row>
    <row r="640" spans="1:46" ht="12.75" customHeight="1">
      <c r="A640" s="476"/>
      <c r="B640" s="476"/>
      <c r="C640" s="476"/>
      <c r="D640" s="476"/>
      <c r="E640" s="476"/>
      <c r="F640" s="476"/>
      <c r="G640" s="476"/>
      <c r="H640" s="476"/>
      <c r="I640" s="476"/>
      <c r="J640" s="476"/>
      <c r="K640" s="476"/>
      <c r="L640" s="476"/>
      <c r="M640" s="476"/>
      <c r="N640" s="476"/>
      <c r="O640" s="476"/>
      <c r="P640" s="476"/>
      <c r="Q640" s="476"/>
      <c r="R640" s="476"/>
      <c r="S640" s="476"/>
      <c r="T640" s="476"/>
      <c r="U640" s="476"/>
      <c r="V640" s="476"/>
      <c r="W640" s="476"/>
      <c r="X640" s="476"/>
      <c r="Y640" s="476"/>
      <c r="Z640" s="476"/>
      <c r="AA640" s="476"/>
      <c r="AB640" s="476"/>
      <c r="AC640" s="476"/>
      <c r="AD640" s="476"/>
      <c r="AE640" s="476"/>
      <c r="AF640" s="476"/>
      <c r="AG640" s="476"/>
      <c r="AH640" s="476"/>
      <c r="AI640" s="476"/>
      <c r="AJ640" s="476"/>
      <c r="AK640" s="476"/>
      <c r="AL640" s="476"/>
      <c r="AM640" s="476"/>
      <c r="AN640" s="476"/>
      <c r="AO640" s="476"/>
      <c r="AP640" s="476"/>
      <c r="AQ640" s="476"/>
      <c r="AR640" s="476"/>
      <c r="AS640" s="476"/>
      <c r="AT640" s="476"/>
    </row>
    <row r="641" spans="1:46" ht="12.75" customHeight="1">
      <c r="A641" s="476"/>
      <c r="B641" s="476"/>
      <c r="C641" s="476"/>
      <c r="D641" s="476"/>
      <c r="E641" s="476"/>
      <c r="F641" s="476"/>
      <c r="G641" s="476"/>
      <c r="H641" s="476"/>
      <c r="I641" s="476"/>
      <c r="J641" s="476"/>
      <c r="K641" s="476"/>
      <c r="L641" s="476"/>
      <c r="M641" s="476"/>
      <c r="N641" s="476"/>
      <c r="O641" s="476"/>
      <c r="P641" s="476"/>
      <c r="Q641" s="476"/>
      <c r="R641" s="476"/>
      <c r="S641" s="476"/>
      <c r="T641" s="476"/>
      <c r="U641" s="476"/>
      <c r="V641" s="476"/>
      <c r="W641" s="476"/>
      <c r="X641" s="476"/>
      <c r="Y641" s="476"/>
      <c r="Z641" s="476"/>
      <c r="AA641" s="476"/>
      <c r="AB641" s="476"/>
      <c r="AC641" s="476"/>
      <c r="AD641" s="476"/>
      <c r="AE641" s="476"/>
      <c r="AF641" s="476"/>
      <c r="AG641" s="476"/>
      <c r="AH641" s="476"/>
      <c r="AI641" s="476"/>
      <c r="AJ641" s="476"/>
      <c r="AK641" s="476"/>
      <c r="AL641" s="476"/>
      <c r="AM641" s="476"/>
      <c r="AN641" s="476"/>
      <c r="AO641" s="476"/>
      <c r="AP641" s="476"/>
      <c r="AQ641" s="476"/>
      <c r="AR641" s="476"/>
      <c r="AS641" s="476"/>
      <c r="AT641" s="476"/>
    </row>
    <row r="642" spans="1:46" ht="12.75" customHeight="1">
      <c r="A642" s="476"/>
      <c r="B642" s="476"/>
      <c r="C642" s="476"/>
      <c r="D642" s="476"/>
      <c r="E642" s="476"/>
      <c r="F642" s="476"/>
      <c r="G642" s="476"/>
      <c r="H642" s="476"/>
      <c r="I642" s="476"/>
      <c r="J642" s="476"/>
      <c r="K642" s="476"/>
      <c r="L642" s="476"/>
      <c r="M642" s="476"/>
      <c r="N642" s="476"/>
      <c r="O642" s="476"/>
      <c r="P642" s="476"/>
      <c r="Q642" s="476"/>
      <c r="R642" s="476"/>
      <c r="S642" s="476"/>
      <c r="T642" s="476"/>
      <c r="U642" s="476"/>
      <c r="V642" s="476"/>
      <c r="W642" s="476"/>
      <c r="X642" s="476"/>
      <c r="Y642" s="476"/>
      <c r="Z642" s="476"/>
      <c r="AA642" s="476"/>
      <c r="AB642" s="476"/>
      <c r="AC642" s="476"/>
      <c r="AD642" s="476"/>
      <c r="AE642" s="476"/>
      <c r="AF642" s="476"/>
      <c r="AG642" s="476"/>
      <c r="AH642" s="476"/>
      <c r="AI642" s="476"/>
      <c r="AJ642" s="476"/>
      <c r="AK642" s="476"/>
      <c r="AL642" s="476"/>
      <c r="AM642" s="476"/>
      <c r="AN642" s="476"/>
      <c r="AO642" s="476"/>
      <c r="AP642" s="476"/>
      <c r="AQ642" s="476"/>
      <c r="AR642" s="476"/>
      <c r="AS642" s="476"/>
      <c r="AT642" s="476"/>
    </row>
    <row r="643" spans="1:46" ht="12.75" customHeight="1">
      <c r="A643" s="476"/>
      <c r="B643" s="476"/>
      <c r="C643" s="476"/>
      <c r="D643" s="476"/>
      <c r="E643" s="476"/>
      <c r="F643" s="476"/>
      <c r="G643" s="476"/>
      <c r="H643" s="476"/>
      <c r="I643" s="476"/>
      <c r="J643" s="476"/>
      <c r="K643" s="476"/>
      <c r="L643" s="476"/>
      <c r="M643" s="476"/>
      <c r="N643" s="476"/>
      <c r="O643" s="476"/>
      <c r="P643" s="476"/>
      <c r="Q643" s="476"/>
      <c r="R643" s="476"/>
      <c r="S643" s="476"/>
      <c r="T643" s="476"/>
      <c r="U643" s="476"/>
      <c r="V643" s="476"/>
      <c r="W643" s="476"/>
      <c r="X643" s="476"/>
      <c r="Y643" s="476"/>
      <c r="Z643" s="476"/>
      <c r="AA643" s="476"/>
      <c r="AB643" s="476"/>
      <c r="AC643" s="476"/>
      <c r="AD643" s="476"/>
      <c r="AE643" s="476"/>
      <c r="AF643" s="476"/>
      <c r="AG643" s="476"/>
      <c r="AH643" s="476"/>
      <c r="AI643" s="476"/>
      <c r="AJ643" s="476"/>
      <c r="AK643" s="476"/>
      <c r="AL643" s="476"/>
      <c r="AM643" s="476"/>
      <c r="AN643" s="476"/>
      <c r="AO643" s="476"/>
      <c r="AP643" s="476"/>
      <c r="AQ643" s="476"/>
      <c r="AR643" s="476"/>
      <c r="AS643" s="476"/>
      <c r="AT643" s="476"/>
    </row>
    <row r="644" spans="1:46" ht="12.75" customHeight="1">
      <c r="A644" s="476"/>
      <c r="B644" s="476"/>
      <c r="C644" s="476"/>
      <c r="D644" s="476"/>
      <c r="E644" s="476"/>
      <c r="F644" s="476"/>
      <c r="G644" s="476"/>
      <c r="H644" s="476"/>
      <c r="I644" s="476"/>
      <c r="J644" s="476"/>
      <c r="K644" s="476"/>
      <c r="L644" s="476"/>
      <c r="M644" s="476"/>
      <c r="N644" s="476"/>
      <c r="O644" s="476"/>
      <c r="P644" s="476"/>
      <c r="Q644" s="476"/>
      <c r="R644" s="476"/>
      <c r="S644" s="476"/>
      <c r="T644" s="476"/>
      <c r="U644" s="476"/>
      <c r="V644" s="476"/>
      <c r="W644" s="476"/>
      <c r="X644" s="476"/>
      <c r="Y644" s="476"/>
      <c r="Z644" s="476"/>
      <c r="AA644" s="476"/>
      <c r="AB644" s="476"/>
      <c r="AC644" s="476"/>
      <c r="AD644" s="476"/>
      <c r="AE644" s="476"/>
      <c r="AF644" s="476"/>
      <c r="AG644" s="476"/>
      <c r="AH644" s="476"/>
      <c r="AI644" s="476"/>
      <c r="AJ644" s="476"/>
      <c r="AK644" s="476"/>
      <c r="AL644" s="476"/>
      <c r="AM644" s="476"/>
      <c r="AN644" s="476"/>
      <c r="AO644" s="476"/>
      <c r="AP644" s="476"/>
      <c r="AQ644" s="476"/>
      <c r="AR644" s="476"/>
      <c r="AS644" s="476"/>
      <c r="AT644" s="476"/>
    </row>
    <row r="645" spans="1:46" ht="12.75" customHeight="1">
      <c r="A645" s="476"/>
      <c r="B645" s="476"/>
      <c r="C645" s="476"/>
      <c r="D645" s="476"/>
      <c r="E645" s="476"/>
      <c r="F645" s="476"/>
      <c r="G645" s="476"/>
      <c r="H645" s="476"/>
      <c r="I645" s="476"/>
      <c r="J645" s="476"/>
      <c r="K645" s="476"/>
      <c r="L645" s="476"/>
      <c r="M645" s="476"/>
      <c r="N645" s="476"/>
      <c r="O645" s="476"/>
      <c r="P645" s="476"/>
      <c r="Q645" s="476"/>
      <c r="R645" s="476"/>
      <c r="S645" s="476"/>
      <c r="T645" s="476"/>
      <c r="U645" s="476"/>
      <c r="V645" s="476"/>
      <c r="W645" s="476"/>
      <c r="X645" s="476"/>
      <c r="Y645" s="476"/>
      <c r="Z645" s="476"/>
      <c r="AA645" s="476"/>
      <c r="AB645" s="476"/>
      <c r="AC645" s="476"/>
      <c r="AD645" s="476"/>
      <c r="AE645" s="476"/>
      <c r="AF645" s="476"/>
      <c r="AG645" s="476"/>
      <c r="AH645" s="476"/>
      <c r="AI645" s="476"/>
      <c r="AJ645" s="476"/>
      <c r="AK645" s="476"/>
      <c r="AL645" s="476"/>
      <c r="AM645" s="476"/>
      <c r="AN645" s="476"/>
      <c r="AO645" s="476"/>
      <c r="AP645" s="476"/>
      <c r="AQ645" s="476"/>
      <c r="AR645" s="476"/>
      <c r="AS645" s="476"/>
      <c r="AT645" s="476"/>
    </row>
    <row r="646" spans="1:46" ht="12.75" customHeight="1">
      <c r="A646" s="476"/>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6"/>
      <c r="AT646" s="476"/>
    </row>
    <row r="647" spans="1:46" ht="12.75" customHeight="1">
      <c r="A647" s="476"/>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6"/>
      <c r="AT647" s="476"/>
    </row>
    <row r="648" spans="1:46" ht="12.75" customHeight="1">
      <c r="A648" s="476"/>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6"/>
      <c r="AT648" s="476"/>
    </row>
    <row r="649" spans="1:46" ht="12.75" customHeight="1">
      <c r="A649" s="476"/>
      <c r="B649" s="476"/>
      <c r="C649" s="476"/>
      <c r="D649" s="476"/>
      <c r="E649" s="476"/>
      <c r="F649" s="476"/>
      <c r="G649" s="476"/>
      <c r="H649" s="476"/>
      <c r="I649" s="476"/>
      <c r="J649" s="476"/>
      <c r="K649" s="476"/>
      <c r="L649" s="476"/>
      <c r="M649" s="476"/>
      <c r="N649" s="476"/>
      <c r="O649" s="476"/>
      <c r="P649" s="476"/>
      <c r="Q649" s="476"/>
      <c r="R649" s="476"/>
      <c r="S649" s="476"/>
      <c r="T649" s="476"/>
      <c r="U649" s="476"/>
      <c r="V649" s="476"/>
      <c r="W649" s="476"/>
      <c r="X649" s="476"/>
      <c r="Y649" s="476"/>
      <c r="Z649" s="476"/>
      <c r="AA649" s="476"/>
      <c r="AB649" s="476"/>
      <c r="AC649" s="476"/>
      <c r="AD649" s="476"/>
      <c r="AE649" s="476"/>
      <c r="AF649" s="476"/>
      <c r="AG649" s="476"/>
      <c r="AH649" s="476"/>
      <c r="AI649" s="476"/>
      <c r="AJ649" s="476"/>
      <c r="AK649" s="476"/>
      <c r="AL649" s="476"/>
      <c r="AM649" s="476"/>
      <c r="AN649" s="476"/>
      <c r="AO649" s="476"/>
      <c r="AP649" s="476"/>
      <c r="AQ649" s="476"/>
      <c r="AR649" s="476"/>
      <c r="AS649" s="476"/>
      <c r="AT649" s="476"/>
    </row>
    <row r="650" spans="1:46" ht="12.75" customHeight="1">
      <c r="A650" s="476"/>
      <c r="B650" s="476"/>
      <c r="C650" s="476"/>
      <c r="D650" s="476"/>
      <c r="E650" s="476"/>
      <c r="F650" s="476"/>
      <c r="G650" s="476"/>
      <c r="H650" s="476"/>
      <c r="I650" s="476"/>
      <c r="J650" s="476"/>
      <c r="K650" s="476"/>
      <c r="L650" s="476"/>
      <c r="M650" s="476"/>
      <c r="N650" s="476"/>
      <c r="O650" s="476"/>
      <c r="P650" s="476"/>
      <c r="Q650" s="476"/>
      <c r="R650" s="476"/>
      <c r="S650" s="476"/>
      <c r="T650" s="476"/>
      <c r="U650" s="476"/>
      <c r="V650" s="476"/>
      <c r="W650" s="476"/>
      <c r="X650" s="476"/>
      <c r="Y650" s="476"/>
      <c r="Z650" s="476"/>
      <c r="AA650" s="476"/>
      <c r="AB650" s="476"/>
      <c r="AC650" s="476"/>
      <c r="AD650" s="476"/>
      <c r="AE650" s="476"/>
      <c r="AF650" s="476"/>
      <c r="AG650" s="476"/>
      <c r="AH650" s="476"/>
      <c r="AI650" s="476"/>
      <c r="AJ650" s="476"/>
      <c r="AK650" s="476"/>
      <c r="AL650" s="476"/>
      <c r="AM650" s="476"/>
      <c r="AN650" s="476"/>
      <c r="AO650" s="476"/>
      <c r="AP650" s="476"/>
      <c r="AQ650" s="476"/>
      <c r="AR650" s="476"/>
      <c r="AS650" s="476"/>
      <c r="AT650" s="476"/>
    </row>
    <row r="651" spans="1:46" ht="12.75" customHeight="1">
      <c r="A651" s="476"/>
      <c r="B651" s="476"/>
      <c r="C651" s="476"/>
      <c r="D651" s="476"/>
      <c r="E651" s="476"/>
      <c r="F651" s="476"/>
      <c r="G651" s="476"/>
      <c r="H651" s="476"/>
      <c r="I651" s="476"/>
      <c r="J651" s="476"/>
      <c r="K651" s="476"/>
      <c r="L651" s="476"/>
      <c r="M651" s="476"/>
      <c r="N651" s="476"/>
      <c r="O651" s="476"/>
      <c r="P651" s="476"/>
      <c r="Q651" s="476"/>
      <c r="R651" s="476"/>
      <c r="S651" s="476"/>
      <c r="T651" s="476"/>
      <c r="U651" s="476"/>
      <c r="V651" s="476"/>
      <c r="W651" s="476"/>
      <c r="X651" s="476"/>
      <c r="Y651" s="476"/>
      <c r="Z651" s="476"/>
      <c r="AA651" s="476"/>
      <c r="AB651" s="476"/>
      <c r="AC651" s="476"/>
      <c r="AD651" s="476"/>
      <c r="AE651" s="476"/>
      <c r="AF651" s="476"/>
      <c r="AG651" s="476"/>
      <c r="AH651" s="476"/>
      <c r="AI651" s="476"/>
      <c r="AJ651" s="476"/>
      <c r="AK651" s="476"/>
      <c r="AL651" s="476"/>
      <c r="AM651" s="476"/>
      <c r="AN651" s="476"/>
      <c r="AO651" s="476"/>
      <c r="AP651" s="476"/>
      <c r="AQ651" s="476"/>
      <c r="AR651" s="476"/>
      <c r="AS651" s="476"/>
      <c r="AT651" s="476"/>
    </row>
    <row r="652" spans="1:46" ht="12.75" customHeight="1">
      <c r="A652" s="476"/>
      <c r="B652" s="476"/>
      <c r="C652" s="476"/>
      <c r="D652" s="476"/>
      <c r="E652" s="476"/>
      <c r="F652" s="476"/>
      <c r="G652" s="476"/>
      <c r="H652" s="476"/>
      <c r="I652" s="476"/>
      <c r="J652" s="476"/>
      <c r="K652" s="476"/>
      <c r="L652" s="476"/>
      <c r="M652" s="476"/>
      <c r="N652" s="476"/>
      <c r="O652" s="476"/>
      <c r="P652" s="476"/>
      <c r="Q652" s="476"/>
      <c r="R652" s="476"/>
      <c r="S652" s="476"/>
      <c r="T652" s="476"/>
      <c r="U652" s="476"/>
      <c r="V652" s="476"/>
      <c r="W652" s="476"/>
      <c r="X652" s="476"/>
      <c r="Y652" s="476"/>
      <c r="Z652" s="476"/>
      <c r="AA652" s="476"/>
      <c r="AB652" s="476"/>
      <c r="AC652" s="476"/>
      <c r="AD652" s="476"/>
      <c r="AE652" s="476"/>
      <c r="AF652" s="476"/>
      <c r="AG652" s="476"/>
      <c r="AH652" s="476"/>
      <c r="AI652" s="476"/>
      <c r="AJ652" s="476"/>
      <c r="AK652" s="476"/>
      <c r="AL652" s="476"/>
      <c r="AM652" s="476"/>
      <c r="AN652" s="476"/>
      <c r="AO652" s="476"/>
      <c r="AP652" s="476"/>
      <c r="AQ652" s="476"/>
      <c r="AR652" s="476"/>
      <c r="AS652" s="476"/>
      <c r="AT652" s="476"/>
    </row>
    <row r="653" spans="1:46" ht="12.75" customHeight="1">
      <c r="A653" s="476"/>
      <c r="B653" s="476"/>
      <c r="C653" s="476"/>
      <c r="D653" s="476"/>
      <c r="E653" s="476"/>
      <c r="F653" s="476"/>
      <c r="G653" s="476"/>
      <c r="H653" s="476"/>
      <c r="I653" s="476"/>
      <c r="J653" s="476"/>
      <c r="K653" s="476"/>
      <c r="L653" s="476"/>
      <c r="M653" s="476"/>
      <c r="N653" s="476"/>
      <c r="O653" s="476"/>
      <c r="P653" s="476"/>
      <c r="Q653" s="476"/>
      <c r="R653" s="476"/>
      <c r="S653" s="476"/>
      <c r="T653" s="476"/>
      <c r="U653" s="476"/>
      <c r="V653" s="476"/>
      <c r="W653" s="476"/>
      <c r="X653" s="476"/>
      <c r="Y653" s="476"/>
      <c r="Z653" s="476"/>
      <c r="AA653" s="476"/>
      <c r="AB653" s="476"/>
      <c r="AC653" s="476"/>
      <c r="AD653" s="476"/>
      <c r="AE653" s="476"/>
      <c r="AF653" s="476"/>
      <c r="AG653" s="476"/>
      <c r="AH653" s="476"/>
      <c r="AI653" s="476"/>
      <c r="AJ653" s="476"/>
      <c r="AK653" s="476"/>
      <c r="AL653" s="476"/>
      <c r="AM653" s="476"/>
      <c r="AN653" s="476"/>
      <c r="AO653" s="476"/>
      <c r="AP653" s="476"/>
      <c r="AQ653" s="476"/>
      <c r="AR653" s="476"/>
      <c r="AS653" s="476"/>
      <c r="AT653" s="476"/>
    </row>
    <row r="654" spans="1:46" ht="12.75" customHeight="1">
      <c r="A654" s="476"/>
      <c r="B654" s="476"/>
      <c r="C654" s="476"/>
      <c r="D654" s="476"/>
      <c r="E654" s="476"/>
      <c r="F654" s="476"/>
      <c r="G654" s="476"/>
      <c r="H654" s="476"/>
      <c r="I654" s="476"/>
      <c r="J654" s="476"/>
      <c r="K654" s="476"/>
      <c r="L654" s="476"/>
      <c r="M654" s="476"/>
      <c r="N654" s="476"/>
      <c r="O654" s="476"/>
      <c r="P654" s="476"/>
      <c r="Q654" s="476"/>
      <c r="R654" s="476"/>
      <c r="S654" s="476"/>
      <c r="T654" s="476"/>
      <c r="U654" s="476"/>
      <c r="V654" s="476"/>
      <c r="W654" s="476"/>
      <c r="X654" s="476"/>
      <c r="Y654" s="476"/>
      <c r="Z654" s="476"/>
      <c r="AA654" s="476"/>
      <c r="AB654" s="476"/>
      <c r="AC654" s="476"/>
      <c r="AD654" s="476"/>
      <c r="AE654" s="476"/>
      <c r="AF654" s="476"/>
      <c r="AG654" s="476"/>
      <c r="AH654" s="476"/>
      <c r="AI654" s="476"/>
      <c r="AJ654" s="476"/>
      <c r="AK654" s="476"/>
      <c r="AL654" s="476"/>
      <c r="AM654" s="476"/>
      <c r="AN654" s="476"/>
      <c r="AO654" s="476"/>
      <c r="AP654" s="476"/>
      <c r="AQ654" s="476"/>
      <c r="AR654" s="476"/>
      <c r="AS654" s="476"/>
      <c r="AT654" s="476"/>
    </row>
    <row r="655" spans="1:46" ht="12.75" customHeight="1">
      <c r="A655" s="476"/>
      <c r="B655" s="476"/>
      <c r="C655" s="476"/>
      <c r="D655" s="476"/>
      <c r="E655" s="476"/>
      <c r="F655" s="476"/>
      <c r="G655" s="476"/>
      <c r="H655" s="476"/>
      <c r="I655" s="476"/>
      <c r="J655" s="476"/>
      <c r="K655" s="476"/>
      <c r="L655" s="476"/>
      <c r="M655" s="476"/>
      <c r="N655" s="476"/>
      <c r="O655" s="476"/>
      <c r="P655" s="476"/>
      <c r="Q655" s="476"/>
      <c r="R655" s="476"/>
      <c r="S655" s="476"/>
      <c r="T655" s="476"/>
      <c r="U655" s="476"/>
      <c r="V655" s="476"/>
      <c r="W655" s="476"/>
      <c r="X655" s="476"/>
      <c r="Y655" s="476"/>
      <c r="Z655" s="476"/>
      <c r="AA655" s="476"/>
      <c r="AB655" s="476"/>
      <c r="AC655" s="476"/>
      <c r="AD655" s="476"/>
      <c r="AE655" s="476"/>
      <c r="AF655" s="476"/>
      <c r="AG655" s="476"/>
      <c r="AH655" s="476"/>
      <c r="AI655" s="476"/>
      <c r="AJ655" s="476"/>
      <c r="AK655" s="476"/>
      <c r="AL655" s="476"/>
      <c r="AM655" s="476"/>
      <c r="AN655" s="476"/>
      <c r="AO655" s="476"/>
      <c r="AP655" s="476"/>
      <c r="AQ655" s="476"/>
      <c r="AR655" s="476"/>
      <c r="AS655" s="476"/>
      <c r="AT655" s="476"/>
    </row>
    <row r="656" spans="1:46" ht="12.75" customHeight="1">
      <c r="A656" s="476"/>
      <c r="B656" s="476"/>
      <c r="C656" s="476"/>
      <c r="D656" s="476"/>
      <c r="E656" s="476"/>
      <c r="F656" s="476"/>
      <c r="G656" s="476"/>
      <c r="H656" s="476"/>
      <c r="I656" s="476"/>
      <c r="J656" s="476"/>
      <c r="K656" s="476"/>
      <c r="L656" s="476"/>
      <c r="M656" s="476"/>
      <c r="N656" s="476"/>
      <c r="O656" s="476"/>
      <c r="P656" s="476"/>
      <c r="Q656" s="476"/>
      <c r="R656" s="476"/>
      <c r="S656" s="476"/>
      <c r="T656" s="476"/>
      <c r="U656" s="476"/>
      <c r="V656" s="476"/>
      <c r="W656" s="476"/>
      <c r="X656" s="476"/>
      <c r="Y656" s="476"/>
      <c r="Z656" s="476"/>
      <c r="AA656" s="476"/>
      <c r="AB656" s="476"/>
      <c r="AC656" s="476"/>
      <c r="AD656" s="476"/>
      <c r="AE656" s="476"/>
      <c r="AF656" s="476"/>
      <c r="AG656" s="476"/>
      <c r="AH656" s="476"/>
      <c r="AI656" s="476"/>
      <c r="AJ656" s="476"/>
      <c r="AK656" s="476"/>
      <c r="AL656" s="476"/>
      <c r="AM656" s="476"/>
      <c r="AN656" s="476"/>
      <c r="AO656" s="476"/>
      <c r="AP656" s="476"/>
      <c r="AQ656" s="476"/>
      <c r="AR656" s="476"/>
      <c r="AS656" s="476"/>
      <c r="AT656" s="476"/>
    </row>
    <row r="657" spans="1:46" ht="12.75" customHeight="1">
      <c r="A657" s="476"/>
      <c r="B657" s="476"/>
      <c r="C657" s="476"/>
      <c r="D657" s="476"/>
      <c r="E657" s="476"/>
      <c r="F657" s="476"/>
      <c r="G657" s="476"/>
      <c r="H657" s="476"/>
      <c r="I657" s="476"/>
      <c r="J657" s="476"/>
      <c r="K657" s="476"/>
      <c r="L657" s="476"/>
      <c r="M657" s="476"/>
      <c r="N657" s="476"/>
      <c r="O657" s="476"/>
      <c r="P657" s="476"/>
      <c r="Q657" s="476"/>
      <c r="R657" s="476"/>
      <c r="S657" s="476"/>
      <c r="T657" s="476"/>
      <c r="U657" s="476"/>
      <c r="V657" s="476"/>
      <c r="W657" s="476"/>
      <c r="X657" s="476"/>
      <c r="Y657" s="476"/>
      <c r="Z657" s="476"/>
      <c r="AA657" s="476"/>
      <c r="AB657" s="476"/>
      <c r="AC657" s="476"/>
      <c r="AD657" s="476"/>
      <c r="AE657" s="476"/>
      <c r="AF657" s="476"/>
      <c r="AG657" s="476"/>
      <c r="AH657" s="476"/>
      <c r="AI657" s="476"/>
      <c r="AJ657" s="476"/>
      <c r="AK657" s="476"/>
      <c r="AL657" s="476"/>
      <c r="AM657" s="476"/>
      <c r="AN657" s="476"/>
      <c r="AO657" s="476"/>
      <c r="AP657" s="476"/>
      <c r="AQ657" s="476"/>
      <c r="AR657" s="476"/>
      <c r="AS657" s="476"/>
      <c r="AT657" s="476"/>
    </row>
    <row r="658" spans="1:46" ht="12.75" customHeight="1">
      <c r="A658" s="476"/>
      <c r="B658" s="476"/>
      <c r="C658" s="476"/>
      <c r="D658" s="476"/>
      <c r="E658" s="476"/>
      <c r="F658" s="476"/>
      <c r="G658" s="476"/>
      <c r="H658" s="476"/>
      <c r="I658" s="476"/>
      <c r="J658" s="476"/>
      <c r="K658" s="476"/>
      <c r="L658" s="476"/>
      <c r="M658" s="476"/>
      <c r="N658" s="476"/>
      <c r="O658" s="476"/>
      <c r="P658" s="476"/>
      <c r="Q658" s="476"/>
      <c r="R658" s="476"/>
      <c r="S658" s="476"/>
      <c r="T658" s="476"/>
      <c r="U658" s="476"/>
      <c r="V658" s="476"/>
      <c r="W658" s="476"/>
      <c r="X658" s="476"/>
      <c r="Y658" s="476"/>
      <c r="Z658" s="476"/>
      <c r="AA658" s="476"/>
      <c r="AB658" s="476"/>
      <c r="AC658" s="476"/>
      <c r="AD658" s="476"/>
      <c r="AE658" s="476"/>
      <c r="AF658" s="476"/>
      <c r="AG658" s="476"/>
      <c r="AH658" s="476"/>
      <c r="AI658" s="476"/>
      <c r="AJ658" s="476"/>
      <c r="AK658" s="476"/>
      <c r="AL658" s="476"/>
      <c r="AM658" s="476"/>
      <c r="AN658" s="476"/>
      <c r="AO658" s="476"/>
      <c r="AP658" s="476"/>
      <c r="AQ658" s="476"/>
      <c r="AR658" s="476"/>
      <c r="AS658" s="476"/>
      <c r="AT658" s="476"/>
    </row>
    <row r="659" spans="1:46" ht="12.75" customHeight="1">
      <c r="A659" s="476"/>
      <c r="B659" s="476"/>
      <c r="C659" s="476"/>
      <c r="D659" s="476"/>
      <c r="E659" s="476"/>
      <c r="F659" s="476"/>
      <c r="G659" s="476"/>
      <c r="H659" s="476"/>
      <c r="I659" s="476"/>
      <c r="J659" s="476"/>
      <c r="K659" s="476"/>
      <c r="L659" s="476"/>
      <c r="M659" s="476"/>
      <c r="N659" s="476"/>
      <c r="O659" s="476"/>
      <c r="P659" s="476"/>
      <c r="Q659" s="476"/>
      <c r="R659" s="476"/>
      <c r="S659" s="476"/>
      <c r="T659" s="476"/>
      <c r="U659" s="476"/>
      <c r="V659" s="476"/>
      <c r="W659" s="476"/>
      <c r="X659" s="476"/>
      <c r="Y659" s="476"/>
      <c r="Z659" s="476"/>
      <c r="AA659" s="476"/>
      <c r="AB659" s="476"/>
      <c r="AC659" s="476"/>
      <c r="AD659" s="476"/>
      <c r="AE659" s="476"/>
      <c r="AF659" s="476"/>
      <c r="AG659" s="476"/>
      <c r="AH659" s="476"/>
      <c r="AI659" s="476"/>
      <c r="AJ659" s="476"/>
      <c r="AK659" s="476"/>
      <c r="AL659" s="476"/>
      <c r="AM659" s="476"/>
      <c r="AN659" s="476"/>
      <c r="AO659" s="476"/>
      <c r="AP659" s="476"/>
      <c r="AQ659" s="476"/>
      <c r="AR659" s="476"/>
      <c r="AS659" s="476"/>
      <c r="AT659" s="476"/>
    </row>
    <row r="660" spans="1:46" ht="12.75" customHeight="1">
      <c r="A660" s="476"/>
      <c r="B660" s="476"/>
      <c r="C660" s="476"/>
      <c r="D660" s="476"/>
      <c r="E660" s="476"/>
      <c r="F660" s="476"/>
      <c r="G660" s="476"/>
      <c r="H660" s="476"/>
      <c r="I660" s="476"/>
      <c r="J660" s="476"/>
      <c r="K660" s="476"/>
      <c r="L660" s="476"/>
      <c r="M660" s="476"/>
      <c r="N660" s="476"/>
      <c r="O660" s="476"/>
      <c r="P660" s="476"/>
      <c r="Q660" s="476"/>
      <c r="R660" s="476"/>
      <c r="S660" s="476"/>
      <c r="T660" s="476"/>
      <c r="U660" s="476"/>
      <c r="V660" s="476"/>
      <c r="W660" s="476"/>
      <c r="X660" s="476"/>
      <c r="Y660" s="476"/>
      <c r="Z660" s="476"/>
      <c r="AA660" s="476"/>
      <c r="AB660" s="476"/>
      <c r="AC660" s="476"/>
      <c r="AD660" s="476"/>
      <c r="AE660" s="476"/>
      <c r="AF660" s="476"/>
      <c r="AG660" s="476"/>
      <c r="AH660" s="476"/>
      <c r="AI660" s="476"/>
      <c r="AJ660" s="476"/>
      <c r="AK660" s="476"/>
      <c r="AL660" s="476"/>
      <c r="AM660" s="476"/>
      <c r="AN660" s="476"/>
      <c r="AO660" s="476"/>
      <c r="AP660" s="476"/>
      <c r="AQ660" s="476"/>
      <c r="AR660" s="476"/>
      <c r="AS660" s="476"/>
      <c r="AT660" s="476"/>
    </row>
    <row r="661" spans="1:46" ht="12.75" customHeight="1">
      <c r="A661" s="476"/>
      <c r="B661" s="476"/>
      <c r="C661" s="476"/>
      <c r="D661" s="476"/>
      <c r="E661" s="476"/>
      <c r="F661" s="476"/>
      <c r="G661" s="476"/>
      <c r="H661" s="476"/>
      <c r="I661" s="476"/>
      <c r="J661" s="476"/>
      <c r="K661" s="476"/>
      <c r="L661" s="476"/>
      <c r="M661" s="476"/>
      <c r="N661" s="476"/>
      <c r="O661" s="476"/>
      <c r="P661" s="476"/>
      <c r="Q661" s="476"/>
      <c r="R661" s="476"/>
      <c r="S661" s="476"/>
      <c r="T661" s="476"/>
      <c r="U661" s="476"/>
      <c r="V661" s="476"/>
      <c r="W661" s="476"/>
      <c r="X661" s="476"/>
      <c r="Y661" s="476"/>
      <c r="Z661" s="476"/>
      <c r="AA661" s="476"/>
      <c r="AB661" s="476"/>
      <c r="AC661" s="476"/>
      <c r="AD661" s="476"/>
      <c r="AE661" s="476"/>
      <c r="AF661" s="476"/>
      <c r="AG661" s="476"/>
      <c r="AH661" s="476"/>
      <c r="AI661" s="476"/>
      <c r="AJ661" s="476"/>
      <c r="AK661" s="476"/>
      <c r="AL661" s="476"/>
      <c r="AM661" s="476"/>
      <c r="AN661" s="476"/>
      <c r="AO661" s="476"/>
      <c r="AP661" s="476"/>
      <c r="AQ661" s="476"/>
      <c r="AR661" s="476"/>
      <c r="AS661" s="476"/>
      <c r="AT661" s="476"/>
    </row>
    <row r="662" spans="1:46" ht="12.75" customHeight="1">
      <c r="A662" s="476"/>
      <c r="B662" s="476"/>
      <c r="C662" s="476"/>
      <c r="D662" s="476"/>
      <c r="E662" s="476"/>
      <c r="F662" s="476"/>
      <c r="G662" s="476"/>
      <c r="H662" s="476"/>
      <c r="I662" s="476"/>
      <c r="J662" s="476"/>
      <c r="K662" s="476"/>
      <c r="L662" s="476"/>
      <c r="M662" s="476"/>
      <c r="N662" s="476"/>
      <c r="O662" s="476"/>
      <c r="P662" s="476"/>
      <c r="Q662" s="476"/>
      <c r="R662" s="476"/>
      <c r="S662" s="476"/>
      <c r="T662" s="476"/>
      <c r="U662" s="476"/>
      <c r="V662" s="476"/>
      <c r="W662" s="476"/>
      <c r="X662" s="476"/>
      <c r="Y662" s="476"/>
      <c r="Z662" s="476"/>
      <c r="AA662" s="476"/>
      <c r="AB662" s="476"/>
      <c r="AC662" s="476"/>
      <c r="AD662" s="476"/>
      <c r="AE662" s="476"/>
      <c r="AF662" s="476"/>
      <c r="AG662" s="476"/>
      <c r="AH662" s="476"/>
      <c r="AI662" s="476"/>
      <c r="AJ662" s="476"/>
      <c r="AK662" s="476"/>
      <c r="AL662" s="476"/>
      <c r="AM662" s="476"/>
      <c r="AN662" s="476"/>
      <c r="AO662" s="476"/>
      <c r="AP662" s="476"/>
      <c r="AQ662" s="476"/>
      <c r="AR662" s="476"/>
      <c r="AS662" s="476"/>
      <c r="AT662" s="476"/>
    </row>
    <row r="663" spans="1:46" ht="12.75" customHeight="1">
      <c r="A663" s="476"/>
      <c r="B663" s="476"/>
      <c r="C663" s="476"/>
      <c r="D663" s="476"/>
      <c r="E663" s="476"/>
      <c r="F663" s="476"/>
      <c r="G663" s="476"/>
      <c r="H663" s="476"/>
      <c r="I663" s="476"/>
      <c r="J663" s="476"/>
      <c r="K663" s="476"/>
      <c r="L663" s="476"/>
      <c r="M663" s="476"/>
      <c r="N663" s="476"/>
      <c r="O663" s="476"/>
      <c r="P663" s="476"/>
      <c r="Q663" s="476"/>
      <c r="R663" s="476"/>
      <c r="S663" s="476"/>
      <c r="T663" s="476"/>
      <c r="U663" s="476"/>
      <c r="V663" s="476"/>
      <c r="W663" s="476"/>
      <c r="X663" s="476"/>
      <c r="Y663" s="476"/>
      <c r="Z663" s="476"/>
      <c r="AA663" s="476"/>
      <c r="AB663" s="476"/>
      <c r="AC663" s="476"/>
      <c r="AD663" s="476"/>
      <c r="AE663" s="476"/>
      <c r="AF663" s="476"/>
      <c r="AG663" s="476"/>
      <c r="AH663" s="476"/>
      <c r="AI663" s="476"/>
      <c r="AJ663" s="476"/>
      <c r="AK663" s="476"/>
      <c r="AL663" s="476"/>
      <c r="AM663" s="476"/>
      <c r="AN663" s="476"/>
      <c r="AO663" s="476"/>
      <c r="AP663" s="476"/>
      <c r="AQ663" s="476"/>
      <c r="AR663" s="476"/>
      <c r="AS663" s="476"/>
      <c r="AT663" s="476"/>
    </row>
    <row r="664" spans="1:46" ht="12.75" customHeight="1">
      <c r="A664" s="476"/>
      <c r="B664" s="476"/>
      <c r="C664" s="476"/>
      <c r="D664" s="476"/>
      <c r="E664" s="476"/>
      <c r="F664" s="476"/>
      <c r="G664" s="476"/>
      <c r="H664" s="476"/>
      <c r="I664" s="476"/>
      <c r="J664" s="476"/>
      <c r="K664" s="476"/>
      <c r="L664" s="476"/>
      <c r="M664" s="476"/>
      <c r="N664" s="476"/>
      <c r="O664" s="476"/>
      <c r="P664" s="476"/>
      <c r="Q664" s="476"/>
      <c r="R664" s="476"/>
      <c r="S664" s="476"/>
      <c r="T664" s="476"/>
      <c r="U664" s="476"/>
      <c r="V664" s="476"/>
      <c r="W664" s="476"/>
      <c r="X664" s="476"/>
      <c r="Y664" s="476"/>
      <c r="Z664" s="476"/>
      <c r="AA664" s="476"/>
      <c r="AB664" s="476"/>
      <c r="AC664" s="476"/>
      <c r="AD664" s="476"/>
      <c r="AE664" s="476"/>
      <c r="AF664" s="476"/>
      <c r="AG664" s="476"/>
      <c r="AH664" s="476"/>
      <c r="AI664" s="476"/>
      <c r="AJ664" s="476"/>
      <c r="AK664" s="476"/>
      <c r="AL664" s="476"/>
      <c r="AM664" s="476"/>
      <c r="AN664" s="476"/>
      <c r="AO664" s="476"/>
      <c r="AP664" s="476"/>
      <c r="AQ664" s="476"/>
      <c r="AR664" s="476"/>
      <c r="AS664" s="476"/>
      <c r="AT664" s="476"/>
    </row>
    <row r="665" spans="1:46" ht="12.75" customHeight="1">
      <c r="A665" s="476"/>
      <c r="B665" s="476"/>
      <c r="C665" s="476"/>
      <c r="D665" s="476"/>
      <c r="E665" s="476"/>
      <c r="F665" s="476"/>
      <c r="G665" s="476"/>
      <c r="H665" s="476"/>
      <c r="I665" s="476"/>
      <c r="J665" s="476"/>
      <c r="K665" s="476"/>
      <c r="L665" s="476"/>
      <c r="M665" s="476"/>
      <c r="N665" s="476"/>
      <c r="O665" s="476"/>
      <c r="P665" s="476"/>
      <c r="Q665" s="476"/>
      <c r="R665" s="476"/>
      <c r="S665" s="476"/>
      <c r="T665" s="476"/>
      <c r="U665" s="476"/>
      <c r="V665" s="476"/>
      <c r="W665" s="476"/>
      <c r="X665" s="476"/>
      <c r="Y665" s="476"/>
      <c r="Z665" s="476"/>
      <c r="AA665" s="476"/>
      <c r="AB665" s="476"/>
      <c r="AC665" s="476"/>
      <c r="AD665" s="476"/>
      <c r="AE665" s="476"/>
      <c r="AF665" s="476"/>
      <c r="AG665" s="476"/>
      <c r="AH665" s="476"/>
      <c r="AI665" s="476"/>
      <c r="AJ665" s="476"/>
      <c r="AK665" s="476"/>
      <c r="AL665" s="476"/>
      <c r="AM665" s="476"/>
      <c r="AN665" s="476"/>
      <c r="AO665" s="476"/>
      <c r="AP665" s="476"/>
      <c r="AQ665" s="476"/>
      <c r="AR665" s="476"/>
      <c r="AS665" s="476"/>
      <c r="AT665" s="476"/>
    </row>
    <row r="666" spans="1:46" ht="12.75" customHeight="1">
      <c r="A666" s="476"/>
      <c r="B666" s="476"/>
      <c r="C666" s="476"/>
      <c r="D666" s="476"/>
      <c r="E666" s="476"/>
      <c r="F666" s="476"/>
      <c r="G666" s="476"/>
      <c r="H666" s="476"/>
      <c r="I666" s="476"/>
      <c r="J666" s="476"/>
      <c r="K666" s="476"/>
      <c r="L666" s="476"/>
      <c r="M666" s="476"/>
      <c r="N666" s="476"/>
      <c r="O666" s="476"/>
      <c r="P666" s="476"/>
      <c r="Q666" s="476"/>
      <c r="R666" s="476"/>
      <c r="S666" s="476"/>
      <c r="T666" s="476"/>
      <c r="U666" s="476"/>
      <c r="V666" s="476"/>
      <c r="W666" s="476"/>
      <c r="X666" s="476"/>
      <c r="Y666" s="476"/>
      <c r="Z666" s="476"/>
      <c r="AA666" s="476"/>
      <c r="AB666" s="476"/>
      <c r="AC666" s="476"/>
      <c r="AD666" s="476"/>
      <c r="AE666" s="476"/>
      <c r="AF666" s="476"/>
      <c r="AG666" s="476"/>
      <c r="AH666" s="476"/>
      <c r="AI666" s="476"/>
      <c r="AJ666" s="476"/>
      <c r="AK666" s="476"/>
      <c r="AL666" s="476"/>
      <c r="AM666" s="476"/>
      <c r="AN666" s="476"/>
      <c r="AO666" s="476"/>
      <c r="AP666" s="476"/>
      <c r="AQ666" s="476"/>
      <c r="AR666" s="476"/>
      <c r="AS666" s="476"/>
      <c r="AT666" s="476"/>
    </row>
    <row r="667" spans="1:46" ht="12.75" customHeight="1">
      <c r="A667" s="476"/>
      <c r="B667" s="476"/>
      <c r="C667" s="476"/>
      <c r="D667" s="476"/>
      <c r="E667" s="476"/>
      <c r="F667" s="476"/>
      <c r="G667" s="476"/>
      <c r="H667" s="476"/>
      <c r="I667" s="476"/>
      <c r="J667" s="476"/>
      <c r="K667" s="476"/>
      <c r="L667" s="476"/>
      <c r="M667" s="476"/>
      <c r="N667" s="476"/>
      <c r="O667" s="476"/>
      <c r="P667" s="476"/>
      <c r="Q667" s="476"/>
      <c r="R667" s="476"/>
      <c r="S667" s="476"/>
      <c r="T667" s="476"/>
      <c r="U667" s="476"/>
      <c r="V667" s="476"/>
      <c r="W667" s="476"/>
      <c r="X667" s="476"/>
      <c r="Y667" s="476"/>
      <c r="Z667" s="476"/>
      <c r="AA667" s="476"/>
      <c r="AB667" s="476"/>
      <c r="AC667" s="476"/>
      <c r="AD667" s="476"/>
      <c r="AE667" s="476"/>
      <c r="AF667" s="476"/>
      <c r="AG667" s="476"/>
      <c r="AH667" s="476"/>
      <c r="AI667" s="476"/>
      <c r="AJ667" s="476"/>
      <c r="AK667" s="476"/>
      <c r="AL667" s="476"/>
      <c r="AM667" s="476"/>
      <c r="AN667" s="476"/>
      <c r="AO667" s="476"/>
      <c r="AP667" s="476"/>
      <c r="AQ667" s="476"/>
      <c r="AR667" s="476"/>
      <c r="AS667" s="476"/>
      <c r="AT667" s="476"/>
    </row>
    <row r="668" spans="1:46" ht="12.75" customHeight="1">
      <c r="A668" s="476"/>
      <c r="B668" s="476"/>
      <c r="C668" s="476"/>
      <c r="D668" s="476"/>
      <c r="E668" s="476"/>
      <c r="F668" s="476"/>
      <c r="G668" s="476"/>
      <c r="H668" s="476"/>
      <c r="I668" s="476"/>
      <c r="J668" s="476"/>
      <c r="K668" s="476"/>
      <c r="L668" s="476"/>
      <c r="M668" s="476"/>
      <c r="N668" s="476"/>
      <c r="O668" s="476"/>
      <c r="P668" s="476"/>
      <c r="Q668" s="476"/>
      <c r="R668" s="476"/>
      <c r="S668" s="476"/>
      <c r="T668" s="476"/>
      <c r="U668" s="476"/>
      <c r="V668" s="476"/>
      <c r="W668" s="476"/>
      <c r="X668" s="476"/>
      <c r="Y668" s="476"/>
      <c r="Z668" s="476"/>
      <c r="AA668" s="476"/>
      <c r="AB668" s="476"/>
      <c r="AC668" s="476"/>
      <c r="AD668" s="476"/>
      <c r="AE668" s="476"/>
      <c r="AF668" s="476"/>
      <c r="AG668" s="476"/>
      <c r="AH668" s="476"/>
      <c r="AI668" s="476"/>
      <c r="AJ668" s="476"/>
      <c r="AK668" s="476"/>
      <c r="AL668" s="476"/>
      <c r="AM668" s="476"/>
      <c r="AN668" s="476"/>
      <c r="AO668" s="476"/>
      <c r="AP668" s="476"/>
      <c r="AQ668" s="476"/>
      <c r="AR668" s="476"/>
      <c r="AS668" s="476"/>
      <c r="AT668" s="476"/>
    </row>
    <row r="669" spans="1:46" ht="12.75" customHeight="1">
      <c r="A669" s="476"/>
      <c r="B669" s="476"/>
      <c r="C669" s="476"/>
      <c r="D669" s="476"/>
      <c r="E669" s="476"/>
      <c r="F669" s="476"/>
      <c r="G669" s="476"/>
      <c r="H669" s="476"/>
      <c r="I669" s="476"/>
      <c r="J669" s="476"/>
      <c r="K669" s="476"/>
      <c r="L669" s="476"/>
      <c r="M669" s="476"/>
      <c r="N669" s="476"/>
      <c r="O669" s="476"/>
      <c r="P669" s="476"/>
      <c r="Q669" s="476"/>
      <c r="R669" s="476"/>
      <c r="S669" s="476"/>
      <c r="T669" s="476"/>
      <c r="U669" s="476"/>
      <c r="V669" s="476"/>
      <c r="W669" s="476"/>
      <c r="X669" s="476"/>
      <c r="Y669" s="476"/>
      <c r="Z669" s="476"/>
      <c r="AA669" s="476"/>
      <c r="AB669" s="476"/>
      <c r="AC669" s="476"/>
      <c r="AD669" s="476"/>
      <c r="AE669" s="476"/>
      <c r="AF669" s="476"/>
      <c r="AG669" s="476"/>
      <c r="AH669" s="476"/>
      <c r="AI669" s="476"/>
      <c r="AJ669" s="476"/>
      <c r="AK669" s="476"/>
      <c r="AL669" s="476"/>
      <c r="AM669" s="476"/>
      <c r="AN669" s="476"/>
      <c r="AO669" s="476"/>
      <c r="AP669" s="476"/>
      <c r="AQ669" s="476"/>
      <c r="AR669" s="476"/>
      <c r="AS669" s="476"/>
      <c r="AT669" s="476"/>
    </row>
    <row r="670" spans="1:46" ht="12.75" customHeight="1">
      <c r="A670" s="476"/>
      <c r="B670" s="476"/>
      <c r="C670" s="476"/>
      <c r="D670" s="476"/>
      <c r="E670" s="476"/>
      <c r="F670" s="476"/>
      <c r="G670" s="476"/>
      <c r="H670" s="476"/>
      <c r="I670" s="476"/>
      <c r="J670" s="476"/>
      <c r="K670" s="476"/>
      <c r="L670" s="476"/>
      <c r="M670" s="476"/>
      <c r="N670" s="476"/>
      <c r="O670" s="476"/>
      <c r="P670" s="476"/>
      <c r="Q670" s="476"/>
      <c r="R670" s="476"/>
      <c r="S670" s="476"/>
      <c r="T670" s="476"/>
      <c r="U670" s="476"/>
      <c r="V670" s="476"/>
      <c r="W670" s="476"/>
      <c r="X670" s="476"/>
      <c r="Y670" s="476"/>
      <c r="Z670" s="476"/>
      <c r="AA670" s="476"/>
      <c r="AB670" s="476"/>
      <c r="AC670" s="476"/>
      <c r="AD670" s="476"/>
      <c r="AE670" s="476"/>
      <c r="AF670" s="476"/>
      <c r="AG670" s="476"/>
      <c r="AH670" s="476"/>
      <c r="AI670" s="476"/>
      <c r="AJ670" s="476"/>
      <c r="AK670" s="476"/>
      <c r="AL670" s="476"/>
      <c r="AM670" s="476"/>
      <c r="AN670" s="476"/>
      <c r="AO670" s="476"/>
      <c r="AP670" s="476"/>
      <c r="AQ670" s="476"/>
      <c r="AR670" s="476"/>
      <c r="AS670" s="476"/>
      <c r="AT670" s="476"/>
    </row>
    <row r="671" spans="1:46" ht="12.75" customHeight="1">
      <c r="A671" s="476"/>
      <c r="B671" s="476"/>
      <c r="C671" s="476"/>
      <c r="D671" s="476"/>
      <c r="E671" s="476"/>
      <c r="F671" s="476"/>
      <c r="G671" s="476"/>
      <c r="H671" s="476"/>
      <c r="I671" s="476"/>
      <c r="J671" s="476"/>
      <c r="K671" s="476"/>
      <c r="L671" s="476"/>
      <c r="M671" s="476"/>
      <c r="N671" s="476"/>
      <c r="O671" s="476"/>
      <c r="P671" s="476"/>
      <c r="Q671" s="476"/>
      <c r="R671" s="476"/>
      <c r="S671" s="476"/>
      <c r="T671" s="476"/>
      <c r="U671" s="476"/>
      <c r="V671" s="476"/>
      <c r="W671" s="476"/>
      <c r="X671" s="476"/>
      <c r="Y671" s="476"/>
      <c r="Z671" s="476"/>
      <c r="AA671" s="476"/>
      <c r="AB671" s="476"/>
      <c r="AC671" s="476"/>
      <c r="AD671" s="476"/>
      <c r="AE671" s="476"/>
      <c r="AF671" s="476"/>
      <c r="AG671" s="476"/>
      <c r="AH671" s="476"/>
      <c r="AI671" s="476"/>
      <c r="AJ671" s="476"/>
      <c r="AK671" s="476"/>
      <c r="AL671" s="476"/>
      <c r="AM671" s="476"/>
      <c r="AN671" s="476"/>
      <c r="AO671" s="476"/>
      <c r="AP671" s="476"/>
      <c r="AQ671" s="476"/>
      <c r="AR671" s="476"/>
      <c r="AS671" s="476"/>
      <c r="AT671" s="476"/>
    </row>
    <row r="672" spans="1:46" ht="12.75" customHeight="1">
      <c r="A672" s="476"/>
      <c r="B672" s="476"/>
      <c r="C672" s="476"/>
      <c r="D672" s="476"/>
      <c r="E672" s="476"/>
      <c r="F672" s="476"/>
      <c r="G672" s="476"/>
      <c r="H672" s="476"/>
      <c r="I672" s="476"/>
      <c r="J672" s="476"/>
      <c r="K672" s="476"/>
      <c r="L672" s="476"/>
      <c r="M672" s="476"/>
      <c r="N672" s="476"/>
      <c r="O672" s="476"/>
      <c r="P672" s="476"/>
      <c r="Q672" s="476"/>
      <c r="R672" s="476"/>
      <c r="S672" s="476"/>
      <c r="T672" s="476"/>
      <c r="U672" s="476"/>
      <c r="V672" s="476"/>
      <c r="W672" s="476"/>
      <c r="X672" s="476"/>
      <c r="Y672" s="476"/>
      <c r="Z672" s="476"/>
      <c r="AA672" s="476"/>
      <c r="AB672" s="476"/>
      <c r="AC672" s="476"/>
      <c r="AD672" s="476"/>
      <c r="AE672" s="476"/>
      <c r="AF672" s="476"/>
      <c r="AG672" s="476"/>
      <c r="AH672" s="476"/>
      <c r="AI672" s="476"/>
      <c r="AJ672" s="476"/>
      <c r="AK672" s="476"/>
      <c r="AL672" s="476"/>
      <c r="AM672" s="476"/>
      <c r="AN672" s="476"/>
      <c r="AO672" s="476"/>
      <c r="AP672" s="476"/>
      <c r="AQ672" s="476"/>
      <c r="AR672" s="476"/>
      <c r="AS672" s="476"/>
      <c r="AT672" s="476"/>
    </row>
    <row r="673" spans="1:46" ht="12.75" customHeight="1">
      <c r="A673" s="476"/>
      <c r="B673" s="476"/>
      <c r="C673" s="476"/>
      <c r="D673" s="476"/>
      <c r="E673" s="476"/>
      <c r="F673" s="476"/>
      <c r="G673" s="476"/>
      <c r="H673" s="476"/>
      <c r="I673" s="476"/>
      <c r="J673" s="476"/>
      <c r="K673" s="476"/>
      <c r="L673" s="476"/>
      <c r="M673" s="476"/>
      <c r="N673" s="476"/>
      <c r="O673" s="476"/>
      <c r="P673" s="476"/>
      <c r="Q673" s="476"/>
      <c r="R673" s="476"/>
      <c r="S673" s="476"/>
      <c r="T673" s="476"/>
      <c r="U673" s="476"/>
      <c r="V673" s="476"/>
      <c r="W673" s="476"/>
      <c r="X673" s="476"/>
      <c r="Y673" s="476"/>
      <c r="Z673" s="476"/>
      <c r="AA673" s="476"/>
      <c r="AB673" s="476"/>
      <c r="AC673" s="476"/>
      <c r="AD673" s="476"/>
      <c r="AE673" s="476"/>
      <c r="AF673" s="476"/>
      <c r="AG673" s="476"/>
      <c r="AH673" s="476"/>
      <c r="AI673" s="476"/>
      <c r="AJ673" s="476"/>
      <c r="AK673" s="476"/>
      <c r="AL673" s="476"/>
      <c r="AM673" s="476"/>
      <c r="AN673" s="476"/>
      <c r="AO673" s="476"/>
      <c r="AP673" s="476"/>
      <c r="AQ673" s="476"/>
      <c r="AR673" s="476"/>
      <c r="AS673" s="476"/>
      <c r="AT673" s="476"/>
    </row>
    <row r="674" spans="1:46" ht="12.75" customHeight="1">
      <c r="A674" s="476"/>
      <c r="B674" s="476"/>
      <c r="C674" s="476"/>
      <c r="D674" s="476"/>
      <c r="E674" s="476"/>
      <c r="F674" s="476"/>
      <c r="G674" s="476"/>
      <c r="H674" s="476"/>
      <c r="I674" s="476"/>
      <c r="J674" s="476"/>
      <c r="K674" s="476"/>
      <c r="L674" s="476"/>
      <c r="M674" s="476"/>
      <c r="N674" s="476"/>
      <c r="O674" s="476"/>
      <c r="P674" s="476"/>
      <c r="Q674" s="476"/>
      <c r="R674" s="476"/>
      <c r="S674" s="476"/>
      <c r="T674" s="476"/>
      <c r="U674" s="476"/>
      <c r="V674" s="476"/>
      <c r="W674" s="476"/>
      <c r="X674" s="476"/>
      <c r="Y674" s="476"/>
      <c r="Z674" s="476"/>
      <c r="AA674" s="476"/>
      <c r="AB674" s="476"/>
      <c r="AC674" s="476"/>
      <c r="AD674" s="476"/>
      <c r="AE674" s="476"/>
      <c r="AF674" s="476"/>
      <c r="AG674" s="476"/>
      <c r="AH674" s="476"/>
      <c r="AI674" s="476"/>
      <c r="AJ674" s="476"/>
      <c r="AK674" s="476"/>
      <c r="AL674" s="476"/>
      <c r="AM674" s="476"/>
      <c r="AN674" s="476"/>
      <c r="AO674" s="476"/>
      <c r="AP674" s="476"/>
      <c r="AQ674" s="476"/>
      <c r="AR674" s="476"/>
      <c r="AS674" s="476"/>
      <c r="AT674" s="476"/>
    </row>
    <row r="675" spans="1:46" ht="12.75" customHeight="1">
      <c r="A675" s="476"/>
      <c r="B675" s="476"/>
      <c r="C675" s="476"/>
      <c r="D675" s="476"/>
      <c r="E675" s="476"/>
      <c r="F675" s="476"/>
      <c r="G675" s="476"/>
      <c r="H675" s="476"/>
      <c r="I675" s="476"/>
      <c r="J675" s="476"/>
      <c r="K675" s="476"/>
      <c r="L675" s="476"/>
      <c r="M675" s="476"/>
      <c r="N675" s="476"/>
      <c r="O675" s="476"/>
      <c r="P675" s="476"/>
      <c r="Q675" s="476"/>
      <c r="R675" s="476"/>
      <c r="S675" s="476"/>
      <c r="T675" s="476"/>
      <c r="U675" s="476"/>
      <c r="V675" s="476"/>
      <c r="W675" s="476"/>
      <c r="X675" s="476"/>
      <c r="Y675" s="476"/>
      <c r="Z675" s="476"/>
      <c r="AA675" s="476"/>
      <c r="AB675" s="476"/>
      <c r="AC675" s="476"/>
      <c r="AD675" s="476"/>
      <c r="AE675" s="476"/>
      <c r="AF675" s="476"/>
      <c r="AG675" s="476"/>
      <c r="AH675" s="476"/>
      <c r="AI675" s="476"/>
      <c r="AJ675" s="476"/>
      <c r="AK675" s="476"/>
      <c r="AL675" s="476"/>
      <c r="AM675" s="476"/>
      <c r="AN675" s="476"/>
      <c r="AO675" s="476"/>
      <c r="AP675" s="476"/>
      <c r="AQ675" s="476"/>
      <c r="AR675" s="476"/>
      <c r="AS675" s="476"/>
      <c r="AT675" s="476"/>
    </row>
    <row r="676" spans="1:46" ht="12.75" customHeight="1">
      <c r="A676" s="476"/>
      <c r="B676" s="476"/>
      <c r="C676" s="476"/>
      <c r="D676" s="476"/>
      <c r="E676" s="476"/>
      <c r="F676" s="476"/>
      <c r="G676" s="476"/>
      <c r="H676" s="476"/>
      <c r="I676" s="476"/>
      <c r="J676" s="476"/>
      <c r="K676" s="476"/>
      <c r="L676" s="476"/>
      <c r="M676" s="476"/>
      <c r="N676" s="476"/>
      <c r="O676" s="476"/>
      <c r="P676" s="476"/>
      <c r="Q676" s="476"/>
      <c r="R676" s="476"/>
      <c r="S676" s="476"/>
      <c r="T676" s="476"/>
      <c r="U676" s="476"/>
      <c r="V676" s="476"/>
      <c r="W676" s="476"/>
      <c r="X676" s="476"/>
      <c r="Y676" s="476"/>
      <c r="Z676" s="476"/>
      <c r="AA676" s="476"/>
      <c r="AB676" s="476"/>
      <c r="AC676" s="476"/>
      <c r="AD676" s="476"/>
      <c r="AE676" s="476"/>
      <c r="AF676" s="476"/>
      <c r="AG676" s="476"/>
      <c r="AH676" s="476"/>
      <c r="AI676" s="476"/>
      <c r="AJ676" s="476"/>
      <c r="AK676" s="476"/>
      <c r="AL676" s="476"/>
      <c r="AM676" s="476"/>
      <c r="AN676" s="476"/>
      <c r="AO676" s="476"/>
      <c r="AP676" s="476"/>
      <c r="AQ676" s="476"/>
      <c r="AR676" s="476"/>
      <c r="AS676" s="476"/>
      <c r="AT676" s="476"/>
    </row>
    <row r="677" spans="1:46" ht="12.75" customHeight="1">
      <c r="A677" s="476"/>
      <c r="B677" s="476"/>
      <c r="C677" s="476"/>
      <c r="D677" s="476"/>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476"/>
      <c r="AE677" s="476"/>
      <c r="AF677" s="476"/>
      <c r="AG677" s="476"/>
      <c r="AH677" s="476"/>
      <c r="AI677" s="476"/>
      <c r="AJ677" s="476"/>
      <c r="AK677" s="476"/>
      <c r="AL677" s="476"/>
      <c r="AM677" s="476"/>
      <c r="AN677" s="476"/>
      <c r="AO677" s="476"/>
      <c r="AP677" s="476"/>
      <c r="AQ677" s="476"/>
      <c r="AR677" s="476"/>
      <c r="AS677" s="476"/>
      <c r="AT677" s="476"/>
    </row>
    <row r="678" spans="1:46" ht="12.75" customHeight="1">
      <c r="A678" s="476"/>
      <c r="B678" s="476"/>
      <c r="C678" s="476"/>
      <c r="D678" s="476"/>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476"/>
      <c r="AE678" s="476"/>
      <c r="AF678" s="476"/>
      <c r="AG678" s="476"/>
      <c r="AH678" s="476"/>
      <c r="AI678" s="476"/>
      <c r="AJ678" s="476"/>
      <c r="AK678" s="476"/>
      <c r="AL678" s="476"/>
      <c r="AM678" s="476"/>
      <c r="AN678" s="476"/>
      <c r="AO678" s="476"/>
      <c r="AP678" s="476"/>
      <c r="AQ678" s="476"/>
      <c r="AR678" s="476"/>
      <c r="AS678" s="476"/>
      <c r="AT678" s="476"/>
    </row>
    <row r="679" spans="1:46" ht="12.75" customHeight="1">
      <c r="A679" s="476"/>
      <c r="B679" s="476"/>
      <c r="C679" s="476"/>
      <c r="D679" s="476"/>
      <c r="E679" s="476"/>
      <c r="F679" s="476"/>
      <c r="G679" s="476"/>
      <c r="H679" s="476"/>
      <c r="I679" s="476"/>
      <c r="J679" s="476"/>
      <c r="K679" s="476"/>
      <c r="L679" s="476"/>
      <c r="M679" s="476"/>
      <c r="N679" s="476"/>
      <c r="O679" s="476"/>
      <c r="P679" s="476"/>
      <c r="Q679" s="476"/>
      <c r="R679" s="476"/>
      <c r="S679" s="476"/>
      <c r="T679" s="476"/>
      <c r="U679" s="476"/>
      <c r="V679" s="476"/>
      <c r="W679" s="476"/>
      <c r="X679" s="476"/>
      <c r="Y679" s="476"/>
      <c r="Z679" s="476"/>
      <c r="AA679" s="476"/>
      <c r="AB679" s="476"/>
      <c r="AC679" s="476"/>
      <c r="AD679" s="476"/>
      <c r="AE679" s="476"/>
      <c r="AF679" s="476"/>
      <c r="AG679" s="476"/>
      <c r="AH679" s="476"/>
      <c r="AI679" s="476"/>
      <c r="AJ679" s="476"/>
      <c r="AK679" s="476"/>
      <c r="AL679" s="476"/>
      <c r="AM679" s="476"/>
      <c r="AN679" s="476"/>
      <c r="AO679" s="476"/>
      <c r="AP679" s="476"/>
      <c r="AQ679" s="476"/>
      <c r="AR679" s="476"/>
      <c r="AS679" s="476"/>
      <c r="AT679" s="476"/>
    </row>
    <row r="680" spans="1:46" ht="12.75" customHeight="1">
      <c r="A680" s="476"/>
      <c r="B680" s="476"/>
      <c r="C680" s="476"/>
      <c r="D680" s="476"/>
      <c r="E680" s="476"/>
      <c r="F680" s="476"/>
      <c r="G680" s="476"/>
      <c r="H680" s="476"/>
      <c r="I680" s="476"/>
      <c r="J680" s="476"/>
      <c r="K680" s="476"/>
      <c r="L680" s="476"/>
      <c r="M680" s="476"/>
      <c r="N680" s="476"/>
      <c r="O680" s="476"/>
      <c r="P680" s="476"/>
      <c r="Q680" s="476"/>
      <c r="R680" s="476"/>
      <c r="S680" s="476"/>
      <c r="T680" s="476"/>
      <c r="U680" s="476"/>
      <c r="V680" s="476"/>
      <c r="W680" s="476"/>
      <c r="X680" s="476"/>
      <c r="Y680" s="476"/>
      <c r="Z680" s="476"/>
      <c r="AA680" s="476"/>
      <c r="AB680" s="476"/>
      <c r="AC680" s="476"/>
      <c r="AD680" s="476"/>
      <c r="AE680" s="476"/>
      <c r="AF680" s="476"/>
      <c r="AG680" s="476"/>
      <c r="AH680" s="476"/>
      <c r="AI680" s="476"/>
      <c r="AJ680" s="476"/>
      <c r="AK680" s="476"/>
      <c r="AL680" s="476"/>
      <c r="AM680" s="476"/>
      <c r="AN680" s="476"/>
      <c r="AO680" s="476"/>
      <c r="AP680" s="476"/>
      <c r="AQ680" s="476"/>
      <c r="AR680" s="476"/>
      <c r="AS680" s="476"/>
      <c r="AT680" s="476"/>
    </row>
    <row r="681" spans="1:46" ht="12.75" customHeight="1">
      <c r="A681" s="476"/>
      <c r="B681" s="476"/>
      <c r="C681" s="476"/>
      <c r="D681" s="476"/>
      <c r="E681" s="476"/>
      <c r="F681" s="476"/>
      <c r="G681" s="476"/>
      <c r="H681" s="476"/>
      <c r="I681" s="476"/>
      <c r="J681" s="476"/>
      <c r="K681" s="476"/>
      <c r="L681" s="476"/>
      <c r="M681" s="476"/>
      <c r="N681" s="476"/>
      <c r="O681" s="476"/>
      <c r="P681" s="476"/>
      <c r="Q681" s="476"/>
      <c r="R681" s="476"/>
      <c r="S681" s="476"/>
      <c r="T681" s="476"/>
      <c r="U681" s="476"/>
      <c r="V681" s="476"/>
      <c r="W681" s="476"/>
      <c r="X681" s="476"/>
      <c r="Y681" s="476"/>
      <c r="Z681" s="476"/>
      <c r="AA681" s="476"/>
      <c r="AB681" s="476"/>
      <c r="AC681" s="476"/>
      <c r="AD681" s="476"/>
      <c r="AE681" s="476"/>
      <c r="AF681" s="476"/>
      <c r="AG681" s="476"/>
      <c r="AH681" s="476"/>
      <c r="AI681" s="476"/>
      <c r="AJ681" s="476"/>
      <c r="AK681" s="476"/>
      <c r="AL681" s="476"/>
      <c r="AM681" s="476"/>
      <c r="AN681" s="476"/>
      <c r="AO681" s="476"/>
      <c r="AP681" s="476"/>
      <c r="AQ681" s="476"/>
      <c r="AR681" s="476"/>
      <c r="AS681" s="476"/>
      <c r="AT681" s="476"/>
    </row>
    <row r="682" spans="1:46" ht="12.75" customHeight="1">
      <c r="A682" s="476"/>
      <c r="B682" s="476"/>
      <c r="C682" s="476"/>
      <c r="D682" s="476"/>
      <c r="E682" s="476"/>
      <c r="F682" s="476"/>
      <c r="G682" s="476"/>
      <c r="H682" s="476"/>
      <c r="I682" s="476"/>
      <c r="J682" s="476"/>
      <c r="K682" s="476"/>
      <c r="L682" s="476"/>
      <c r="M682" s="476"/>
      <c r="N682" s="476"/>
      <c r="O682" s="476"/>
      <c r="P682" s="476"/>
      <c r="Q682" s="476"/>
      <c r="R682" s="476"/>
      <c r="S682" s="476"/>
      <c r="T682" s="476"/>
      <c r="U682" s="476"/>
      <c r="V682" s="476"/>
      <c r="W682" s="476"/>
      <c r="X682" s="476"/>
      <c r="Y682" s="476"/>
      <c r="Z682" s="476"/>
      <c r="AA682" s="476"/>
      <c r="AB682" s="476"/>
      <c r="AC682" s="476"/>
      <c r="AD682" s="476"/>
      <c r="AE682" s="476"/>
      <c r="AF682" s="476"/>
      <c r="AG682" s="476"/>
      <c r="AH682" s="476"/>
      <c r="AI682" s="476"/>
      <c r="AJ682" s="476"/>
      <c r="AK682" s="476"/>
      <c r="AL682" s="476"/>
      <c r="AM682" s="476"/>
      <c r="AN682" s="476"/>
      <c r="AO682" s="476"/>
      <c r="AP682" s="476"/>
      <c r="AQ682" s="476"/>
      <c r="AR682" s="476"/>
      <c r="AS682" s="476"/>
      <c r="AT682" s="476"/>
    </row>
    <row r="683" spans="1:46" ht="12.75" customHeight="1">
      <c r="A683" s="476"/>
      <c r="B683" s="476"/>
      <c r="C683" s="476"/>
      <c r="D683" s="476"/>
      <c r="E683" s="476"/>
      <c r="F683" s="476"/>
      <c r="G683" s="476"/>
      <c r="H683" s="476"/>
      <c r="I683" s="476"/>
      <c r="J683" s="476"/>
      <c r="K683" s="476"/>
      <c r="L683" s="476"/>
      <c r="M683" s="476"/>
      <c r="N683" s="476"/>
      <c r="O683" s="476"/>
      <c r="P683" s="476"/>
      <c r="Q683" s="476"/>
      <c r="R683" s="476"/>
      <c r="S683" s="476"/>
      <c r="T683" s="476"/>
      <c r="U683" s="476"/>
      <c r="V683" s="476"/>
      <c r="W683" s="476"/>
      <c r="X683" s="476"/>
      <c r="Y683" s="476"/>
      <c r="Z683" s="476"/>
      <c r="AA683" s="476"/>
      <c r="AB683" s="476"/>
      <c r="AC683" s="476"/>
      <c r="AD683" s="476"/>
      <c r="AE683" s="476"/>
      <c r="AF683" s="476"/>
      <c r="AG683" s="476"/>
      <c r="AH683" s="476"/>
      <c r="AI683" s="476"/>
      <c r="AJ683" s="476"/>
      <c r="AK683" s="476"/>
      <c r="AL683" s="476"/>
      <c r="AM683" s="476"/>
      <c r="AN683" s="476"/>
      <c r="AO683" s="476"/>
      <c r="AP683" s="476"/>
      <c r="AQ683" s="476"/>
      <c r="AR683" s="476"/>
      <c r="AS683" s="476"/>
      <c r="AT683" s="476"/>
    </row>
    <row r="684" spans="1:46" ht="12.75" customHeight="1">
      <c r="A684" s="476"/>
      <c r="B684" s="476"/>
      <c r="C684" s="476"/>
      <c r="D684" s="476"/>
      <c r="E684" s="476"/>
      <c r="F684" s="476"/>
      <c r="G684" s="476"/>
      <c r="H684" s="476"/>
      <c r="I684" s="476"/>
      <c r="J684" s="476"/>
      <c r="K684" s="476"/>
      <c r="L684" s="476"/>
      <c r="M684" s="476"/>
      <c r="N684" s="476"/>
      <c r="O684" s="476"/>
      <c r="P684" s="476"/>
      <c r="Q684" s="476"/>
      <c r="R684" s="476"/>
      <c r="S684" s="476"/>
      <c r="T684" s="476"/>
      <c r="U684" s="476"/>
      <c r="V684" s="476"/>
      <c r="W684" s="476"/>
      <c r="X684" s="476"/>
      <c r="Y684" s="476"/>
      <c r="Z684" s="476"/>
      <c r="AA684" s="476"/>
      <c r="AB684" s="476"/>
      <c r="AC684" s="476"/>
      <c r="AD684" s="476"/>
      <c r="AE684" s="476"/>
      <c r="AF684" s="476"/>
      <c r="AG684" s="476"/>
      <c r="AH684" s="476"/>
      <c r="AI684" s="476"/>
      <c r="AJ684" s="476"/>
      <c r="AK684" s="476"/>
      <c r="AL684" s="476"/>
      <c r="AM684" s="476"/>
      <c r="AN684" s="476"/>
      <c r="AO684" s="476"/>
      <c r="AP684" s="476"/>
      <c r="AQ684" s="476"/>
      <c r="AR684" s="476"/>
      <c r="AS684" s="476"/>
      <c r="AT684" s="476"/>
    </row>
    <row r="685" spans="1:46" ht="12.75" customHeight="1">
      <c r="A685" s="476"/>
      <c r="B685" s="476"/>
      <c r="C685" s="476"/>
      <c r="D685" s="476"/>
      <c r="E685" s="476"/>
      <c r="F685" s="476"/>
      <c r="G685" s="476"/>
      <c r="H685" s="476"/>
      <c r="I685" s="476"/>
      <c r="J685" s="476"/>
      <c r="K685" s="476"/>
      <c r="L685" s="476"/>
      <c r="M685" s="476"/>
      <c r="N685" s="476"/>
      <c r="O685" s="476"/>
      <c r="P685" s="476"/>
      <c r="Q685" s="476"/>
      <c r="R685" s="476"/>
      <c r="S685" s="476"/>
      <c r="T685" s="476"/>
      <c r="U685" s="476"/>
      <c r="V685" s="476"/>
      <c r="W685" s="476"/>
      <c r="X685" s="476"/>
      <c r="Y685" s="476"/>
      <c r="Z685" s="476"/>
      <c r="AA685" s="476"/>
      <c r="AB685" s="476"/>
      <c r="AC685" s="476"/>
      <c r="AD685" s="476"/>
      <c r="AE685" s="476"/>
      <c r="AF685" s="476"/>
      <c r="AG685" s="476"/>
      <c r="AH685" s="476"/>
      <c r="AI685" s="476"/>
      <c r="AJ685" s="476"/>
      <c r="AK685" s="476"/>
      <c r="AL685" s="476"/>
      <c r="AM685" s="476"/>
      <c r="AN685" s="476"/>
      <c r="AO685" s="476"/>
      <c r="AP685" s="476"/>
      <c r="AQ685" s="476"/>
      <c r="AR685" s="476"/>
      <c r="AS685" s="476"/>
      <c r="AT685" s="476"/>
    </row>
    <row r="686" spans="1:46" ht="12.75" customHeight="1">
      <c r="A686" s="476"/>
      <c r="B686" s="476"/>
      <c r="C686" s="476"/>
      <c r="D686" s="476"/>
      <c r="E686" s="476"/>
      <c r="F686" s="476"/>
      <c r="G686" s="476"/>
      <c r="H686" s="476"/>
      <c r="I686" s="476"/>
      <c r="J686" s="476"/>
      <c r="K686" s="476"/>
      <c r="L686" s="476"/>
      <c r="M686" s="476"/>
      <c r="N686" s="476"/>
      <c r="O686" s="476"/>
      <c r="P686" s="476"/>
      <c r="Q686" s="476"/>
      <c r="R686" s="476"/>
      <c r="S686" s="476"/>
      <c r="T686" s="476"/>
      <c r="U686" s="476"/>
      <c r="V686" s="476"/>
      <c r="W686" s="476"/>
      <c r="X686" s="476"/>
      <c r="Y686" s="476"/>
      <c r="Z686" s="476"/>
      <c r="AA686" s="476"/>
      <c r="AB686" s="476"/>
      <c r="AC686" s="476"/>
      <c r="AD686" s="476"/>
      <c r="AE686" s="476"/>
      <c r="AF686" s="476"/>
      <c r="AG686" s="476"/>
      <c r="AH686" s="476"/>
      <c r="AI686" s="476"/>
      <c r="AJ686" s="476"/>
      <c r="AK686" s="476"/>
      <c r="AL686" s="476"/>
      <c r="AM686" s="476"/>
      <c r="AN686" s="476"/>
      <c r="AO686" s="476"/>
      <c r="AP686" s="476"/>
      <c r="AQ686" s="476"/>
      <c r="AR686" s="476"/>
      <c r="AS686" s="476"/>
      <c r="AT686" s="476"/>
    </row>
    <row r="687" spans="1:46" ht="12.75" customHeight="1">
      <c r="A687" s="476"/>
      <c r="B687" s="476"/>
      <c r="C687" s="476"/>
      <c r="D687" s="476"/>
      <c r="E687" s="476"/>
      <c r="F687" s="476"/>
      <c r="G687" s="476"/>
      <c r="H687" s="476"/>
      <c r="I687" s="476"/>
      <c r="J687" s="476"/>
      <c r="K687" s="476"/>
      <c r="L687" s="476"/>
      <c r="M687" s="476"/>
      <c r="N687" s="476"/>
      <c r="O687" s="476"/>
      <c r="P687" s="476"/>
      <c r="Q687" s="476"/>
      <c r="R687" s="476"/>
      <c r="S687" s="476"/>
      <c r="T687" s="476"/>
      <c r="U687" s="476"/>
      <c r="V687" s="476"/>
      <c r="W687" s="476"/>
      <c r="X687" s="476"/>
      <c r="Y687" s="476"/>
      <c r="Z687" s="476"/>
      <c r="AA687" s="476"/>
      <c r="AB687" s="476"/>
      <c r="AC687" s="476"/>
      <c r="AD687" s="476"/>
      <c r="AE687" s="476"/>
      <c r="AF687" s="476"/>
      <c r="AG687" s="476"/>
      <c r="AH687" s="476"/>
      <c r="AI687" s="476"/>
      <c r="AJ687" s="476"/>
      <c r="AK687" s="476"/>
      <c r="AL687" s="476"/>
      <c r="AM687" s="476"/>
      <c r="AN687" s="476"/>
      <c r="AO687" s="476"/>
      <c r="AP687" s="476"/>
      <c r="AQ687" s="476"/>
      <c r="AR687" s="476"/>
      <c r="AS687" s="476"/>
      <c r="AT687" s="476"/>
    </row>
    <row r="688" spans="1:46" ht="12.75" customHeight="1">
      <c r="A688" s="476"/>
      <c r="B688" s="476"/>
      <c r="C688" s="476"/>
      <c r="D688" s="476"/>
      <c r="E688" s="476"/>
      <c r="F688" s="476"/>
      <c r="G688" s="476"/>
      <c r="H688" s="476"/>
      <c r="I688" s="476"/>
      <c r="J688" s="476"/>
      <c r="K688" s="476"/>
      <c r="L688" s="476"/>
      <c r="M688" s="476"/>
      <c r="N688" s="476"/>
      <c r="O688" s="476"/>
      <c r="P688" s="476"/>
      <c r="Q688" s="476"/>
      <c r="R688" s="476"/>
      <c r="S688" s="476"/>
      <c r="T688" s="476"/>
      <c r="U688" s="476"/>
      <c r="V688" s="476"/>
      <c r="W688" s="476"/>
      <c r="X688" s="476"/>
      <c r="Y688" s="476"/>
      <c r="Z688" s="476"/>
      <c r="AA688" s="476"/>
      <c r="AB688" s="476"/>
      <c r="AC688" s="476"/>
      <c r="AD688" s="476"/>
      <c r="AE688" s="476"/>
      <c r="AF688" s="476"/>
      <c r="AG688" s="476"/>
      <c r="AH688" s="476"/>
      <c r="AI688" s="476"/>
      <c r="AJ688" s="476"/>
      <c r="AK688" s="476"/>
      <c r="AL688" s="476"/>
      <c r="AM688" s="476"/>
      <c r="AN688" s="476"/>
      <c r="AO688" s="476"/>
      <c r="AP688" s="476"/>
      <c r="AQ688" s="476"/>
      <c r="AR688" s="476"/>
      <c r="AS688" s="476"/>
      <c r="AT688" s="476"/>
    </row>
    <row r="689" spans="1:46" ht="12.75" customHeight="1">
      <c r="A689" s="476"/>
      <c r="B689" s="476"/>
      <c r="C689" s="476"/>
      <c r="D689" s="476"/>
      <c r="E689" s="476"/>
      <c r="F689" s="476"/>
      <c r="G689" s="476"/>
      <c r="H689" s="476"/>
      <c r="I689" s="476"/>
      <c r="J689" s="476"/>
      <c r="K689" s="476"/>
      <c r="L689" s="476"/>
      <c r="M689" s="476"/>
      <c r="N689" s="476"/>
      <c r="O689" s="476"/>
      <c r="P689" s="476"/>
      <c r="Q689" s="476"/>
      <c r="R689" s="476"/>
      <c r="S689" s="476"/>
      <c r="T689" s="476"/>
      <c r="U689" s="476"/>
      <c r="V689" s="476"/>
      <c r="W689" s="476"/>
      <c r="X689" s="476"/>
      <c r="Y689" s="476"/>
      <c r="Z689" s="476"/>
      <c r="AA689" s="476"/>
      <c r="AB689" s="476"/>
      <c r="AC689" s="476"/>
      <c r="AD689" s="476"/>
      <c r="AE689" s="476"/>
      <c r="AF689" s="476"/>
      <c r="AG689" s="476"/>
      <c r="AH689" s="476"/>
      <c r="AI689" s="476"/>
      <c r="AJ689" s="476"/>
      <c r="AK689" s="476"/>
      <c r="AL689" s="476"/>
      <c r="AM689" s="476"/>
      <c r="AN689" s="476"/>
      <c r="AO689" s="476"/>
      <c r="AP689" s="476"/>
      <c r="AQ689" s="476"/>
      <c r="AR689" s="476"/>
      <c r="AS689" s="476"/>
      <c r="AT689" s="476"/>
    </row>
    <row r="690" spans="1:46" ht="12.75" customHeight="1">
      <c r="A690" s="476"/>
      <c r="B690" s="476"/>
      <c r="C690" s="476"/>
      <c r="D690" s="476"/>
      <c r="E690" s="476"/>
      <c r="F690" s="476"/>
      <c r="G690" s="476"/>
      <c r="H690" s="476"/>
      <c r="I690" s="476"/>
      <c r="J690" s="476"/>
      <c r="K690" s="476"/>
      <c r="L690" s="476"/>
      <c r="M690" s="476"/>
      <c r="N690" s="476"/>
      <c r="O690" s="476"/>
      <c r="P690" s="476"/>
      <c r="Q690" s="476"/>
      <c r="R690" s="476"/>
      <c r="S690" s="476"/>
      <c r="T690" s="476"/>
      <c r="U690" s="476"/>
      <c r="V690" s="476"/>
      <c r="W690" s="476"/>
      <c r="X690" s="476"/>
      <c r="Y690" s="476"/>
      <c r="Z690" s="476"/>
      <c r="AA690" s="476"/>
      <c r="AB690" s="476"/>
      <c r="AC690" s="476"/>
      <c r="AD690" s="476"/>
      <c r="AE690" s="476"/>
      <c r="AF690" s="476"/>
      <c r="AG690" s="476"/>
      <c r="AH690" s="476"/>
      <c r="AI690" s="476"/>
      <c r="AJ690" s="476"/>
      <c r="AK690" s="476"/>
      <c r="AL690" s="476"/>
      <c r="AM690" s="476"/>
      <c r="AN690" s="476"/>
      <c r="AO690" s="476"/>
      <c r="AP690" s="476"/>
      <c r="AQ690" s="476"/>
      <c r="AR690" s="476"/>
      <c r="AS690" s="476"/>
      <c r="AT690" s="476"/>
    </row>
    <row r="691" spans="1:46" ht="12.75" customHeight="1">
      <c r="A691" s="476"/>
      <c r="B691" s="476"/>
      <c r="C691" s="476"/>
      <c r="D691" s="476"/>
      <c r="E691" s="476"/>
      <c r="F691" s="476"/>
      <c r="G691" s="476"/>
      <c r="H691" s="476"/>
      <c r="I691" s="476"/>
      <c r="J691" s="476"/>
      <c r="K691" s="476"/>
      <c r="L691" s="476"/>
      <c r="M691" s="476"/>
      <c r="N691" s="476"/>
      <c r="O691" s="476"/>
      <c r="P691" s="476"/>
      <c r="Q691" s="476"/>
      <c r="R691" s="476"/>
      <c r="S691" s="476"/>
      <c r="T691" s="476"/>
      <c r="U691" s="476"/>
      <c r="V691" s="476"/>
      <c r="W691" s="476"/>
      <c r="X691" s="476"/>
      <c r="Y691" s="476"/>
      <c r="Z691" s="476"/>
      <c r="AA691" s="476"/>
      <c r="AB691" s="476"/>
      <c r="AC691" s="476"/>
      <c r="AD691" s="476"/>
      <c r="AE691" s="476"/>
      <c r="AF691" s="476"/>
      <c r="AG691" s="476"/>
      <c r="AH691" s="476"/>
      <c r="AI691" s="476"/>
      <c r="AJ691" s="476"/>
      <c r="AK691" s="476"/>
      <c r="AL691" s="476"/>
      <c r="AM691" s="476"/>
      <c r="AN691" s="476"/>
      <c r="AO691" s="476"/>
      <c r="AP691" s="476"/>
      <c r="AQ691" s="476"/>
      <c r="AR691" s="476"/>
      <c r="AS691" s="476"/>
      <c r="AT691" s="476"/>
    </row>
    <row r="692" spans="1:46" ht="12.75" customHeight="1">
      <c r="A692" s="476"/>
      <c r="B692" s="476"/>
      <c r="C692" s="476"/>
      <c r="D692" s="476"/>
      <c r="E692" s="476"/>
      <c r="F692" s="476"/>
      <c r="G692" s="476"/>
      <c r="H692" s="476"/>
      <c r="I692" s="476"/>
      <c r="J692" s="476"/>
      <c r="K692" s="476"/>
      <c r="L692" s="476"/>
      <c r="M692" s="476"/>
      <c r="N692" s="476"/>
      <c r="O692" s="476"/>
      <c r="P692" s="476"/>
      <c r="Q692" s="476"/>
      <c r="R692" s="476"/>
      <c r="S692" s="476"/>
      <c r="T692" s="476"/>
      <c r="U692" s="476"/>
      <c r="V692" s="476"/>
      <c r="W692" s="476"/>
      <c r="X692" s="476"/>
      <c r="Y692" s="476"/>
      <c r="Z692" s="476"/>
      <c r="AA692" s="476"/>
      <c r="AB692" s="476"/>
      <c r="AC692" s="476"/>
      <c r="AD692" s="476"/>
      <c r="AE692" s="476"/>
      <c r="AF692" s="476"/>
      <c r="AG692" s="476"/>
      <c r="AH692" s="476"/>
      <c r="AI692" s="476"/>
      <c r="AJ692" s="476"/>
      <c r="AK692" s="476"/>
      <c r="AL692" s="476"/>
      <c r="AM692" s="476"/>
      <c r="AN692" s="476"/>
      <c r="AO692" s="476"/>
      <c r="AP692" s="476"/>
      <c r="AQ692" s="476"/>
      <c r="AR692" s="476"/>
      <c r="AS692" s="476"/>
      <c r="AT692" s="476"/>
    </row>
    <row r="693" spans="1:46" ht="12.75" customHeight="1">
      <c r="A693" s="476"/>
      <c r="B693" s="476"/>
      <c r="C693" s="476"/>
      <c r="D693" s="476"/>
      <c r="E693" s="476"/>
      <c r="F693" s="476"/>
      <c r="G693" s="476"/>
      <c r="H693" s="476"/>
      <c r="I693" s="476"/>
      <c r="J693" s="476"/>
      <c r="K693" s="476"/>
      <c r="L693" s="476"/>
      <c r="M693" s="476"/>
      <c r="N693" s="476"/>
      <c r="O693" s="476"/>
      <c r="P693" s="476"/>
      <c r="Q693" s="476"/>
      <c r="R693" s="476"/>
      <c r="S693" s="476"/>
      <c r="T693" s="476"/>
      <c r="U693" s="476"/>
      <c r="V693" s="476"/>
      <c r="W693" s="476"/>
      <c r="X693" s="476"/>
      <c r="Y693" s="476"/>
      <c r="Z693" s="476"/>
      <c r="AA693" s="476"/>
      <c r="AB693" s="476"/>
      <c r="AC693" s="476"/>
      <c r="AD693" s="476"/>
      <c r="AE693" s="476"/>
      <c r="AF693" s="476"/>
      <c r="AG693" s="476"/>
      <c r="AH693" s="476"/>
      <c r="AI693" s="476"/>
      <c r="AJ693" s="476"/>
      <c r="AK693" s="476"/>
      <c r="AL693" s="476"/>
      <c r="AM693" s="476"/>
      <c r="AN693" s="476"/>
      <c r="AO693" s="476"/>
      <c r="AP693" s="476"/>
      <c r="AQ693" s="476"/>
      <c r="AR693" s="476"/>
      <c r="AS693" s="476"/>
      <c r="AT693" s="476"/>
    </row>
    <row r="694" spans="1:46" ht="12.75" customHeight="1">
      <c r="A694" s="476"/>
      <c r="B694" s="476"/>
      <c r="C694" s="476"/>
      <c r="D694" s="476"/>
      <c r="E694" s="476"/>
      <c r="F694" s="476"/>
      <c r="G694" s="476"/>
      <c r="H694" s="476"/>
      <c r="I694" s="476"/>
      <c r="J694" s="476"/>
      <c r="K694" s="476"/>
      <c r="L694" s="476"/>
      <c r="M694" s="476"/>
      <c r="N694" s="476"/>
      <c r="O694" s="476"/>
      <c r="P694" s="476"/>
      <c r="Q694" s="476"/>
      <c r="R694" s="476"/>
      <c r="S694" s="476"/>
      <c r="T694" s="476"/>
      <c r="U694" s="476"/>
      <c r="V694" s="476"/>
      <c r="W694" s="476"/>
      <c r="X694" s="476"/>
      <c r="Y694" s="476"/>
      <c r="Z694" s="476"/>
      <c r="AA694" s="476"/>
      <c r="AB694" s="476"/>
      <c r="AC694" s="476"/>
      <c r="AD694" s="476"/>
      <c r="AE694" s="476"/>
      <c r="AF694" s="476"/>
      <c r="AG694" s="476"/>
      <c r="AH694" s="476"/>
      <c r="AI694" s="476"/>
      <c r="AJ694" s="476"/>
      <c r="AK694" s="476"/>
      <c r="AL694" s="476"/>
      <c r="AM694" s="476"/>
      <c r="AN694" s="476"/>
      <c r="AO694" s="476"/>
      <c r="AP694" s="476"/>
      <c r="AQ694" s="476"/>
      <c r="AR694" s="476"/>
      <c r="AS694" s="476"/>
      <c r="AT694" s="476"/>
    </row>
    <row r="695" spans="1:46" ht="12.75" customHeight="1">
      <c r="A695" s="476"/>
      <c r="B695" s="476"/>
      <c r="C695" s="476"/>
      <c r="D695" s="476"/>
      <c r="E695" s="476"/>
      <c r="F695" s="476"/>
      <c r="G695" s="476"/>
      <c r="H695" s="476"/>
      <c r="I695" s="476"/>
      <c r="J695" s="476"/>
      <c r="K695" s="476"/>
      <c r="L695" s="476"/>
      <c r="M695" s="476"/>
      <c r="N695" s="476"/>
      <c r="O695" s="476"/>
      <c r="P695" s="476"/>
      <c r="Q695" s="476"/>
      <c r="R695" s="476"/>
      <c r="S695" s="476"/>
      <c r="T695" s="476"/>
      <c r="U695" s="476"/>
      <c r="V695" s="476"/>
      <c r="W695" s="476"/>
      <c r="X695" s="476"/>
      <c r="Y695" s="476"/>
      <c r="Z695" s="476"/>
      <c r="AA695" s="476"/>
      <c r="AB695" s="476"/>
      <c r="AC695" s="476"/>
      <c r="AD695" s="476"/>
      <c r="AE695" s="476"/>
      <c r="AF695" s="476"/>
      <c r="AG695" s="476"/>
      <c r="AH695" s="476"/>
      <c r="AI695" s="476"/>
      <c r="AJ695" s="476"/>
      <c r="AK695" s="476"/>
      <c r="AL695" s="476"/>
      <c r="AM695" s="476"/>
      <c r="AN695" s="476"/>
      <c r="AO695" s="476"/>
      <c r="AP695" s="476"/>
      <c r="AQ695" s="476"/>
      <c r="AR695" s="476"/>
      <c r="AS695" s="476"/>
      <c r="AT695" s="476"/>
    </row>
    <row r="696" spans="1:46" ht="12.75" customHeight="1">
      <c r="A696" s="476"/>
      <c r="B696" s="476"/>
      <c r="C696" s="476"/>
      <c r="D696" s="476"/>
      <c r="E696" s="476"/>
      <c r="F696" s="476"/>
      <c r="G696" s="476"/>
      <c r="H696" s="476"/>
      <c r="I696" s="476"/>
      <c r="J696" s="476"/>
      <c r="K696" s="476"/>
      <c r="L696" s="476"/>
      <c r="M696" s="476"/>
      <c r="N696" s="476"/>
      <c r="O696" s="476"/>
      <c r="P696" s="476"/>
      <c r="Q696" s="476"/>
      <c r="R696" s="476"/>
      <c r="S696" s="476"/>
      <c r="T696" s="476"/>
      <c r="U696" s="476"/>
      <c r="V696" s="476"/>
      <c r="W696" s="476"/>
      <c r="X696" s="476"/>
      <c r="Y696" s="476"/>
      <c r="Z696" s="476"/>
      <c r="AA696" s="476"/>
      <c r="AB696" s="476"/>
      <c r="AC696" s="476"/>
      <c r="AD696" s="476"/>
      <c r="AE696" s="476"/>
      <c r="AF696" s="476"/>
      <c r="AG696" s="476"/>
      <c r="AH696" s="476"/>
      <c r="AI696" s="476"/>
      <c r="AJ696" s="476"/>
      <c r="AK696" s="476"/>
      <c r="AL696" s="476"/>
      <c r="AM696" s="476"/>
      <c r="AN696" s="476"/>
      <c r="AO696" s="476"/>
      <c r="AP696" s="476"/>
      <c r="AQ696" s="476"/>
      <c r="AR696" s="476"/>
      <c r="AS696" s="476"/>
      <c r="AT696" s="476"/>
    </row>
    <row r="697" spans="1:46" ht="12.75" customHeight="1">
      <c r="A697" s="476"/>
      <c r="B697" s="476"/>
      <c r="C697" s="476"/>
      <c r="D697" s="476"/>
      <c r="E697" s="476"/>
      <c r="F697" s="476"/>
      <c r="G697" s="476"/>
      <c r="H697" s="476"/>
      <c r="I697" s="476"/>
      <c r="J697" s="476"/>
      <c r="K697" s="476"/>
      <c r="L697" s="476"/>
      <c r="M697" s="476"/>
      <c r="N697" s="476"/>
      <c r="O697" s="476"/>
      <c r="P697" s="476"/>
      <c r="Q697" s="476"/>
      <c r="R697" s="476"/>
      <c r="S697" s="476"/>
      <c r="T697" s="476"/>
      <c r="U697" s="476"/>
      <c r="V697" s="476"/>
      <c r="W697" s="476"/>
      <c r="X697" s="476"/>
      <c r="Y697" s="476"/>
      <c r="Z697" s="476"/>
      <c r="AA697" s="476"/>
      <c r="AB697" s="476"/>
      <c r="AC697" s="476"/>
      <c r="AD697" s="476"/>
      <c r="AE697" s="476"/>
      <c r="AF697" s="476"/>
      <c r="AG697" s="476"/>
      <c r="AH697" s="476"/>
      <c r="AI697" s="476"/>
      <c r="AJ697" s="476"/>
      <c r="AK697" s="476"/>
      <c r="AL697" s="476"/>
      <c r="AM697" s="476"/>
      <c r="AN697" s="476"/>
      <c r="AO697" s="476"/>
      <c r="AP697" s="476"/>
      <c r="AQ697" s="476"/>
      <c r="AR697" s="476"/>
      <c r="AS697" s="476"/>
      <c r="AT697" s="476"/>
    </row>
    <row r="698" spans="1:46" ht="12.75" customHeight="1">
      <c r="A698" s="476"/>
      <c r="B698" s="476"/>
      <c r="C698" s="476"/>
      <c r="D698" s="476"/>
      <c r="E698" s="476"/>
      <c r="F698" s="476"/>
      <c r="G698" s="476"/>
      <c r="H698" s="476"/>
      <c r="I698" s="476"/>
      <c r="J698" s="476"/>
      <c r="K698" s="476"/>
      <c r="L698" s="476"/>
      <c r="M698" s="476"/>
      <c r="N698" s="476"/>
      <c r="O698" s="476"/>
      <c r="P698" s="476"/>
      <c r="Q698" s="476"/>
      <c r="R698" s="476"/>
      <c r="S698" s="476"/>
      <c r="T698" s="476"/>
      <c r="U698" s="476"/>
      <c r="V698" s="476"/>
      <c r="W698" s="476"/>
      <c r="X698" s="476"/>
      <c r="Y698" s="476"/>
      <c r="Z698" s="476"/>
      <c r="AA698" s="476"/>
      <c r="AB698" s="476"/>
      <c r="AC698" s="476"/>
      <c r="AD698" s="476"/>
      <c r="AE698" s="476"/>
      <c r="AF698" s="476"/>
      <c r="AG698" s="476"/>
      <c r="AH698" s="476"/>
      <c r="AI698" s="476"/>
      <c r="AJ698" s="476"/>
      <c r="AK698" s="476"/>
      <c r="AL698" s="476"/>
      <c r="AM698" s="476"/>
      <c r="AN698" s="476"/>
      <c r="AO698" s="476"/>
      <c r="AP698" s="476"/>
      <c r="AQ698" s="476"/>
      <c r="AR698" s="476"/>
      <c r="AS698" s="476"/>
      <c r="AT698" s="476"/>
    </row>
    <row r="699" spans="1:46" ht="12.75" customHeight="1">
      <c r="A699" s="476"/>
      <c r="B699" s="476"/>
      <c r="C699" s="476"/>
      <c r="D699" s="476"/>
      <c r="E699" s="476"/>
      <c r="F699" s="476"/>
      <c r="G699" s="476"/>
      <c r="H699" s="476"/>
      <c r="I699" s="476"/>
      <c r="J699" s="476"/>
      <c r="K699" s="476"/>
      <c r="L699" s="476"/>
      <c r="M699" s="476"/>
      <c r="N699" s="476"/>
      <c r="O699" s="476"/>
      <c r="P699" s="476"/>
      <c r="Q699" s="476"/>
      <c r="R699" s="476"/>
      <c r="S699" s="476"/>
      <c r="T699" s="476"/>
      <c r="U699" s="476"/>
      <c r="V699" s="476"/>
      <c r="W699" s="476"/>
      <c r="X699" s="476"/>
      <c r="Y699" s="476"/>
      <c r="Z699" s="476"/>
      <c r="AA699" s="476"/>
      <c r="AB699" s="476"/>
      <c r="AC699" s="476"/>
      <c r="AD699" s="476"/>
      <c r="AE699" s="476"/>
      <c r="AF699" s="476"/>
      <c r="AG699" s="476"/>
      <c r="AH699" s="476"/>
      <c r="AI699" s="476"/>
      <c r="AJ699" s="476"/>
      <c r="AK699" s="476"/>
      <c r="AL699" s="476"/>
      <c r="AM699" s="476"/>
      <c r="AN699" s="476"/>
      <c r="AO699" s="476"/>
      <c r="AP699" s="476"/>
      <c r="AQ699" s="476"/>
      <c r="AR699" s="476"/>
      <c r="AS699" s="476"/>
      <c r="AT699" s="476"/>
    </row>
    <row r="700" spans="1:46" ht="12.75" customHeight="1">
      <c r="A700" s="476"/>
      <c r="B700" s="476"/>
      <c r="C700" s="476"/>
      <c r="D700" s="476"/>
      <c r="E700" s="476"/>
      <c r="F700" s="476"/>
      <c r="G700" s="476"/>
      <c r="H700" s="476"/>
      <c r="I700" s="476"/>
      <c r="J700" s="476"/>
      <c r="K700" s="476"/>
      <c r="L700" s="476"/>
      <c r="M700" s="476"/>
      <c r="N700" s="476"/>
      <c r="O700" s="476"/>
      <c r="P700" s="476"/>
      <c r="Q700" s="476"/>
      <c r="R700" s="476"/>
      <c r="S700" s="476"/>
      <c r="T700" s="476"/>
      <c r="U700" s="476"/>
      <c r="V700" s="476"/>
      <c r="W700" s="476"/>
      <c r="X700" s="476"/>
      <c r="Y700" s="476"/>
      <c r="Z700" s="476"/>
      <c r="AA700" s="476"/>
      <c r="AB700" s="476"/>
      <c r="AC700" s="476"/>
      <c r="AD700" s="476"/>
      <c r="AE700" s="476"/>
      <c r="AF700" s="476"/>
      <c r="AG700" s="476"/>
      <c r="AH700" s="476"/>
      <c r="AI700" s="476"/>
      <c r="AJ700" s="476"/>
      <c r="AK700" s="476"/>
      <c r="AL700" s="476"/>
      <c r="AM700" s="476"/>
      <c r="AN700" s="476"/>
      <c r="AO700" s="476"/>
      <c r="AP700" s="476"/>
      <c r="AQ700" s="476"/>
      <c r="AR700" s="476"/>
      <c r="AS700" s="476"/>
      <c r="AT700" s="476"/>
    </row>
    <row r="701" spans="1:46" ht="12.75" customHeight="1">
      <c r="A701" s="476"/>
      <c r="B701" s="476"/>
      <c r="C701" s="476"/>
      <c r="D701" s="476"/>
      <c r="E701" s="476"/>
      <c r="F701" s="476"/>
      <c r="G701" s="476"/>
      <c r="H701" s="476"/>
      <c r="I701" s="476"/>
      <c r="J701" s="476"/>
      <c r="K701" s="476"/>
      <c r="L701" s="476"/>
      <c r="M701" s="476"/>
      <c r="N701" s="476"/>
      <c r="O701" s="476"/>
      <c r="P701" s="476"/>
      <c r="Q701" s="476"/>
      <c r="R701" s="476"/>
      <c r="S701" s="476"/>
      <c r="T701" s="476"/>
      <c r="U701" s="476"/>
      <c r="V701" s="476"/>
      <c r="W701" s="476"/>
      <c r="X701" s="476"/>
      <c r="Y701" s="476"/>
      <c r="Z701" s="476"/>
      <c r="AA701" s="476"/>
      <c r="AB701" s="476"/>
      <c r="AC701" s="476"/>
      <c r="AD701" s="476"/>
      <c r="AE701" s="476"/>
      <c r="AF701" s="476"/>
      <c r="AG701" s="476"/>
      <c r="AH701" s="476"/>
      <c r="AI701" s="476"/>
      <c r="AJ701" s="476"/>
      <c r="AK701" s="476"/>
      <c r="AL701" s="476"/>
      <c r="AM701" s="476"/>
      <c r="AN701" s="476"/>
      <c r="AO701" s="476"/>
      <c r="AP701" s="476"/>
      <c r="AQ701" s="476"/>
      <c r="AR701" s="476"/>
      <c r="AS701" s="476"/>
      <c r="AT701" s="476"/>
    </row>
    <row r="702" spans="1:46" ht="12.75" customHeight="1">
      <c r="A702" s="476"/>
      <c r="B702" s="476"/>
      <c r="C702" s="476"/>
      <c r="D702" s="476"/>
      <c r="E702" s="476"/>
      <c r="F702" s="476"/>
      <c r="G702" s="476"/>
      <c r="H702" s="476"/>
      <c r="I702" s="476"/>
      <c r="J702" s="476"/>
      <c r="K702" s="476"/>
      <c r="L702" s="476"/>
      <c r="M702" s="476"/>
      <c r="N702" s="476"/>
      <c r="O702" s="476"/>
      <c r="P702" s="476"/>
      <c r="Q702" s="476"/>
      <c r="R702" s="476"/>
      <c r="S702" s="476"/>
      <c r="T702" s="476"/>
      <c r="U702" s="476"/>
      <c r="V702" s="476"/>
      <c r="W702" s="476"/>
      <c r="X702" s="476"/>
      <c r="Y702" s="476"/>
      <c r="Z702" s="476"/>
      <c r="AA702" s="476"/>
      <c r="AB702" s="476"/>
      <c r="AC702" s="476"/>
      <c r="AD702" s="476"/>
      <c r="AE702" s="476"/>
      <c r="AF702" s="476"/>
      <c r="AG702" s="476"/>
      <c r="AH702" s="476"/>
      <c r="AI702" s="476"/>
      <c r="AJ702" s="476"/>
      <c r="AK702" s="476"/>
      <c r="AL702" s="476"/>
      <c r="AM702" s="476"/>
      <c r="AN702" s="476"/>
      <c r="AO702" s="476"/>
      <c r="AP702" s="476"/>
      <c r="AQ702" s="476"/>
      <c r="AR702" s="476"/>
      <c r="AS702" s="476"/>
      <c r="AT702" s="476"/>
    </row>
    <row r="703" spans="1:46" ht="12.75" customHeight="1">
      <c r="A703" s="476"/>
      <c r="B703" s="476"/>
      <c r="C703" s="476"/>
      <c r="D703" s="476"/>
      <c r="E703" s="476"/>
      <c r="F703" s="476"/>
      <c r="G703" s="476"/>
      <c r="H703" s="476"/>
      <c r="I703" s="476"/>
      <c r="J703" s="476"/>
      <c r="K703" s="476"/>
      <c r="L703" s="476"/>
      <c r="M703" s="476"/>
      <c r="N703" s="476"/>
      <c r="O703" s="476"/>
      <c r="P703" s="476"/>
      <c r="Q703" s="476"/>
      <c r="R703" s="476"/>
      <c r="S703" s="476"/>
      <c r="T703" s="476"/>
      <c r="U703" s="476"/>
      <c r="V703" s="476"/>
      <c r="W703" s="476"/>
      <c r="X703" s="476"/>
      <c r="Y703" s="476"/>
      <c r="Z703" s="476"/>
      <c r="AA703" s="476"/>
      <c r="AB703" s="476"/>
      <c r="AC703" s="476"/>
      <c r="AD703" s="476"/>
      <c r="AE703" s="476"/>
      <c r="AF703" s="476"/>
      <c r="AG703" s="476"/>
      <c r="AH703" s="476"/>
      <c r="AI703" s="476"/>
      <c r="AJ703" s="476"/>
      <c r="AK703" s="476"/>
      <c r="AL703" s="476"/>
      <c r="AM703" s="476"/>
      <c r="AN703" s="476"/>
      <c r="AO703" s="476"/>
      <c r="AP703" s="476"/>
      <c r="AQ703" s="476"/>
      <c r="AR703" s="476"/>
      <c r="AS703" s="476"/>
      <c r="AT703" s="476"/>
    </row>
    <row r="704" spans="1:46" ht="12.75" customHeight="1">
      <c r="A704" s="476"/>
      <c r="B704" s="476"/>
      <c r="C704" s="476"/>
      <c r="D704" s="476"/>
      <c r="E704" s="476"/>
      <c r="F704" s="476"/>
      <c r="G704" s="476"/>
      <c r="H704" s="476"/>
      <c r="I704" s="476"/>
      <c r="J704" s="476"/>
      <c r="K704" s="476"/>
      <c r="L704" s="476"/>
      <c r="M704" s="476"/>
      <c r="N704" s="476"/>
      <c r="O704" s="476"/>
      <c r="P704" s="476"/>
      <c r="Q704" s="476"/>
      <c r="R704" s="476"/>
      <c r="S704" s="476"/>
      <c r="T704" s="476"/>
      <c r="U704" s="476"/>
      <c r="V704" s="476"/>
      <c r="W704" s="476"/>
      <c r="X704" s="476"/>
      <c r="Y704" s="476"/>
      <c r="Z704" s="476"/>
      <c r="AA704" s="476"/>
      <c r="AB704" s="476"/>
      <c r="AC704" s="476"/>
      <c r="AD704" s="476"/>
      <c r="AE704" s="476"/>
      <c r="AF704" s="476"/>
      <c r="AG704" s="476"/>
      <c r="AH704" s="476"/>
      <c r="AI704" s="476"/>
      <c r="AJ704" s="476"/>
      <c r="AK704" s="476"/>
      <c r="AL704" s="476"/>
      <c r="AM704" s="476"/>
      <c r="AN704" s="476"/>
      <c r="AO704" s="476"/>
      <c r="AP704" s="476"/>
      <c r="AQ704" s="476"/>
      <c r="AR704" s="476"/>
      <c r="AS704" s="476"/>
      <c r="AT704" s="476"/>
    </row>
    <row r="705" spans="1:46" ht="12.75" customHeight="1">
      <c r="A705" s="476"/>
      <c r="B705" s="476"/>
      <c r="C705" s="476"/>
      <c r="D705" s="476"/>
      <c r="E705" s="476"/>
      <c r="F705" s="476"/>
      <c r="G705" s="476"/>
      <c r="H705" s="476"/>
      <c r="I705" s="476"/>
      <c r="J705" s="476"/>
      <c r="K705" s="476"/>
      <c r="L705" s="476"/>
      <c r="M705" s="476"/>
      <c r="N705" s="476"/>
      <c r="O705" s="476"/>
      <c r="P705" s="476"/>
      <c r="Q705" s="476"/>
      <c r="R705" s="476"/>
      <c r="S705" s="476"/>
      <c r="T705" s="476"/>
      <c r="U705" s="476"/>
      <c r="V705" s="476"/>
      <c r="W705" s="476"/>
      <c r="X705" s="476"/>
      <c r="Y705" s="476"/>
      <c r="Z705" s="476"/>
      <c r="AA705" s="476"/>
      <c r="AB705" s="476"/>
      <c r="AC705" s="476"/>
      <c r="AD705" s="476"/>
      <c r="AE705" s="476"/>
      <c r="AF705" s="476"/>
      <c r="AG705" s="476"/>
      <c r="AH705" s="476"/>
      <c r="AI705" s="476"/>
      <c r="AJ705" s="476"/>
      <c r="AK705" s="476"/>
      <c r="AL705" s="476"/>
      <c r="AM705" s="476"/>
      <c r="AN705" s="476"/>
      <c r="AO705" s="476"/>
      <c r="AP705" s="476"/>
      <c r="AQ705" s="476"/>
      <c r="AR705" s="476"/>
      <c r="AS705" s="476"/>
      <c r="AT705" s="476"/>
    </row>
    <row r="706" spans="1:46" ht="12.75" customHeight="1">
      <c r="A706" s="476"/>
      <c r="B706" s="476"/>
      <c r="C706" s="476"/>
      <c r="D706" s="476"/>
      <c r="E706" s="476"/>
      <c r="F706" s="476"/>
      <c r="G706" s="476"/>
      <c r="H706" s="476"/>
      <c r="I706" s="476"/>
      <c r="J706" s="476"/>
      <c r="K706" s="476"/>
      <c r="L706" s="476"/>
      <c r="M706" s="476"/>
      <c r="N706" s="476"/>
      <c r="O706" s="476"/>
      <c r="P706" s="476"/>
      <c r="Q706" s="476"/>
      <c r="R706" s="476"/>
      <c r="S706" s="476"/>
      <c r="T706" s="476"/>
      <c r="U706" s="476"/>
      <c r="V706" s="476"/>
      <c r="W706" s="476"/>
      <c r="X706" s="476"/>
      <c r="Y706" s="476"/>
      <c r="Z706" s="476"/>
      <c r="AA706" s="476"/>
      <c r="AB706" s="476"/>
      <c r="AC706" s="476"/>
      <c r="AD706" s="476"/>
      <c r="AE706" s="476"/>
      <c r="AF706" s="476"/>
      <c r="AG706" s="476"/>
      <c r="AH706" s="476"/>
      <c r="AI706" s="476"/>
      <c r="AJ706" s="476"/>
      <c r="AK706" s="476"/>
      <c r="AL706" s="476"/>
      <c r="AM706" s="476"/>
      <c r="AN706" s="476"/>
      <c r="AO706" s="476"/>
      <c r="AP706" s="476"/>
      <c r="AQ706" s="476"/>
      <c r="AR706" s="476"/>
      <c r="AS706" s="476"/>
      <c r="AT706" s="476"/>
    </row>
    <row r="707" spans="1:46" ht="12.75" customHeight="1">
      <c r="A707" s="476"/>
      <c r="B707" s="476"/>
      <c r="C707" s="476"/>
      <c r="D707" s="476"/>
      <c r="E707" s="476"/>
      <c r="F707" s="476"/>
      <c r="G707" s="476"/>
      <c r="H707" s="476"/>
      <c r="I707" s="476"/>
      <c r="J707" s="476"/>
      <c r="K707" s="476"/>
      <c r="L707" s="476"/>
      <c r="M707" s="476"/>
      <c r="N707" s="476"/>
      <c r="O707" s="476"/>
      <c r="P707" s="476"/>
      <c r="Q707" s="476"/>
      <c r="R707" s="476"/>
      <c r="S707" s="476"/>
      <c r="T707" s="476"/>
      <c r="U707" s="476"/>
      <c r="V707" s="476"/>
      <c r="W707" s="476"/>
      <c r="X707" s="476"/>
      <c r="Y707" s="476"/>
      <c r="Z707" s="476"/>
      <c r="AA707" s="476"/>
      <c r="AB707" s="476"/>
      <c r="AC707" s="476"/>
      <c r="AD707" s="476"/>
      <c r="AE707" s="476"/>
      <c r="AF707" s="476"/>
      <c r="AG707" s="476"/>
      <c r="AH707" s="476"/>
      <c r="AI707" s="476"/>
      <c r="AJ707" s="476"/>
      <c r="AK707" s="476"/>
      <c r="AL707" s="476"/>
      <c r="AM707" s="476"/>
      <c r="AN707" s="476"/>
      <c r="AO707" s="476"/>
      <c r="AP707" s="476"/>
      <c r="AQ707" s="476"/>
      <c r="AR707" s="476"/>
      <c r="AS707" s="476"/>
      <c r="AT707" s="476"/>
    </row>
    <row r="708" spans="1:46" ht="12.75" customHeight="1">
      <c r="A708" s="476"/>
      <c r="B708" s="476"/>
      <c r="C708" s="476"/>
      <c r="D708" s="476"/>
      <c r="E708" s="476"/>
      <c r="F708" s="476"/>
      <c r="G708" s="476"/>
      <c r="H708" s="476"/>
      <c r="I708" s="476"/>
      <c r="J708" s="476"/>
      <c r="K708" s="476"/>
      <c r="L708" s="476"/>
      <c r="M708" s="476"/>
      <c r="N708" s="476"/>
      <c r="O708" s="476"/>
      <c r="P708" s="476"/>
      <c r="Q708" s="476"/>
      <c r="R708" s="476"/>
      <c r="S708" s="476"/>
      <c r="T708" s="476"/>
      <c r="U708" s="476"/>
      <c r="V708" s="476"/>
      <c r="W708" s="476"/>
      <c r="X708" s="476"/>
      <c r="Y708" s="476"/>
      <c r="Z708" s="476"/>
      <c r="AA708" s="476"/>
      <c r="AB708" s="476"/>
      <c r="AC708" s="476"/>
      <c r="AD708" s="476"/>
      <c r="AE708" s="476"/>
      <c r="AF708" s="476"/>
      <c r="AG708" s="476"/>
      <c r="AH708" s="476"/>
      <c r="AI708" s="476"/>
      <c r="AJ708" s="476"/>
      <c r="AK708" s="476"/>
      <c r="AL708" s="476"/>
      <c r="AM708" s="476"/>
      <c r="AN708" s="476"/>
      <c r="AO708" s="476"/>
      <c r="AP708" s="476"/>
      <c r="AQ708" s="476"/>
      <c r="AR708" s="476"/>
      <c r="AS708" s="476"/>
      <c r="AT708" s="476"/>
    </row>
    <row r="709" spans="1:46" ht="12.75" customHeight="1">
      <c r="A709" s="476"/>
      <c r="B709" s="476"/>
      <c r="C709" s="476"/>
      <c r="D709" s="476"/>
      <c r="E709" s="476"/>
      <c r="F709" s="476"/>
      <c r="G709" s="476"/>
      <c r="H709" s="476"/>
      <c r="I709" s="476"/>
      <c r="J709" s="476"/>
      <c r="K709" s="476"/>
      <c r="L709" s="476"/>
      <c r="M709" s="476"/>
      <c r="N709" s="476"/>
      <c r="O709" s="476"/>
      <c r="P709" s="476"/>
      <c r="Q709" s="476"/>
      <c r="R709" s="476"/>
      <c r="S709" s="476"/>
      <c r="T709" s="476"/>
      <c r="U709" s="476"/>
      <c r="V709" s="476"/>
      <c r="W709" s="476"/>
      <c r="X709" s="476"/>
      <c r="Y709" s="476"/>
      <c r="Z709" s="476"/>
      <c r="AA709" s="476"/>
      <c r="AB709" s="476"/>
      <c r="AC709" s="476"/>
      <c r="AD709" s="476"/>
      <c r="AE709" s="476"/>
      <c r="AF709" s="476"/>
      <c r="AG709" s="476"/>
      <c r="AH709" s="476"/>
      <c r="AI709" s="476"/>
      <c r="AJ709" s="476"/>
      <c r="AK709" s="476"/>
      <c r="AL709" s="476"/>
      <c r="AM709" s="476"/>
      <c r="AN709" s="476"/>
      <c r="AO709" s="476"/>
      <c r="AP709" s="476"/>
      <c r="AQ709" s="476"/>
      <c r="AR709" s="476"/>
      <c r="AS709" s="476"/>
      <c r="AT709" s="476"/>
    </row>
    <row r="710" spans="1:46" ht="12.75" customHeight="1">
      <c r="A710" s="476"/>
      <c r="B710" s="476"/>
      <c r="C710" s="476"/>
      <c r="D710" s="476"/>
      <c r="E710" s="476"/>
      <c r="F710" s="476"/>
      <c r="G710" s="476"/>
      <c r="H710" s="476"/>
      <c r="I710" s="476"/>
      <c r="J710" s="476"/>
      <c r="K710" s="476"/>
      <c r="L710" s="476"/>
      <c r="M710" s="476"/>
      <c r="N710" s="476"/>
      <c r="O710" s="476"/>
      <c r="P710" s="476"/>
      <c r="Q710" s="476"/>
      <c r="R710" s="476"/>
      <c r="S710" s="476"/>
      <c r="T710" s="476"/>
      <c r="U710" s="476"/>
      <c r="V710" s="476"/>
      <c r="W710" s="476"/>
      <c r="X710" s="476"/>
      <c r="Y710" s="476"/>
      <c r="Z710" s="476"/>
      <c r="AA710" s="476"/>
      <c r="AB710" s="476"/>
      <c r="AC710" s="476"/>
      <c r="AD710" s="476"/>
      <c r="AE710" s="476"/>
      <c r="AF710" s="476"/>
      <c r="AG710" s="476"/>
      <c r="AH710" s="476"/>
      <c r="AI710" s="476"/>
      <c r="AJ710" s="476"/>
      <c r="AK710" s="476"/>
      <c r="AL710" s="476"/>
      <c r="AM710" s="476"/>
      <c r="AN710" s="476"/>
      <c r="AO710" s="476"/>
      <c r="AP710" s="476"/>
      <c r="AQ710" s="476"/>
      <c r="AR710" s="476"/>
      <c r="AS710" s="476"/>
      <c r="AT710" s="476"/>
    </row>
    <row r="711" spans="1:46" ht="12.75" customHeight="1">
      <c r="A711" s="476"/>
      <c r="B711" s="476"/>
      <c r="C711" s="476"/>
      <c r="D711" s="476"/>
      <c r="E711" s="476"/>
      <c r="F711" s="476"/>
      <c r="G711" s="476"/>
      <c r="H711" s="476"/>
      <c r="I711" s="476"/>
      <c r="J711" s="476"/>
      <c r="K711" s="476"/>
      <c r="L711" s="476"/>
      <c r="M711" s="476"/>
      <c r="N711" s="476"/>
      <c r="O711" s="476"/>
      <c r="P711" s="476"/>
      <c r="Q711" s="476"/>
      <c r="R711" s="476"/>
      <c r="S711" s="476"/>
      <c r="T711" s="476"/>
      <c r="U711" s="476"/>
      <c r="V711" s="476"/>
      <c r="W711" s="476"/>
      <c r="X711" s="476"/>
      <c r="Y711" s="476"/>
      <c r="Z711" s="476"/>
      <c r="AA711" s="476"/>
      <c r="AB711" s="476"/>
      <c r="AC711" s="476"/>
      <c r="AD711" s="476"/>
      <c r="AE711" s="476"/>
      <c r="AF711" s="476"/>
      <c r="AG711" s="476"/>
      <c r="AH711" s="476"/>
      <c r="AI711" s="476"/>
      <c r="AJ711" s="476"/>
      <c r="AK711" s="476"/>
      <c r="AL711" s="476"/>
      <c r="AM711" s="476"/>
      <c r="AN711" s="476"/>
      <c r="AO711" s="476"/>
      <c r="AP711" s="476"/>
      <c r="AQ711" s="476"/>
      <c r="AR711" s="476"/>
      <c r="AS711" s="476"/>
      <c r="AT711" s="476"/>
    </row>
    <row r="712" spans="1:46" ht="12.75" customHeight="1">
      <c r="A712" s="476"/>
      <c r="B712" s="476"/>
      <c r="C712" s="476"/>
      <c r="D712" s="476"/>
      <c r="E712" s="476"/>
      <c r="F712" s="476"/>
      <c r="G712" s="476"/>
      <c r="H712" s="476"/>
      <c r="I712" s="476"/>
      <c r="J712" s="476"/>
      <c r="K712" s="476"/>
      <c r="L712" s="476"/>
      <c r="M712" s="476"/>
      <c r="N712" s="476"/>
      <c r="O712" s="476"/>
      <c r="P712" s="476"/>
      <c r="Q712" s="476"/>
      <c r="R712" s="476"/>
      <c r="S712" s="476"/>
      <c r="T712" s="476"/>
      <c r="U712" s="476"/>
      <c r="V712" s="476"/>
      <c r="W712" s="476"/>
      <c r="X712" s="476"/>
      <c r="Y712" s="476"/>
      <c r="Z712" s="476"/>
      <c r="AA712" s="476"/>
      <c r="AB712" s="476"/>
      <c r="AC712" s="476"/>
      <c r="AD712" s="476"/>
      <c r="AE712" s="476"/>
      <c r="AF712" s="476"/>
      <c r="AG712" s="476"/>
      <c r="AH712" s="476"/>
      <c r="AI712" s="476"/>
      <c r="AJ712" s="476"/>
      <c r="AK712" s="476"/>
      <c r="AL712" s="476"/>
      <c r="AM712" s="476"/>
      <c r="AN712" s="476"/>
      <c r="AO712" s="476"/>
      <c r="AP712" s="476"/>
      <c r="AQ712" s="476"/>
      <c r="AR712" s="476"/>
      <c r="AS712" s="476"/>
      <c r="AT712" s="476"/>
    </row>
    <row r="713" spans="1:46" ht="12.75" customHeight="1">
      <c r="A713" s="476"/>
      <c r="B713" s="476"/>
      <c r="C713" s="476"/>
      <c r="D713" s="476"/>
      <c r="E713" s="476"/>
      <c r="F713" s="476"/>
      <c r="G713" s="476"/>
      <c r="H713" s="476"/>
      <c r="I713" s="476"/>
      <c r="J713" s="476"/>
      <c r="K713" s="476"/>
      <c r="L713" s="476"/>
      <c r="M713" s="476"/>
      <c r="N713" s="476"/>
      <c r="O713" s="476"/>
      <c r="P713" s="476"/>
      <c r="Q713" s="476"/>
      <c r="R713" s="476"/>
      <c r="S713" s="476"/>
      <c r="T713" s="476"/>
      <c r="U713" s="476"/>
      <c r="V713" s="476"/>
      <c r="W713" s="476"/>
      <c r="X713" s="476"/>
      <c r="Y713" s="476"/>
      <c r="Z713" s="476"/>
      <c r="AA713" s="476"/>
      <c r="AB713" s="476"/>
      <c r="AC713" s="476"/>
      <c r="AD713" s="476"/>
      <c r="AE713" s="476"/>
      <c r="AF713" s="476"/>
      <c r="AG713" s="476"/>
      <c r="AH713" s="476"/>
      <c r="AI713" s="476"/>
      <c r="AJ713" s="476"/>
      <c r="AK713" s="476"/>
      <c r="AL713" s="476"/>
      <c r="AM713" s="476"/>
      <c r="AN713" s="476"/>
      <c r="AO713" s="476"/>
      <c r="AP713" s="476"/>
      <c r="AQ713" s="476"/>
      <c r="AR713" s="476"/>
      <c r="AS713" s="476"/>
      <c r="AT713" s="476"/>
    </row>
    <row r="714" spans="1:46" ht="12.75" customHeight="1">
      <c r="A714" s="476"/>
      <c r="B714" s="476"/>
      <c r="C714" s="476"/>
      <c r="D714" s="476"/>
      <c r="E714" s="476"/>
      <c r="F714" s="476"/>
      <c r="G714" s="476"/>
      <c r="H714" s="476"/>
      <c r="I714" s="476"/>
      <c r="J714" s="476"/>
      <c r="K714" s="476"/>
      <c r="L714" s="476"/>
      <c r="M714" s="476"/>
      <c r="N714" s="476"/>
      <c r="O714" s="476"/>
      <c r="P714" s="476"/>
      <c r="Q714" s="476"/>
      <c r="R714" s="476"/>
      <c r="S714" s="476"/>
      <c r="T714" s="476"/>
      <c r="U714" s="476"/>
      <c r="V714" s="476"/>
      <c r="W714" s="476"/>
      <c r="X714" s="476"/>
      <c r="Y714" s="476"/>
      <c r="Z714" s="476"/>
      <c r="AA714" s="476"/>
      <c r="AB714" s="476"/>
      <c r="AC714" s="476"/>
      <c r="AD714" s="476"/>
      <c r="AE714" s="476"/>
      <c r="AF714" s="476"/>
      <c r="AG714" s="476"/>
      <c r="AH714" s="476"/>
      <c r="AI714" s="476"/>
      <c r="AJ714" s="476"/>
      <c r="AK714" s="476"/>
      <c r="AL714" s="476"/>
      <c r="AM714" s="476"/>
      <c r="AN714" s="476"/>
      <c r="AO714" s="476"/>
      <c r="AP714" s="476"/>
      <c r="AQ714" s="476"/>
      <c r="AR714" s="476"/>
      <c r="AS714" s="476"/>
      <c r="AT714" s="476"/>
    </row>
    <row r="715" spans="1:46" ht="12.75" customHeight="1">
      <c r="A715" s="476"/>
      <c r="B715" s="476"/>
      <c r="C715" s="476"/>
      <c r="D715" s="476"/>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76"/>
      <c r="AD715" s="476"/>
      <c r="AE715" s="476"/>
      <c r="AF715" s="476"/>
      <c r="AG715" s="476"/>
      <c r="AH715" s="476"/>
      <c r="AI715" s="476"/>
      <c r="AJ715" s="476"/>
      <c r="AK715" s="476"/>
      <c r="AL715" s="476"/>
      <c r="AM715" s="476"/>
      <c r="AN715" s="476"/>
      <c r="AO715" s="476"/>
      <c r="AP715" s="476"/>
      <c r="AQ715" s="476"/>
      <c r="AR715" s="476"/>
      <c r="AS715" s="476"/>
      <c r="AT715" s="476"/>
    </row>
    <row r="716" spans="1:46" ht="12.75" customHeight="1">
      <c r="A716" s="476"/>
      <c r="B716" s="476"/>
      <c r="C716" s="476"/>
      <c r="D716" s="476"/>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76"/>
      <c r="AD716" s="476"/>
      <c r="AE716" s="476"/>
      <c r="AF716" s="476"/>
      <c r="AG716" s="476"/>
      <c r="AH716" s="476"/>
      <c r="AI716" s="476"/>
      <c r="AJ716" s="476"/>
      <c r="AK716" s="476"/>
      <c r="AL716" s="476"/>
      <c r="AM716" s="476"/>
      <c r="AN716" s="476"/>
      <c r="AO716" s="476"/>
      <c r="AP716" s="476"/>
      <c r="AQ716" s="476"/>
      <c r="AR716" s="476"/>
      <c r="AS716" s="476"/>
      <c r="AT716" s="476"/>
    </row>
    <row r="717" spans="1:46" ht="12.75" customHeight="1">
      <c r="A717" s="476"/>
      <c r="B717" s="476"/>
      <c r="C717" s="476"/>
      <c r="D717" s="476"/>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76"/>
      <c r="AD717" s="476"/>
      <c r="AE717" s="476"/>
      <c r="AF717" s="476"/>
      <c r="AG717" s="476"/>
      <c r="AH717" s="476"/>
      <c r="AI717" s="476"/>
      <c r="AJ717" s="476"/>
      <c r="AK717" s="476"/>
      <c r="AL717" s="476"/>
      <c r="AM717" s="476"/>
      <c r="AN717" s="476"/>
      <c r="AO717" s="476"/>
      <c r="AP717" s="476"/>
      <c r="AQ717" s="476"/>
      <c r="AR717" s="476"/>
      <c r="AS717" s="476"/>
      <c r="AT717" s="476"/>
    </row>
    <row r="718" spans="1:46" ht="12.75" customHeight="1">
      <c r="A718" s="476"/>
      <c r="B718" s="476"/>
      <c r="C718" s="476"/>
      <c r="D718" s="476"/>
      <c r="E718" s="476"/>
      <c r="F718" s="476"/>
      <c r="G718" s="476"/>
      <c r="H718" s="476"/>
      <c r="I718" s="476"/>
      <c r="J718" s="476"/>
      <c r="K718" s="476"/>
      <c r="L718" s="476"/>
      <c r="M718" s="476"/>
      <c r="N718" s="476"/>
      <c r="O718" s="476"/>
      <c r="P718" s="476"/>
      <c r="Q718" s="476"/>
      <c r="R718" s="476"/>
      <c r="S718" s="476"/>
      <c r="T718" s="476"/>
      <c r="U718" s="476"/>
      <c r="V718" s="476"/>
      <c r="W718" s="476"/>
      <c r="X718" s="476"/>
      <c r="Y718" s="476"/>
      <c r="Z718" s="476"/>
      <c r="AA718" s="476"/>
      <c r="AB718" s="476"/>
      <c r="AC718" s="476"/>
      <c r="AD718" s="476"/>
      <c r="AE718" s="476"/>
      <c r="AF718" s="476"/>
      <c r="AG718" s="476"/>
      <c r="AH718" s="476"/>
      <c r="AI718" s="476"/>
      <c r="AJ718" s="476"/>
      <c r="AK718" s="476"/>
      <c r="AL718" s="476"/>
      <c r="AM718" s="476"/>
      <c r="AN718" s="476"/>
      <c r="AO718" s="476"/>
      <c r="AP718" s="476"/>
      <c r="AQ718" s="476"/>
      <c r="AR718" s="476"/>
      <c r="AS718" s="476"/>
      <c r="AT718" s="476"/>
    </row>
    <row r="719" spans="1:46" ht="12.75" customHeight="1">
      <c r="A719" s="476"/>
      <c r="B719" s="476"/>
      <c r="C719" s="476"/>
      <c r="D719" s="476"/>
      <c r="E719" s="476"/>
      <c r="F719" s="476"/>
      <c r="G719" s="476"/>
      <c r="H719" s="476"/>
      <c r="I719" s="476"/>
      <c r="J719" s="476"/>
      <c r="K719" s="476"/>
      <c r="L719" s="476"/>
      <c r="M719" s="476"/>
      <c r="N719" s="476"/>
      <c r="O719" s="476"/>
      <c r="P719" s="476"/>
      <c r="Q719" s="476"/>
      <c r="R719" s="476"/>
      <c r="S719" s="476"/>
      <c r="T719" s="476"/>
      <c r="U719" s="476"/>
      <c r="V719" s="476"/>
      <c r="W719" s="476"/>
      <c r="X719" s="476"/>
      <c r="Y719" s="476"/>
      <c r="Z719" s="476"/>
      <c r="AA719" s="476"/>
      <c r="AB719" s="476"/>
      <c r="AC719" s="476"/>
      <c r="AD719" s="476"/>
      <c r="AE719" s="476"/>
      <c r="AF719" s="476"/>
      <c r="AG719" s="476"/>
      <c r="AH719" s="476"/>
      <c r="AI719" s="476"/>
      <c r="AJ719" s="476"/>
      <c r="AK719" s="476"/>
      <c r="AL719" s="476"/>
      <c r="AM719" s="476"/>
      <c r="AN719" s="476"/>
      <c r="AO719" s="476"/>
      <c r="AP719" s="476"/>
      <c r="AQ719" s="476"/>
      <c r="AR719" s="476"/>
      <c r="AS719" s="476"/>
      <c r="AT719" s="476"/>
    </row>
    <row r="720" spans="1:46" ht="12.75" customHeight="1">
      <c r="A720" s="476"/>
      <c r="B720" s="476"/>
      <c r="C720" s="476"/>
      <c r="D720" s="476"/>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76"/>
      <c r="AD720" s="476"/>
      <c r="AE720" s="476"/>
      <c r="AF720" s="476"/>
      <c r="AG720" s="476"/>
      <c r="AH720" s="476"/>
      <c r="AI720" s="476"/>
      <c r="AJ720" s="476"/>
      <c r="AK720" s="476"/>
      <c r="AL720" s="476"/>
      <c r="AM720" s="476"/>
      <c r="AN720" s="476"/>
      <c r="AO720" s="476"/>
      <c r="AP720" s="476"/>
      <c r="AQ720" s="476"/>
      <c r="AR720" s="476"/>
      <c r="AS720" s="476"/>
      <c r="AT720" s="476"/>
    </row>
    <row r="721" spans="1:46" ht="12.75" customHeight="1">
      <c r="A721" s="476"/>
      <c r="B721" s="476"/>
      <c r="C721" s="476"/>
      <c r="D721" s="476"/>
      <c r="E721" s="476"/>
      <c r="F721" s="476"/>
      <c r="G721" s="476"/>
      <c r="H721" s="476"/>
      <c r="I721" s="476"/>
      <c r="J721" s="476"/>
      <c r="K721" s="476"/>
      <c r="L721" s="476"/>
      <c r="M721" s="476"/>
      <c r="N721" s="476"/>
      <c r="O721" s="476"/>
      <c r="P721" s="476"/>
      <c r="Q721" s="476"/>
      <c r="R721" s="476"/>
      <c r="S721" s="476"/>
      <c r="T721" s="476"/>
      <c r="U721" s="476"/>
      <c r="V721" s="476"/>
      <c r="W721" s="476"/>
      <c r="X721" s="476"/>
      <c r="Y721" s="476"/>
      <c r="Z721" s="476"/>
      <c r="AA721" s="476"/>
      <c r="AB721" s="476"/>
      <c r="AC721" s="476"/>
      <c r="AD721" s="476"/>
      <c r="AE721" s="476"/>
      <c r="AF721" s="476"/>
      <c r="AG721" s="476"/>
      <c r="AH721" s="476"/>
      <c r="AI721" s="476"/>
      <c r="AJ721" s="476"/>
      <c r="AK721" s="476"/>
      <c r="AL721" s="476"/>
      <c r="AM721" s="476"/>
      <c r="AN721" s="476"/>
      <c r="AO721" s="476"/>
      <c r="AP721" s="476"/>
      <c r="AQ721" s="476"/>
      <c r="AR721" s="476"/>
      <c r="AS721" s="476"/>
      <c r="AT721" s="476"/>
    </row>
    <row r="722" spans="1:46" ht="12.75" customHeight="1">
      <c r="A722" s="476"/>
      <c r="B722" s="476"/>
      <c r="C722" s="476"/>
      <c r="D722" s="476"/>
      <c r="E722" s="476"/>
      <c r="F722" s="476"/>
      <c r="G722" s="476"/>
      <c r="H722" s="476"/>
      <c r="I722" s="476"/>
      <c r="J722" s="476"/>
      <c r="K722" s="476"/>
      <c r="L722" s="476"/>
      <c r="M722" s="476"/>
      <c r="N722" s="476"/>
      <c r="O722" s="476"/>
      <c r="P722" s="476"/>
      <c r="Q722" s="476"/>
      <c r="R722" s="476"/>
      <c r="S722" s="476"/>
      <c r="T722" s="476"/>
      <c r="U722" s="476"/>
      <c r="V722" s="476"/>
      <c r="W722" s="476"/>
      <c r="X722" s="476"/>
      <c r="Y722" s="476"/>
      <c r="Z722" s="476"/>
      <c r="AA722" s="476"/>
      <c r="AB722" s="476"/>
      <c r="AC722" s="476"/>
      <c r="AD722" s="476"/>
      <c r="AE722" s="476"/>
      <c r="AF722" s="476"/>
      <c r="AG722" s="476"/>
      <c r="AH722" s="476"/>
      <c r="AI722" s="476"/>
      <c r="AJ722" s="476"/>
      <c r="AK722" s="476"/>
      <c r="AL722" s="476"/>
      <c r="AM722" s="476"/>
      <c r="AN722" s="476"/>
      <c r="AO722" s="476"/>
      <c r="AP722" s="476"/>
      <c r="AQ722" s="476"/>
      <c r="AR722" s="476"/>
      <c r="AS722" s="476"/>
      <c r="AT722" s="476"/>
    </row>
    <row r="723" spans="1:46" ht="12.75" customHeight="1">
      <c r="A723" s="476"/>
      <c r="B723" s="476"/>
      <c r="C723" s="476"/>
      <c r="D723" s="476"/>
      <c r="E723" s="476"/>
      <c r="F723" s="476"/>
      <c r="G723" s="476"/>
      <c r="H723" s="476"/>
      <c r="I723" s="476"/>
      <c r="J723" s="476"/>
      <c r="K723" s="476"/>
      <c r="L723" s="476"/>
      <c r="M723" s="476"/>
      <c r="N723" s="476"/>
      <c r="O723" s="476"/>
      <c r="P723" s="476"/>
      <c r="Q723" s="476"/>
      <c r="R723" s="476"/>
      <c r="S723" s="476"/>
      <c r="T723" s="476"/>
      <c r="U723" s="476"/>
      <c r="V723" s="476"/>
      <c r="W723" s="476"/>
      <c r="X723" s="476"/>
      <c r="Y723" s="476"/>
      <c r="Z723" s="476"/>
      <c r="AA723" s="476"/>
      <c r="AB723" s="476"/>
      <c r="AC723" s="476"/>
      <c r="AD723" s="476"/>
      <c r="AE723" s="476"/>
      <c r="AF723" s="476"/>
      <c r="AG723" s="476"/>
      <c r="AH723" s="476"/>
      <c r="AI723" s="476"/>
      <c r="AJ723" s="476"/>
      <c r="AK723" s="476"/>
      <c r="AL723" s="476"/>
      <c r="AM723" s="476"/>
      <c r="AN723" s="476"/>
      <c r="AO723" s="476"/>
      <c r="AP723" s="476"/>
      <c r="AQ723" s="476"/>
      <c r="AR723" s="476"/>
      <c r="AS723" s="476"/>
      <c r="AT723" s="476"/>
    </row>
    <row r="724" spans="1:46" ht="12.75" customHeight="1">
      <c r="A724" s="476"/>
      <c r="B724" s="476"/>
      <c r="C724" s="476"/>
      <c r="D724" s="476"/>
      <c r="E724" s="476"/>
      <c r="F724" s="476"/>
      <c r="G724" s="476"/>
      <c r="H724" s="476"/>
      <c r="I724" s="476"/>
      <c r="J724" s="476"/>
      <c r="K724" s="476"/>
      <c r="L724" s="476"/>
      <c r="M724" s="476"/>
      <c r="N724" s="476"/>
      <c r="O724" s="476"/>
      <c r="P724" s="476"/>
      <c r="Q724" s="476"/>
      <c r="R724" s="476"/>
      <c r="S724" s="476"/>
      <c r="T724" s="476"/>
      <c r="U724" s="476"/>
      <c r="V724" s="476"/>
      <c r="W724" s="476"/>
      <c r="X724" s="476"/>
      <c r="Y724" s="476"/>
      <c r="Z724" s="476"/>
      <c r="AA724" s="476"/>
      <c r="AB724" s="476"/>
      <c r="AC724" s="476"/>
      <c r="AD724" s="476"/>
      <c r="AE724" s="476"/>
      <c r="AF724" s="476"/>
      <c r="AG724" s="476"/>
      <c r="AH724" s="476"/>
      <c r="AI724" s="476"/>
      <c r="AJ724" s="476"/>
      <c r="AK724" s="476"/>
      <c r="AL724" s="476"/>
      <c r="AM724" s="476"/>
      <c r="AN724" s="476"/>
      <c r="AO724" s="476"/>
      <c r="AP724" s="476"/>
      <c r="AQ724" s="476"/>
      <c r="AR724" s="476"/>
      <c r="AS724" s="476"/>
      <c r="AT724" s="476"/>
    </row>
    <row r="725" spans="1:46" ht="12.75" customHeight="1">
      <c r="A725" s="476"/>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6"/>
      <c r="AT725" s="476"/>
    </row>
    <row r="726" spans="1:46" ht="12.75" customHeight="1">
      <c r="A726" s="476"/>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6"/>
      <c r="AT726" s="476"/>
    </row>
    <row r="727" spans="1:46" ht="12.75" customHeight="1">
      <c r="A727" s="476"/>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6"/>
      <c r="AT727" s="476"/>
    </row>
    <row r="728" spans="1:46" ht="12.75" customHeight="1">
      <c r="A728" s="476"/>
      <c r="B728" s="476"/>
      <c r="C728" s="476"/>
      <c r="D728" s="476"/>
      <c r="E728" s="476"/>
      <c r="F728" s="476"/>
      <c r="G728" s="476"/>
      <c r="H728" s="476"/>
      <c r="I728" s="476"/>
      <c r="J728" s="476"/>
      <c r="K728" s="476"/>
      <c r="L728" s="476"/>
      <c r="M728" s="476"/>
      <c r="N728" s="476"/>
      <c r="O728" s="476"/>
      <c r="P728" s="476"/>
      <c r="Q728" s="476"/>
      <c r="R728" s="476"/>
      <c r="S728" s="476"/>
      <c r="T728" s="476"/>
      <c r="U728" s="476"/>
      <c r="V728" s="476"/>
      <c r="W728" s="476"/>
      <c r="X728" s="476"/>
      <c r="Y728" s="476"/>
      <c r="Z728" s="476"/>
      <c r="AA728" s="476"/>
      <c r="AB728" s="476"/>
      <c r="AC728" s="476"/>
      <c r="AD728" s="476"/>
      <c r="AE728" s="476"/>
      <c r="AF728" s="476"/>
      <c r="AG728" s="476"/>
      <c r="AH728" s="476"/>
      <c r="AI728" s="476"/>
      <c r="AJ728" s="476"/>
      <c r="AK728" s="476"/>
      <c r="AL728" s="476"/>
      <c r="AM728" s="476"/>
      <c r="AN728" s="476"/>
      <c r="AO728" s="476"/>
      <c r="AP728" s="476"/>
      <c r="AQ728" s="476"/>
      <c r="AR728" s="476"/>
      <c r="AS728" s="476"/>
      <c r="AT728" s="476"/>
    </row>
    <row r="729" spans="1:46" ht="12.75" customHeight="1">
      <c r="A729" s="476"/>
      <c r="B729" s="476"/>
      <c r="C729" s="476"/>
      <c r="D729" s="476"/>
      <c r="E729" s="476"/>
      <c r="F729" s="476"/>
      <c r="G729" s="476"/>
      <c r="H729" s="476"/>
      <c r="I729" s="476"/>
      <c r="J729" s="476"/>
      <c r="K729" s="476"/>
      <c r="L729" s="476"/>
      <c r="M729" s="476"/>
      <c r="N729" s="476"/>
      <c r="O729" s="476"/>
      <c r="P729" s="476"/>
      <c r="Q729" s="476"/>
      <c r="R729" s="476"/>
      <c r="S729" s="476"/>
      <c r="T729" s="476"/>
      <c r="U729" s="476"/>
      <c r="V729" s="476"/>
      <c r="W729" s="476"/>
      <c r="X729" s="476"/>
      <c r="Y729" s="476"/>
      <c r="Z729" s="476"/>
      <c r="AA729" s="476"/>
      <c r="AB729" s="476"/>
      <c r="AC729" s="476"/>
      <c r="AD729" s="476"/>
      <c r="AE729" s="476"/>
      <c r="AF729" s="476"/>
      <c r="AG729" s="476"/>
      <c r="AH729" s="476"/>
      <c r="AI729" s="476"/>
      <c r="AJ729" s="476"/>
      <c r="AK729" s="476"/>
      <c r="AL729" s="476"/>
      <c r="AM729" s="476"/>
      <c r="AN729" s="476"/>
      <c r="AO729" s="476"/>
      <c r="AP729" s="476"/>
      <c r="AQ729" s="476"/>
      <c r="AR729" s="476"/>
      <c r="AS729" s="476"/>
      <c r="AT729" s="476"/>
    </row>
    <row r="730" spans="1:46" ht="12.75" customHeight="1">
      <c r="A730" s="476"/>
      <c r="B730" s="476"/>
      <c r="C730" s="476"/>
      <c r="D730" s="476"/>
      <c r="E730" s="476"/>
      <c r="F730" s="476"/>
      <c r="G730" s="476"/>
      <c r="H730" s="476"/>
      <c r="I730" s="476"/>
      <c r="J730" s="476"/>
      <c r="K730" s="476"/>
      <c r="L730" s="476"/>
      <c r="M730" s="476"/>
      <c r="N730" s="476"/>
      <c r="O730" s="476"/>
      <c r="P730" s="476"/>
      <c r="Q730" s="476"/>
      <c r="R730" s="476"/>
      <c r="S730" s="476"/>
      <c r="T730" s="476"/>
      <c r="U730" s="476"/>
      <c r="V730" s="476"/>
      <c r="W730" s="476"/>
      <c r="X730" s="476"/>
      <c r="Y730" s="476"/>
      <c r="Z730" s="476"/>
      <c r="AA730" s="476"/>
      <c r="AB730" s="476"/>
      <c r="AC730" s="476"/>
      <c r="AD730" s="476"/>
      <c r="AE730" s="476"/>
      <c r="AF730" s="476"/>
      <c r="AG730" s="476"/>
      <c r="AH730" s="476"/>
      <c r="AI730" s="476"/>
      <c r="AJ730" s="476"/>
      <c r="AK730" s="476"/>
      <c r="AL730" s="476"/>
      <c r="AM730" s="476"/>
      <c r="AN730" s="476"/>
      <c r="AO730" s="476"/>
      <c r="AP730" s="476"/>
      <c r="AQ730" s="476"/>
      <c r="AR730" s="476"/>
      <c r="AS730" s="476"/>
      <c r="AT730" s="476"/>
    </row>
    <row r="731" spans="1:46" ht="12.75" customHeight="1">
      <c r="A731" s="476"/>
      <c r="B731" s="476"/>
      <c r="C731" s="476"/>
      <c r="D731" s="476"/>
      <c r="E731" s="476"/>
      <c r="F731" s="476"/>
      <c r="G731" s="476"/>
      <c r="H731" s="476"/>
      <c r="I731" s="476"/>
      <c r="J731" s="476"/>
      <c r="K731" s="476"/>
      <c r="L731" s="476"/>
      <c r="M731" s="476"/>
      <c r="N731" s="476"/>
      <c r="O731" s="476"/>
      <c r="P731" s="476"/>
      <c r="Q731" s="476"/>
      <c r="R731" s="476"/>
      <c r="S731" s="476"/>
      <c r="T731" s="476"/>
      <c r="U731" s="476"/>
      <c r="V731" s="476"/>
      <c r="W731" s="476"/>
      <c r="X731" s="476"/>
      <c r="Y731" s="476"/>
      <c r="Z731" s="476"/>
      <c r="AA731" s="476"/>
      <c r="AB731" s="476"/>
      <c r="AC731" s="476"/>
      <c r="AD731" s="476"/>
      <c r="AE731" s="476"/>
      <c r="AF731" s="476"/>
      <c r="AG731" s="476"/>
      <c r="AH731" s="476"/>
      <c r="AI731" s="476"/>
      <c r="AJ731" s="476"/>
      <c r="AK731" s="476"/>
      <c r="AL731" s="476"/>
      <c r="AM731" s="476"/>
      <c r="AN731" s="476"/>
      <c r="AO731" s="476"/>
      <c r="AP731" s="476"/>
      <c r="AQ731" s="476"/>
      <c r="AR731" s="476"/>
      <c r="AS731" s="476"/>
      <c r="AT731" s="476"/>
    </row>
    <row r="732" spans="1:46" ht="12.75" customHeight="1">
      <c r="A732" s="476"/>
      <c r="B732" s="476"/>
      <c r="C732" s="476"/>
      <c r="D732" s="476"/>
      <c r="E732" s="476"/>
      <c r="F732" s="476"/>
      <c r="G732" s="476"/>
      <c r="H732" s="476"/>
      <c r="I732" s="476"/>
      <c r="J732" s="476"/>
      <c r="K732" s="476"/>
      <c r="L732" s="476"/>
      <c r="M732" s="476"/>
      <c r="N732" s="476"/>
      <c r="O732" s="476"/>
      <c r="P732" s="476"/>
      <c r="Q732" s="476"/>
      <c r="R732" s="476"/>
      <c r="S732" s="476"/>
      <c r="T732" s="476"/>
      <c r="U732" s="476"/>
      <c r="V732" s="476"/>
      <c r="W732" s="476"/>
      <c r="X732" s="476"/>
      <c r="Y732" s="476"/>
      <c r="Z732" s="476"/>
      <c r="AA732" s="476"/>
      <c r="AB732" s="476"/>
      <c r="AC732" s="476"/>
      <c r="AD732" s="476"/>
      <c r="AE732" s="476"/>
      <c r="AF732" s="476"/>
      <c r="AG732" s="476"/>
      <c r="AH732" s="476"/>
      <c r="AI732" s="476"/>
      <c r="AJ732" s="476"/>
      <c r="AK732" s="476"/>
      <c r="AL732" s="476"/>
      <c r="AM732" s="476"/>
      <c r="AN732" s="476"/>
      <c r="AO732" s="476"/>
      <c r="AP732" s="476"/>
      <c r="AQ732" s="476"/>
      <c r="AR732" s="476"/>
      <c r="AS732" s="476"/>
      <c r="AT732" s="476"/>
    </row>
    <row r="733" spans="1:46" ht="12.75" customHeight="1">
      <c r="A733" s="476"/>
      <c r="B733" s="476"/>
      <c r="C733" s="476"/>
      <c r="D733" s="476"/>
      <c r="E733" s="476"/>
      <c r="F733" s="476"/>
      <c r="G733" s="476"/>
      <c r="H733" s="476"/>
      <c r="I733" s="476"/>
      <c r="J733" s="476"/>
      <c r="K733" s="476"/>
      <c r="L733" s="476"/>
      <c r="M733" s="476"/>
      <c r="N733" s="476"/>
      <c r="O733" s="476"/>
      <c r="P733" s="476"/>
      <c r="Q733" s="476"/>
      <c r="R733" s="476"/>
      <c r="S733" s="476"/>
      <c r="T733" s="476"/>
      <c r="U733" s="476"/>
      <c r="V733" s="476"/>
      <c r="W733" s="476"/>
      <c r="X733" s="476"/>
      <c r="Y733" s="476"/>
      <c r="Z733" s="476"/>
      <c r="AA733" s="476"/>
      <c r="AB733" s="476"/>
      <c r="AC733" s="476"/>
      <c r="AD733" s="476"/>
      <c r="AE733" s="476"/>
      <c r="AF733" s="476"/>
      <c r="AG733" s="476"/>
      <c r="AH733" s="476"/>
      <c r="AI733" s="476"/>
      <c r="AJ733" s="476"/>
      <c r="AK733" s="476"/>
      <c r="AL733" s="476"/>
      <c r="AM733" s="476"/>
      <c r="AN733" s="476"/>
      <c r="AO733" s="476"/>
      <c r="AP733" s="476"/>
      <c r="AQ733" s="476"/>
      <c r="AR733" s="476"/>
      <c r="AS733" s="476"/>
      <c r="AT733" s="476"/>
    </row>
    <row r="734" spans="1:46" ht="12.75" customHeight="1">
      <c r="A734" s="476"/>
      <c r="B734" s="476"/>
      <c r="C734" s="476"/>
      <c r="D734" s="476"/>
      <c r="E734" s="476"/>
      <c r="F734" s="476"/>
      <c r="G734" s="476"/>
      <c r="H734" s="476"/>
      <c r="I734" s="476"/>
      <c r="J734" s="476"/>
      <c r="K734" s="476"/>
      <c r="L734" s="476"/>
      <c r="M734" s="476"/>
      <c r="N734" s="476"/>
      <c r="O734" s="476"/>
      <c r="P734" s="476"/>
      <c r="Q734" s="476"/>
      <c r="R734" s="476"/>
      <c r="S734" s="476"/>
      <c r="T734" s="476"/>
      <c r="U734" s="476"/>
      <c r="V734" s="476"/>
      <c r="W734" s="476"/>
      <c r="X734" s="476"/>
      <c r="Y734" s="476"/>
      <c r="Z734" s="476"/>
      <c r="AA734" s="476"/>
      <c r="AB734" s="476"/>
      <c r="AC734" s="476"/>
      <c r="AD734" s="476"/>
      <c r="AE734" s="476"/>
      <c r="AF734" s="476"/>
      <c r="AG734" s="476"/>
      <c r="AH734" s="476"/>
      <c r="AI734" s="476"/>
      <c r="AJ734" s="476"/>
      <c r="AK734" s="476"/>
      <c r="AL734" s="476"/>
      <c r="AM734" s="476"/>
      <c r="AN734" s="476"/>
      <c r="AO734" s="476"/>
      <c r="AP734" s="476"/>
      <c r="AQ734" s="476"/>
      <c r="AR734" s="476"/>
      <c r="AS734" s="476"/>
      <c r="AT734" s="476"/>
    </row>
    <row r="735" spans="1:46" ht="12.75" customHeight="1">
      <c r="A735" s="476"/>
      <c r="B735" s="476"/>
      <c r="C735" s="476"/>
      <c r="D735" s="476"/>
      <c r="E735" s="476"/>
      <c r="F735" s="476"/>
      <c r="G735" s="476"/>
      <c r="H735" s="476"/>
      <c r="I735" s="476"/>
      <c r="J735" s="476"/>
      <c r="K735" s="476"/>
      <c r="L735" s="476"/>
      <c r="M735" s="476"/>
      <c r="N735" s="476"/>
      <c r="O735" s="476"/>
      <c r="P735" s="476"/>
      <c r="Q735" s="476"/>
      <c r="R735" s="476"/>
      <c r="S735" s="476"/>
      <c r="T735" s="476"/>
      <c r="U735" s="476"/>
      <c r="V735" s="476"/>
      <c r="W735" s="476"/>
      <c r="X735" s="476"/>
      <c r="Y735" s="476"/>
      <c r="Z735" s="476"/>
      <c r="AA735" s="476"/>
      <c r="AB735" s="476"/>
      <c r="AC735" s="476"/>
      <c r="AD735" s="476"/>
      <c r="AE735" s="476"/>
      <c r="AF735" s="476"/>
      <c r="AG735" s="476"/>
      <c r="AH735" s="476"/>
      <c r="AI735" s="476"/>
      <c r="AJ735" s="476"/>
      <c r="AK735" s="476"/>
      <c r="AL735" s="476"/>
      <c r="AM735" s="476"/>
      <c r="AN735" s="476"/>
      <c r="AO735" s="476"/>
      <c r="AP735" s="476"/>
      <c r="AQ735" s="476"/>
      <c r="AR735" s="476"/>
      <c r="AS735" s="476"/>
      <c r="AT735" s="476"/>
    </row>
    <row r="736" spans="1:46" ht="12.75" customHeight="1">
      <c r="A736" s="476"/>
      <c r="B736" s="476"/>
      <c r="C736" s="476"/>
      <c r="D736" s="476"/>
      <c r="E736" s="476"/>
      <c r="F736" s="476"/>
      <c r="G736" s="476"/>
      <c r="H736" s="476"/>
      <c r="I736" s="476"/>
      <c r="J736" s="476"/>
      <c r="K736" s="476"/>
      <c r="L736" s="476"/>
      <c r="M736" s="476"/>
      <c r="N736" s="476"/>
      <c r="O736" s="476"/>
      <c r="P736" s="476"/>
      <c r="Q736" s="476"/>
      <c r="R736" s="476"/>
      <c r="S736" s="476"/>
      <c r="T736" s="476"/>
      <c r="U736" s="476"/>
      <c r="V736" s="476"/>
      <c r="W736" s="476"/>
      <c r="X736" s="476"/>
      <c r="Y736" s="476"/>
      <c r="Z736" s="476"/>
      <c r="AA736" s="476"/>
      <c r="AB736" s="476"/>
      <c r="AC736" s="476"/>
      <c r="AD736" s="476"/>
      <c r="AE736" s="476"/>
      <c r="AF736" s="476"/>
      <c r="AG736" s="476"/>
      <c r="AH736" s="476"/>
      <c r="AI736" s="476"/>
      <c r="AJ736" s="476"/>
      <c r="AK736" s="476"/>
      <c r="AL736" s="476"/>
      <c r="AM736" s="476"/>
      <c r="AN736" s="476"/>
      <c r="AO736" s="476"/>
      <c r="AP736" s="476"/>
      <c r="AQ736" s="476"/>
      <c r="AR736" s="476"/>
      <c r="AS736" s="476"/>
      <c r="AT736" s="476"/>
    </row>
    <row r="737" spans="1:46" ht="12.75" customHeight="1">
      <c r="A737" s="476"/>
      <c r="B737" s="476"/>
      <c r="C737" s="476"/>
      <c r="D737" s="476"/>
      <c r="E737" s="476"/>
      <c r="F737" s="476"/>
      <c r="G737" s="476"/>
      <c r="H737" s="476"/>
      <c r="I737" s="476"/>
      <c r="J737" s="476"/>
      <c r="K737" s="476"/>
      <c r="L737" s="476"/>
      <c r="M737" s="476"/>
      <c r="N737" s="476"/>
      <c r="O737" s="476"/>
      <c r="P737" s="476"/>
      <c r="Q737" s="476"/>
      <c r="R737" s="476"/>
      <c r="S737" s="476"/>
      <c r="T737" s="476"/>
      <c r="U737" s="476"/>
      <c r="V737" s="476"/>
      <c r="W737" s="476"/>
      <c r="X737" s="476"/>
      <c r="Y737" s="476"/>
      <c r="Z737" s="476"/>
      <c r="AA737" s="476"/>
      <c r="AB737" s="476"/>
      <c r="AC737" s="476"/>
      <c r="AD737" s="476"/>
      <c r="AE737" s="476"/>
      <c r="AF737" s="476"/>
      <c r="AG737" s="476"/>
      <c r="AH737" s="476"/>
      <c r="AI737" s="476"/>
      <c r="AJ737" s="476"/>
      <c r="AK737" s="476"/>
      <c r="AL737" s="476"/>
      <c r="AM737" s="476"/>
      <c r="AN737" s="476"/>
      <c r="AO737" s="476"/>
      <c r="AP737" s="476"/>
      <c r="AQ737" s="476"/>
      <c r="AR737" s="476"/>
      <c r="AS737" s="476"/>
      <c r="AT737" s="476"/>
    </row>
    <row r="738" spans="1:46" ht="12.75" customHeight="1">
      <c r="A738" s="476"/>
      <c r="B738" s="476"/>
      <c r="C738" s="476"/>
      <c r="D738" s="476"/>
      <c r="E738" s="476"/>
      <c r="F738" s="476"/>
      <c r="G738" s="476"/>
      <c r="H738" s="476"/>
      <c r="I738" s="476"/>
      <c r="J738" s="476"/>
      <c r="K738" s="476"/>
      <c r="L738" s="476"/>
      <c r="M738" s="476"/>
      <c r="N738" s="476"/>
      <c r="O738" s="476"/>
      <c r="P738" s="476"/>
      <c r="Q738" s="476"/>
      <c r="R738" s="476"/>
      <c r="S738" s="476"/>
      <c r="T738" s="476"/>
      <c r="U738" s="476"/>
      <c r="V738" s="476"/>
      <c r="W738" s="476"/>
      <c r="X738" s="476"/>
      <c r="Y738" s="476"/>
      <c r="Z738" s="476"/>
      <c r="AA738" s="476"/>
      <c r="AB738" s="476"/>
      <c r="AC738" s="476"/>
      <c r="AD738" s="476"/>
      <c r="AE738" s="476"/>
      <c r="AF738" s="476"/>
      <c r="AG738" s="476"/>
      <c r="AH738" s="476"/>
      <c r="AI738" s="476"/>
      <c r="AJ738" s="476"/>
      <c r="AK738" s="476"/>
      <c r="AL738" s="476"/>
      <c r="AM738" s="476"/>
      <c r="AN738" s="476"/>
      <c r="AO738" s="476"/>
      <c r="AP738" s="476"/>
      <c r="AQ738" s="476"/>
      <c r="AR738" s="476"/>
      <c r="AS738" s="476"/>
      <c r="AT738" s="476"/>
    </row>
    <row r="739" spans="1:46" ht="12.75" customHeight="1">
      <c r="A739" s="476"/>
      <c r="B739" s="476"/>
      <c r="C739" s="476"/>
      <c r="D739" s="476"/>
      <c r="E739" s="476"/>
      <c r="F739" s="476"/>
      <c r="G739" s="476"/>
      <c r="H739" s="476"/>
      <c r="I739" s="476"/>
      <c r="J739" s="476"/>
      <c r="K739" s="476"/>
      <c r="L739" s="476"/>
      <c r="M739" s="476"/>
      <c r="N739" s="476"/>
      <c r="O739" s="476"/>
      <c r="P739" s="476"/>
      <c r="Q739" s="476"/>
      <c r="R739" s="476"/>
      <c r="S739" s="476"/>
      <c r="T739" s="476"/>
      <c r="U739" s="476"/>
      <c r="V739" s="476"/>
      <c r="W739" s="476"/>
      <c r="X739" s="476"/>
      <c r="Y739" s="476"/>
      <c r="Z739" s="476"/>
      <c r="AA739" s="476"/>
      <c r="AB739" s="476"/>
      <c r="AC739" s="476"/>
      <c r="AD739" s="476"/>
      <c r="AE739" s="476"/>
      <c r="AF739" s="476"/>
      <c r="AG739" s="476"/>
      <c r="AH739" s="476"/>
      <c r="AI739" s="476"/>
      <c r="AJ739" s="476"/>
      <c r="AK739" s="476"/>
      <c r="AL739" s="476"/>
      <c r="AM739" s="476"/>
      <c r="AN739" s="476"/>
      <c r="AO739" s="476"/>
      <c r="AP739" s="476"/>
      <c r="AQ739" s="476"/>
      <c r="AR739" s="476"/>
      <c r="AS739" s="476"/>
      <c r="AT739" s="476"/>
    </row>
    <row r="740" spans="1:46" ht="12.75" customHeight="1">
      <c r="A740" s="476"/>
      <c r="B740" s="476"/>
      <c r="C740" s="476"/>
      <c r="D740" s="476"/>
      <c r="E740" s="476"/>
      <c r="F740" s="476"/>
      <c r="G740" s="476"/>
      <c r="H740" s="476"/>
      <c r="I740" s="476"/>
      <c r="J740" s="476"/>
      <c r="K740" s="476"/>
      <c r="L740" s="476"/>
      <c r="M740" s="476"/>
      <c r="N740" s="476"/>
      <c r="O740" s="476"/>
      <c r="P740" s="476"/>
      <c r="Q740" s="476"/>
      <c r="R740" s="476"/>
      <c r="S740" s="476"/>
      <c r="T740" s="476"/>
      <c r="U740" s="476"/>
      <c r="V740" s="476"/>
      <c r="W740" s="476"/>
      <c r="X740" s="476"/>
      <c r="Y740" s="476"/>
      <c r="Z740" s="476"/>
      <c r="AA740" s="476"/>
      <c r="AB740" s="476"/>
      <c r="AC740" s="476"/>
      <c r="AD740" s="476"/>
      <c r="AE740" s="476"/>
      <c r="AF740" s="476"/>
      <c r="AG740" s="476"/>
      <c r="AH740" s="476"/>
      <c r="AI740" s="476"/>
      <c r="AJ740" s="476"/>
      <c r="AK740" s="476"/>
      <c r="AL740" s="476"/>
      <c r="AM740" s="476"/>
      <c r="AN740" s="476"/>
      <c r="AO740" s="476"/>
      <c r="AP740" s="476"/>
      <c r="AQ740" s="476"/>
      <c r="AR740" s="476"/>
      <c r="AS740" s="476"/>
      <c r="AT740" s="476"/>
    </row>
    <row r="741" spans="1:46" ht="12.75" customHeight="1">
      <c r="A741" s="476"/>
      <c r="B741" s="476"/>
      <c r="C741" s="476"/>
      <c r="D741" s="476"/>
      <c r="E741" s="476"/>
      <c r="F741" s="476"/>
      <c r="G741" s="476"/>
      <c r="H741" s="476"/>
      <c r="I741" s="476"/>
      <c r="J741" s="476"/>
      <c r="K741" s="476"/>
      <c r="L741" s="476"/>
      <c r="M741" s="476"/>
      <c r="N741" s="476"/>
      <c r="O741" s="476"/>
      <c r="P741" s="476"/>
      <c r="Q741" s="476"/>
      <c r="R741" s="476"/>
      <c r="S741" s="476"/>
      <c r="T741" s="476"/>
      <c r="U741" s="476"/>
      <c r="V741" s="476"/>
      <c r="W741" s="476"/>
      <c r="X741" s="476"/>
      <c r="Y741" s="476"/>
      <c r="Z741" s="476"/>
      <c r="AA741" s="476"/>
      <c r="AB741" s="476"/>
      <c r="AC741" s="476"/>
      <c r="AD741" s="476"/>
      <c r="AE741" s="476"/>
      <c r="AF741" s="476"/>
      <c r="AG741" s="476"/>
      <c r="AH741" s="476"/>
      <c r="AI741" s="476"/>
      <c r="AJ741" s="476"/>
      <c r="AK741" s="476"/>
      <c r="AL741" s="476"/>
      <c r="AM741" s="476"/>
      <c r="AN741" s="476"/>
      <c r="AO741" s="476"/>
      <c r="AP741" s="476"/>
      <c r="AQ741" s="476"/>
      <c r="AR741" s="476"/>
      <c r="AS741" s="476"/>
      <c r="AT741" s="476"/>
    </row>
    <row r="742" spans="1:46" ht="12.75" customHeight="1">
      <c r="A742" s="476"/>
      <c r="B742" s="476"/>
      <c r="C742" s="476"/>
      <c r="D742" s="476"/>
      <c r="E742" s="476"/>
      <c r="F742" s="476"/>
      <c r="G742" s="476"/>
      <c r="H742" s="476"/>
      <c r="I742" s="476"/>
      <c r="J742" s="476"/>
      <c r="K742" s="476"/>
      <c r="L742" s="476"/>
      <c r="M742" s="476"/>
      <c r="N742" s="476"/>
      <c r="O742" s="476"/>
      <c r="P742" s="476"/>
      <c r="Q742" s="476"/>
      <c r="R742" s="476"/>
      <c r="S742" s="476"/>
      <c r="T742" s="476"/>
      <c r="U742" s="476"/>
      <c r="V742" s="476"/>
      <c r="W742" s="476"/>
      <c r="X742" s="476"/>
      <c r="Y742" s="476"/>
      <c r="Z742" s="476"/>
      <c r="AA742" s="476"/>
      <c r="AB742" s="476"/>
      <c r="AC742" s="476"/>
      <c r="AD742" s="476"/>
      <c r="AE742" s="476"/>
      <c r="AF742" s="476"/>
      <c r="AG742" s="476"/>
      <c r="AH742" s="476"/>
      <c r="AI742" s="476"/>
      <c r="AJ742" s="476"/>
      <c r="AK742" s="476"/>
      <c r="AL742" s="476"/>
      <c r="AM742" s="476"/>
      <c r="AN742" s="476"/>
      <c r="AO742" s="476"/>
      <c r="AP742" s="476"/>
      <c r="AQ742" s="476"/>
      <c r="AR742" s="476"/>
      <c r="AS742" s="476"/>
      <c r="AT742" s="476"/>
    </row>
    <row r="743" spans="1:46" ht="12.75" customHeight="1">
      <c r="A743" s="476"/>
      <c r="B743" s="476"/>
      <c r="C743" s="476"/>
      <c r="D743" s="476"/>
      <c r="E743" s="476"/>
      <c r="F743" s="476"/>
      <c r="G743" s="476"/>
      <c r="H743" s="476"/>
      <c r="I743" s="476"/>
      <c r="J743" s="476"/>
      <c r="K743" s="476"/>
      <c r="L743" s="476"/>
      <c r="M743" s="476"/>
      <c r="N743" s="476"/>
      <c r="O743" s="476"/>
      <c r="P743" s="476"/>
      <c r="Q743" s="476"/>
      <c r="R743" s="476"/>
      <c r="S743" s="476"/>
      <c r="T743" s="476"/>
      <c r="U743" s="476"/>
      <c r="V743" s="476"/>
      <c r="W743" s="476"/>
      <c r="X743" s="476"/>
      <c r="Y743" s="476"/>
      <c r="Z743" s="476"/>
      <c r="AA743" s="476"/>
      <c r="AB743" s="476"/>
      <c r="AC743" s="476"/>
      <c r="AD743" s="476"/>
      <c r="AE743" s="476"/>
      <c r="AF743" s="476"/>
      <c r="AG743" s="476"/>
      <c r="AH743" s="476"/>
      <c r="AI743" s="476"/>
      <c r="AJ743" s="476"/>
      <c r="AK743" s="476"/>
      <c r="AL743" s="476"/>
      <c r="AM743" s="476"/>
      <c r="AN743" s="476"/>
      <c r="AO743" s="476"/>
      <c r="AP743" s="476"/>
      <c r="AQ743" s="476"/>
      <c r="AR743" s="476"/>
      <c r="AS743" s="476"/>
      <c r="AT743" s="476"/>
    </row>
    <row r="744" spans="1:46" ht="12.75" customHeight="1">
      <c r="A744" s="476"/>
      <c r="B744" s="476"/>
      <c r="C744" s="476"/>
      <c r="D744" s="476"/>
      <c r="E744" s="476"/>
      <c r="F744" s="476"/>
      <c r="G744" s="476"/>
      <c r="H744" s="476"/>
      <c r="I744" s="476"/>
      <c r="J744" s="476"/>
      <c r="K744" s="476"/>
      <c r="L744" s="476"/>
      <c r="M744" s="476"/>
      <c r="N744" s="476"/>
      <c r="O744" s="476"/>
      <c r="P744" s="476"/>
      <c r="Q744" s="476"/>
      <c r="R744" s="476"/>
      <c r="S744" s="476"/>
      <c r="T744" s="476"/>
      <c r="U744" s="476"/>
      <c r="V744" s="476"/>
      <c r="W744" s="476"/>
      <c r="X744" s="476"/>
      <c r="Y744" s="476"/>
      <c r="Z744" s="476"/>
      <c r="AA744" s="476"/>
      <c r="AB744" s="476"/>
      <c r="AC744" s="476"/>
      <c r="AD744" s="476"/>
      <c r="AE744" s="476"/>
      <c r="AF744" s="476"/>
      <c r="AG744" s="476"/>
      <c r="AH744" s="476"/>
      <c r="AI744" s="476"/>
      <c r="AJ744" s="476"/>
      <c r="AK744" s="476"/>
      <c r="AL744" s="476"/>
      <c r="AM744" s="476"/>
      <c r="AN744" s="476"/>
      <c r="AO744" s="476"/>
      <c r="AP744" s="476"/>
      <c r="AQ744" s="476"/>
      <c r="AR744" s="476"/>
      <c r="AS744" s="476"/>
      <c r="AT744" s="476"/>
    </row>
    <row r="745" spans="1:46" ht="12.75" customHeight="1">
      <c r="A745" s="476"/>
      <c r="B745" s="476"/>
      <c r="C745" s="476"/>
      <c r="D745" s="476"/>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76"/>
      <c r="AJ745" s="476"/>
      <c r="AK745" s="476"/>
      <c r="AL745" s="476"/>
      <c r="AM745" s="476"/>
      <c r="AN745" s="476"/>
      <c r="AO745" s="476"/>
      <c r="AP745" s="476"/>
      <c r="AQ745" s="476"/>
      <c r="AR745" s="476"/>
      <c r="AS745" s="476"/>
      <c r="AT745" s="476"/>
    </row>
    <row r="746" spans="1:46" ht="12.75" customHeight="1">
      <c r="A746" s="476"/>
      <c r="B746" s="476"/>
      <c r="C746" s="476"/>
      <c r="D746" s="476"/>
      <c r="E746" s="476"/>
      <c r="F746" s="476"/>
      <c r="G746" s="476"/>
      <c r="H746" s="476"/>
      <c r="I746" s="476"/>
      <c r="J746" s="476"/>
      <c r="K746" s="476"/>
      <c r="L746" s="476"/>
      <c r="M746" s="476"/>
      <c r="N746" s="476"/>
      <c r="O746" s="476"/>
      <c r="P746" s="476"/>
      <c r="Q746" s="476"/>
      <c r="R746" s="476"/>
      <c r="S746" s="476"/>
      <c r="T746" s="476"/>
      <c r="U746" s="476"/>
      <c r="V746" s="476"/>
      <c r="W746" s="476"/>
      <c r="X746" s="476"/>
      <c r="Y746" s="476"/>
      <c r="Z746" s="476"/>
      <c r="AA746" s="476"/>
      <c r="AB746" s="476"/>
      <c r="AC746" s="476"/>
      <c r="AD746" s="476"/>
      <c r="AE746" s="476"/>
      <c r="AF746" s="476"/>
      <c r="AG746" s="476"/>
      <c r="AH746" s="476"/>
      <c r="AI746" s="476"/>
      <c r="AJ746" s="476"/>
      <c r="AK746" s="476"/>
      <c r="AL746" s="476"/>
      <c r="AM746" s="476"/>
      <c r="AN746" s="476"/>
      <c r="AO746" s="476"/>
      <c r="AP746" s="476"/>
      <c r="AQ746" s="476"/>
      <c r="AR746" s="476"/>
      <c r="AS746" s="476"/>
      <c r="AT746" s="476"/>
    </row>
    <row r="747" spans="1:46" ht="12.75" customHeight="1">
      <c r="A747" s="476"/>
      <c r="B747" s="476"/>
      <c r="C747" s="476"/>
      <c r="D747" s="476"/>
      <c r="E747" s="476"/>
      <c r="F747" s="476"/>
      <c r="G747" s="476"/>
      <c r="H747" s="476"/>
      <c r="I747" s="476"/>
      <c r="J747" s="476"/>
      <c r="K747" s="476"/>
      <c r="L747" s="476"/>
      <c r="M747" s="476"/>
      <c r="N747" s="476"/>
      <c r="O747" s="476"/>
      <c r="P747" s="476"/>
      <c r="Q747" s="476"/>
      <c r="R747" s="476"/>
      <c r="S747" s="476"/>
      <c r="T747" s="476"/>
      <c r="U747" s="476"/>
      <c r="V747" s="476"/>
      <c r="W747" s="476"/>
      <c r="X747" s="476"/>
      <c r="Y747" s="476"/>
      <c r="Z747" s="476"/>
      <c r="AA747" s="476"/>
      <c r="AB747" s="476"/>
      <c r="AC747" s="476"/>
      <c r="AD747" s="476"/>
      <c r="AE747" s="476"/>
      <c r="AF747" s="476"/>
      <c r="AG747" s="476"/>
      <c r="AH747" s="476"/>
      <c r="AI747" s="476"/>
      <c r="AJ747" s="476"/>
      <c r="AK747" s="476"/>
      <c r="AL747" s="476"/>
      <c r="AM747" s="476"/>
      <c r="AN747" s="476"/>
      <c r="AO747" s="476"/>
      <c r="AP747" s="476"/>
      <c r="AQ747" s="476"/>
      <c r="AR747" s="476"/>
      <c r="AS747" s="476"/>
      <c r="AT747" s="476"/>
    </row>
    <row r="748" spans="1:46" ht="12.75" customHeight="1">
      <c r="A748" s="476"/>
      <c r="B748" s="476"/>
      <c r="C748" s="476"/>
      <c r="D748" s="476"/>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76"/>
      <c r="AD748" s="476"/>
      <c r="AE748" s="476"/>
      <c r="AF748" s="476"/>
      <c r="AG748" s="476"/>
      <c r="AH748" s="476"/>
      <c r="AI748" s="476"/>
      <c r="AJ748" s="476"/>
      <c r="AK748" s="476"/>
      <c r="AL748" s="476"/>
      <c r="AM748" s="476"/>
      <c r="AN748" s="476"/>
      <c r="AO748" s="476"/>
      <c r="AP748" s="476"/>
      <c r="AQ748" s="476"/>
      <c r="AR748" s="476"/>
      <c r="AS748" s="476"/>
      <c r="AT748" s="476"/>
    </row>
    <row r="749" spans="1:46" ht="12.75" customHeight="1">
      <c r="A749" s="476"/>
      <c r="B749" s="476"/>
      <c r="C749" s="476"/>
      <c r="D749" s="476"/>
      <c r="E749" s="476"/>
      <c r="F749" s="476"/>
      <c r="G749" s="476"/>
      <c r="H749" s="476"/>
      <c r="I749" s="476"/>
      <c r="J749" s="476"/>
      <c r="K749" s="476"/>
      <c r="L749" s="476"/>
      <c r="M749" s="476"/>
      <c r="N749" s="476"/>
      <c r="O749" s="476"/>
      <c r="P749" s="476"/>
      <c r="Q749" s="476"/>
      <c r="R749" s="476"/>
      <c r="S749" s="476"/>
      <c r="T749" s="476"/>
      <c r="U749" s="476"/>
      <c r="V749" s="476"/>
      <c r="W749" s="476"/>
      <c r="X749" s="476"/>
      <c r="Y749" s="476"/>
      <c r="Z749" s="476"/>
      <c r="AA749" s="476"/>
      <c r="AB749" s="476"/>
      <c r="AC749" s="476"/>
      <c r="AD749" s="476"/>
      <c r="AE749" s="476"/>
      <c r="AF749" s="476"/>
      <c r="AG749" s="476"/>
      <c r="AH749" s="476"/>
      <c r="AI749" s="476"/>
      <c r="AJ749" s="476"/>
      <c r="AK749" s="476"/>
      <c r="AL749" s="476"/>
      <c r="AM749" s="476"/>
      <c r="AN749" s="476"/>
      <c r="AO749" s="476"/>
      <c r="AP749" s="476"/>
      <c r="AQ749" s="476"/>
      <c r="AR749" s="476"/>
      <c r="AS749" s="476"/>
      <c r="AT749" s="476"/>
    </row>
    <row r="750" spans="1:46" ht="12.75" customHeight="1">
      <c r="A750" s="476"/>
      <c r="B750" s="476"/>
      <c r="C750" s="476"/>
      <c r="D750" s="476"/>
      <c r="E750" s="476"/>
      <c r="F750" s="476"/>
      <c r="G750" s="476"/>
      <c r="H750" s="476"/>
      <c r="I750" s="476"/>
      <c r="J750" s="476"/>
      <c r="K750" s="476"/>
      <c r="L750" s="476"/>
      <c r="M750" s="476"/>
      <c r="N750" s="476"/>
      <c r="O750" s="476"/>
      <c r="P750" s="476"/>
      <c r="Q750" s="476"/>
      <c r="R750" s="476"/>
      <c r="S750" s="476"/>
      <c r="T750" s="476"/>
      <c r="U750" s="476"/>
      <c r="V750" s="476"/>
      <c r="W750" s="476"/>
      <c r="X750" s="476"/>
      <c r="Y750" s="476"/>
      <c r="Z750" s="476"/>
      <c r="AA750" s="476"/>
      <c r="AB750" s="476"/>
      <c r="AC750" s="476"/>
      <c r="AD750" s="476"/>
      <c r="AE750" s="476"/>
      <c r="AF750" s="476"/>
      <c r="AG750" s="476"/>
      <c r="AH750" s="476"/>
      <c r="AI750" s="476"/>
      <c r="AJ750" s="476"/>
      <c r="AK750" s="476"/>
      <c r="AL750" s="476"/>
      <c r="AM750" s="476"/>
      <c r="AN750" s="476"/>
      <c r="AO750" s="476"/>
      <c r="AP750" s="476"/>
      <c r="AQ750" s="476"/>
      <c r="AR750" s="476"/>
      <c r="AS750" s="476"/>
      <c r="AT750" s="476"/>
    </row>
    <row r="751" spans="1:46" ht="12.75" customHeight="1">
      <c r="A751" s="476"/>
      <c r="B751" s="476"/>
      <c r="C751" s="476"/>
      <c r="D751" s="476"/>
      <c r="E751" s="476"/>
      <c r="F751" s="476"/>
      <c r="G751" s="476"/>
      <c r="H751" s="476"/>
      <c r="I751" s="476"/>
      <c r="J751" s="476"/>
      <c r="K751" s="476"/>
      <c r="L751" s="476"/>
      <c r="M751" s="476"/>
      <c r="N751" s="476"/>
      <c r="O751" s="476"/>
      <c r="P751" s="476"/>
      <c r="Q751" s="476"/>
      <c r="R751" s="476"/>
      <c r="S751" s="476"/>
      <c r="T751" s="476"/>
      <c r="U751" s="476"/>
      <c r="V751" s="476"/>
      <c r="W751" s="476"/>
      <c r="X751" s="476"/>
      <c r="Y751" s="476"/>
      <c r="Z751" s="476"/>
      <c r="AA751" s="476"/>
      <c r="AB751" s="476"/>
      <c r="AC751" s="476"/>
      <c r="AD751" s="476"/>
      <c r="AE751" s="476"/>
      <c r="AF751" s="476"/>
      <c r="AG751" s="476"/>
      <c r="AH751" s="476"/>
      <c r="AI751" s="476"/>
      <c r="AJ751" s="476"/>
      <c r="AK751" s="476"/>
      <c r="AL751" s="476"/>
      <c r="AM751" s="476"/>
      <c r="AN751" s="476"/>
      <c r="AO751" s="476"/>
      <c r="AP751" s="476"/>
      <c r="AQ751" s="476"/>
      <c r="AR751" s="476"/>
      <c r="AS751" s="476"/>
      <c r="AT751" s="476"/>
    </row>
    <row r="752" spans="1:46" ht="12.75" customHeight="1">
      <c r="A752" s="476"/>
      <c r="B752" s="476"/>
      <c r="C752" s="476"/>
      <c r="D752" s="476"/>
      <c r="E752" s="476"/>
      <c r="F752" s="476"/>
      <c r="G752" s="476"/>
      <c r="H752" s="476"/>
      <c r="I752" s="476"/>
      <c r="J752" s="476"/>
      <c r="K752" s="476"/>
      <c r="L752" s="476"/>
      <c r="M752" s="476"/>
      <c r="N752" s="476"/>
      <c r="O752" s="476"/>
      <c r="P752" s="476"/>
      <c r="Q752" s="476"/>
      <c r="R752" s="476"/>
      <c r="S752" s="476"/>
      <c r="T752" s="476"/>
      <c r="U752" s="476"/>
      <c r="V752" s="476"/>
      <c r="W752" s="476"/>
      <c r="X752" s="476"/>
      <c r="Y752" s="476"/>
      <c r="Z752" s="476"/>
      <c r="AA752" s="476"/>
      <c r="AB752" s="476"/>
      <c r="AC752" s="476"/>
      <c r="AD752" s="476"/>
      <c r="AE752" s="476"/>
      <c r="AF752" s="476"/>
      <c r="AG752" s="476"/>
      <c r="AH752" s="476"/>
      <c r="AI752" s="476"/>
      <c r="AJ752" s="476"/>
      <c r="AK752" s="476"/>
      <c r="AL752" s="476"/>
      <c r="AM752" s="476"/>
      <c r="AN752" s="476"/>
      <c r="AO752" s="476"/>
      <c r="AP752" s="476"/>
      <c r="AQ752" s="476"/>
      <c r="AR752" s="476"/>
      <c r="AS752" s="476"/>
      <c r="AT752" s="476"/>
    </row>
    <row r="753" spans="1:46" ht="12.75" customHeight="1">
      <c r="A753" s="476"/>
      <c r="B753" s="476"/>
      <c r="C753" s="476"/>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76"/>
      <c r="AJ753" s="476"/>
      <c r="AK753" s="476"/>
      <c r="AL753" s="476"/>
      <c r="AM753" s="476"/>
      <c r="AN753" s="476"/>
      <c r="AO753" s="476"/>
      <c r="AP753" s="476"/>
      <c r="AQ753" s="476"/>
      <c r="AR753" s="476"/>
      <c r="AS753" s="476"/>
      <c r="AT753" s="476"/>
    </row>
    <row r="754" spans="1:46" ht="12.75" customHeight="1">
      <c r="A754" s="476"/>
      <c r="B754" s="476"/>
      <c r="C754" s="476"/>
      <c r="D754" s="476"/>
      <c r="E754" s="476"/>
      <c r="F754" s="476"/>
      <c r="G754" s="476"/>
      <c r="H754" s="476"/>
      <c r="I754" s="476"/>
      <c r="J754" s="476"/>
      <c r="K754" s="476"/>
      <c r="L754" s="476"/>
      <c r="M754" s="476"/>
      <c r="N754" s="476"/>
      <c r="O754" s="476"/>
      <c r="P754" s="476"/>
      <c r="Q754" s="476"/>
      <c r="R754" s="476"/>
      <c r="S754" s="476"/>
      <c r="T754" s="476"/>
      <c r="U754" s="476"/>
      <c r="V754" s="476"/>
      <c r="W754" s="476"/>
      <c r="X754" s="476"/>
      <c r="Y754" s="476"/>
      <c r="Z754" s="476"/>
      <c r="AA754" s="476"/>
      <c r="AB754" s="476"/>
      <c r="AC754" s="476"/>
      <c r="AD754" s="476"/>
      <c r="AE754" s="476"/>
      <c r="AF754" s="476"/>
      <c r="AG754" s="476"/>
      <c r="AH754" s="476"/>
      <c r="AI754" s="476"/>
      <c r="AJ754" s="476"/>
      <c r="AK754" s="476"/>
      <c r="AL754" s="476"/>
      <c r="AM754" s="476"/>
      <c r="AN754" s="476"/>
      <c r="AO754" s="476"/>
      <c r="AP754" s="476"/>
      <c r="AQ754" s="476"/>
      <c r="AR754" s="476"/>
      <c r="AS754" s="476"/>
      <c r="AT754" s="476"/>
    </row>
    <row r="755" spans="1:46" ht="12.75" customHeight="1">
      <c r="A755" s="476"/>
      <c r="B755" s="476"/>
      <c r="C755" s="476"/>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76"/>
      <c r="AI755" s="476"/>
      <c r="AJ755" s="476"/>
      <c r="AK755" s="476"/>
      <c r="AL755" s="476"/>
      <c r="AM755" s="476"/>
      <c r="AN755" s="476"/>
      <c r="AO755" s="476"/>
      <c r="AP755" s="476"/>
      <c r="AQ755" s="476"/>
      <c r="AR755" s="476"/>
      <c r="AS755" s="476"/>
      <c r="AT755" s="476"/>
    </row>
    <row r="756" spans="1:46" ht="12.75" customHeight="1">
      <c r="A756" s="476"/>
      <c r="B756" s="476"/>
      <c r="C756" s="476"/>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76"/>
      <c r="AI756" s="476"/>
      <c r="AJ756" s="476"/>
      <c r="AK756" s="476"/>
      <c r="AL756" s="476"/>
      <c r="AM756" s="476"/>
      <c r="AN756" s="476"/>
      <c r="AO756" s="476"/>
      <c r="AP756" s="476"/>
      <c r="AQ756" s="476"/>
      <c r="AR756" s="476"/>
      <c r="AS756" s="476"/>
      <c r="AT756" s="476"/>
    </row>
    <row r="757" spans="1:46" ht="12.75" customHeight="1">
      <c r="A757" s="476"/>
      <c r="B757" s="476"/>
      <c r="C757" s="476"/>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76"/>
      <c r="AI757" s="476"/>
      <c r="AJ757" s="476"/>
      <c r="AK757" s="476"/>
      <c r="AL757" s="476"/>
      <c r="AM757" s="476"/>
      <c r="AN757" s="476"/>
      <c r="AO757" s="476"/>
      <c r="AP757" s="476"/>
      <c r="AQ757" s="476"/>
      <c r="AR757" s="476"/>
      <c r="AS757" s="476"/>
      <c r="AT757" s="476"/>
    </row>
    <row r="758" spans="1:46" ht="12.75" customHeight="1">
      <c r="A758" s="476"/>
      <c r="B758" s="476"/>
      <c r="C758" s="476"/>
      <c r="D758" s="476"/>
      <c r="E758" s="476"/>
      <c r="F758" s="476"/>
      <c r="G758" s="476"/>
      <c r="H758" s="476"/>
      <c r="I758" s="476"/>
      <c r="J758" s="476"/>
      <c r="K758" s="476"/>
      <c r="L758" s="476"/>
      <c r="M758" s="476"/>
      <c r="N758" s="476"/>
      <c r="O758" s="476"/>
      <c r="P758" s="476"/>
      <c r="Q758" s="476"/>
      <c r="R758" s="476"/>
      <c r="S758" s="476"/>
      <c r="T758" s="476"/>
      <c r="U758" s="476"/>
      <c r="V758" s="476"/>
      <c r="W758" s="476"/>
      <c r="X758" s="476"/>
      <c r="Y758" s="476"/>
      <c r="Z758" s="476"/>
      <c r="AA758" s="476"/>
      <c r="AB758" s="476"/>
      <c r="AC758" s="476"/>
      <c r="AD758" s="476"/>
      <c r="AE758" s="476"/>
      <c r="AF758" s="476"/>
      <c r="AG758" s="476"/>
      <c r="AH758" s="476"/>
      <c r="AI758" s="476"/>
      <c r="AJ758" s="476"/>
      <c r="AK758" s="476"/>
      <c r="AL758" s="476"/>
      <c r="AM758" s="476"/>
      <c r="AN758" s="476"/>
      <c r="AO758" s="476"/>
      <c r="AP758" s="476"/>
      <c r="AQ758" s="476"/>
      <c r="AR758" s="476"/>
      <c r="AS758" s="476"/>
      <c r="AT758" s="476"/>
    </row>
    <row r="759" spans="1:46" ht="12.75" customHeight="1">
      <c r="A759" s="476"/>
      <c r="B759" s="476"/>
      <c r="C759" s="476"/>
      <c r="D759" s="476"/>
      <c r="E759" s="476"/>
      <c r="F759" s="476"/>
      <c r="G759" s="476"/>
      <c r="H759" s="476"/>
      <c r="I759" s="476"/>
      <c r="J759" s="476"/>
      <c r="K759" s="476"/>
      <c r="L759" s="476"/>
      <c r="M759" s="476"/>
      <c r="N759" s="476"/>
      <c r="O759" s="476"/>
      <c r="P759" s="476"/>
      <c r="Q759" s="476"/>
      <c r="R759" s="476"/>
      <c r="S759" s="476"/>
      <c r="T759" s="476"/>
      <c r="U759" s="476"/>
      <c r="V759" s="476"/>
      <c r="W759" s="476"/>
      <c r="X759" s="476"/>
      <c r="Y759" s="476"/>
      <c r="Z759" s="476"/>
      <c r="AA759" s="476"/>
      <c r="AB759" s="476"/>
      <c r="AC759" s="476"/>
      <c r="AD759" s="476"/>
      <c r="AE759" s="476"/>
      <c r="AF759" s="476"/>
      <c r="AG759" s="476"/>
      <c r="AH759" s="476"/>
      <c r="AI759" s="476"/>
      <c r="AJ759" s="476"/>
      <c r="AK759" s="476"/>
      <c r="AL759" s="476"/>
      <c r="AM759" s="476"/>
      <c r="AN759" s="476"/>
      <c r="AO759" s="476"/>
      <c r="AP759" s="476"/>
      <c r="AQ759" s="476"/>
      <c r="AR759" s="476"/>
      <c r="AS759" s="476"/>
      <c r="AT759" s="476"/>
    </row>
    <row r="760" spans="1:46" ht="12.75" customHeight="1">
      <c r="A760" s="476"/>
      <c r="B760" s="476"/>
      <c r="C760" s="476"/>
      <c r="D760" s="476"/>
      <c r="E760" s="476"/>
      <c r="F760" s="476"/>
      <c r="G760" s="476"/>
      <c r="H760" s="476"/>
      <c r="I760" s="476"/>
      <c r="J760" s="476"/>
      <c r="K760" s="476"/>
      <c r="L760" s="476"/>
      <c r="M760" s="476"/>
      <c r="N760" s="476"/>
      <c r="O760" s="476"/>
      <c r="P760" s="476"/>
      <c r="Q760" s="476"/>
      <c r="R760" s="476"/>
      <c r="S760" s="476"/>
      <c r="T760" s="476"/>
      <c r="U760" s="476"/>
      <c r="V760" s="476"/>
      <c r="W760" s="476"/>
      <c r="X760" s="476"/>
      <c r="Y760" s="476"/>
      <c r="Z760" s="476"/>
      <c r="AA760" s="476"/>
      <c r="AB760" s="476"/>
      <c r="AC760" s="476"/>
      <c r="AD760" s="476"/>
      <c r="AE760" s="476"/>
      <c r="AF760" s="476"/>
      <c r="AG760" s="476"/>
      <c r="AH760" s="476"/>
      <c r="AI760" s="476"/>
      <c r="AJ760" s="476"/>
      <c r="AK760" s="476"/>
      <c r="AL760" s="476"/>
      <c r="AM760" s="476"/>
      <c r="AN760" s="476"/>
      <c r="AO760" s="476"/>
      <c r="AP760" s="476"/>
      <c r="AQ760" s="476"/>
      <c r="AR760" s="476"/>
      <c r="AS760" s="476"/>
      <c r="AT760" s="476"/>
    </row>
    <row r="761" spans="1:46" ht="12.75" customHeight="1">
      <c r="A761" s="476"/>
      <c r="B761" s="476"/>
      <c r="C761" s="476"/>
      <c r="D761" s="476"/>
      <c r="E761" s="476"/>
      <c r="F761" s="476"/>
      <c r="G761" s="476"/>
      <c r="H761" s="476"/>
      <c r="I761" s="476"/>
      <c r="J761" s="476"/>
      <c r="K761" s="476"/>
      <c r="L761" s="476"/>
      <c r="M761" s="476"/>
      <c r="N761" s="476"/>
      <c r="O761" s="476"/>
      <c r="P761" s="476"/>
      <c r="Q761" s="476"/>
      <c r="R761" s="476"/>
      <c r="S761" s="476"/>
      <c r="T761" s="476"/>
      <c r="U761" s="476"/>
      <c r="V761" s="476"/>
      <c r="W761" s="476"/>
      <c r="X761" s="476"/>
      <c r="Y761" s="476"/>
      <c r="Z761" s="476"/>
      <c r="AA761" s="476"/>
      <c r="AB761" s="476"/>
      <c r="AC761" s="476"/>
      <c r="AD761" s="476"/>
      <c r="AE761" s="476"/>
      <c r="AF761" s="476"/>
      <c r="AG761" s="476"/>
      <c r="AH761" s="476"/>
      <c r="AI761" s="476"/>
      <c r="AJ761" s="476"/>
      <c r="AK761" s="476"/>
      <c r="AL761" s="476"/>
      <c r="AM761" s="476"/>
      <c r="AN761" s="476"/>
      <c r="AO761" s="476"/>
      <c r="AP761" s="476"/>
      <c r="AQ761" s="476"/>
      <c r="AR761" s="476"/>
      <c r="AS761" s="476"/>
      <c r="AT761" s="476"/>
    </row>
    <row r="762" spans="1:46" ht="12.75" customHeight="1">
      <c r="A762" s="476"/>
      <c r="B762" s="476"/>
      <c r="C762" s="476"/>
      <c r="D762" s="476"/>
      <c r="E762" s="476"/>
      <c r="F762" s="476"/>
      <c r="G762" s="476"/>
      <c r="H762" s="476"/>
      <c r="I762" s="476"/>
      <c r="J762" s="476"/>
      <c r="K762" s="476"/>
      <c r="L762" s="476"/>
      <c r="M762" s="476"/>
      <c r="N762" s="476"/>
      <c r="O762" s="476"/>
      <c r="P762" s="476"/>
      <c r="Q762" s="476"/>
      <c r="R762" s="476"/>
      <c r="S762" s="476"/>
      <c r="T762" s="476"/>
      <c r="U762" s="476"/>
      <c r="V762" s="476"/>
      <c r="W762" s="476"/>
      <c r="X762" s="476"/>
      <c r="Y762" s="476"/>
      <c r="Z762" s="476"/>
      <c r="AA762" s="476"/>
      <c r="AB762" s="476"/>
      <c r="AC762" s="476"/>
      <c r="AD762" s="476"/>
      <c r="AE762" s="476"/>
      <c r="AF762" s="476"/>
      <c r="AG762" s="476"/>
      <c r="AH762" s="476"/>
      <c r="AI762" s="476"/>
      <c r="AJ762" s="476"/>
      <c r="AK762" s="476"/>
      <c r="AL762" s="476"/>
      <c r="AM762" s="476"/>
      <c r="AN762" s="476"/>
      <c r="AO762" s="476"/>
      <c r="AP762" s="476"/>
      <c r="AQ762" s="476"/>
      <c r="AR762" s="476"/>
      <c r="AS762" s="476"/>
      <c r="AT762" s="476"/>
    </row>
    <row r="763" spans="1:46" ht="12.75" customHeight="1">
      <c r="A763" s="476"/>
      <c r="B763" s="476"/>
      <c r="C763" s="476"/>
      <c r="D763" s="476"/>
      <c r="E763" s="476"/>
      <c r="F763" s="476"/>
      <c r="G763" s="476"/>
      <c r="H763" s="476"/>
      <c r="I763" s="476"/>
      <c r="J763" s="476"/>
      <c r="K763" s="476"/>
      <c r="L763" s="476"/>
      <c r="M763" s="476"/>
      <c r="N763" s="476"/>
      <c r="O763" s="476"/>
      <c r="P763" s="476"/>
      <c r="Q763" s="476"/>
      <c r="R763" s="476"/>
      <c r="S763" s="476"/>
      <c r="T763" s="476"/>
      <c r="U763" s="476"/>
      <c r="V763" s="476"/>
      <c r="W763" s="476"/>
      <c r="X763" s="476"/>
      <c r="Y763" s="476"/>
      <c r="Z763" s="476"/>
      <c r="AA763" s="476"/>
      <c r="AB763" s="476"/>
      <c r="AC763" s="476"/>
      <c r="AD763" s="476"/>
      <c r="AE763" s="476"/>
      <c r="AF763" s="476"/>
      <c r="AG763" s="476"/>
      <c r="AH763" s="476"/>
      <c r="AI763" s="476"/>
      <c r="AJ763" s="476"/>
      <c r="AK763" s="476"/>
      <c r="AL763" s="476"/>
      <c r="AM763" s="476"/>
      <c r="AN763" s="476"/>
      <c r="AO763" s="476"/>
      <c r="AP763" s="476"/>
      <c r="AQ763" s="476"/>
      <c r="AR763" s="476"/>
      <c r="AS763" s="476"/>
      <c r="AT763" s="476"/>
    </row>
    <row r="764" spans="1:46" ht="12.75" customHeight="1">
      <c r="A764" s="476"/>
      <c r="B764" s="476"/>
      <c r="C764" s="476"/>
      <c r="D764" s="476"/>
      <c r="E764" s="476"/>
      <c r="F764" s="476"/>
      <c r="G764" s="476"/>
      <c r="H764" s="476"/>
      <c r="I764" s="476"/>
      <c r="J764" s="476"/>
      <c r="K764" s="476"/>
      <c r="L764" s="476"/>
      <c r="M764" s="476"/>
      <c r="N764" s="476"/>
      <c r="O764" s="476"/>
      <c r="P764" s="476"/>
      <c r="Q764" s="476"/>
      <c r="R764" s="476"/>
      <c r="S764" s="476"/>
      <c r="T764" s="476"/>
      <c r="U764" s="476"/>
      <c r="V764" s="476"/>
      <c r="W764" s="476"/>
      <c r="X764" s="476"/>
      <c r="Y764" s="476"/>
      <c r="Z764" s="476"/>
      <c r="AA764" s="476"/>
      <c r="AB764" s="476"/>
      <c r="AC764" s="476"/>
      <c r="AD764" s="476"/>
      <c r="AE764" s="476"/>
      <c r="AF764" s="476"/>
      <c r="AG764" s="476"/>
      <c r="AH764" s="476"/>
      <c r="AI764" s="476"/>
      <c r="AJ764" s="476"/>
      <c r="AK764" s="476"/>
      <c r="AL764" s="476"/>
      <c r="AM764" s="476"/>
      <c r="AN764" s="476"/>
      <c r="AO764" s="476"/>
      <c r="AP764" s="476"/>
      <c r="AQ764" s="476"/>
      <c r="AR764" s="476"/>
      <c r="AS764" s="476"/>
      <c r="AT764" s="476"/>
    </row>
    <row r="765" spans="1:46" ht="12.75" customHeight="1">
      <c r="A765" s="476"/>
      <c r="B765" s="476"/>
      <c r="C765" s="476"/>
      <c r="D765" s="476"/>
      <c r="E765" s="476"/>
      <c r="F765" s="476"/>
      <c r="G765" s="476"/>
      <c r="H765" s="476"/>
      <c r="I765" s="476"/>
      <c r="J765" s="476"/>
      <c r="K765" s="476"/>
      <c r="L765" s="476"/>
      <c r="M765" s="476"/>
      <c r="N765" s="476"/>
      <c r="O765" s="476"/>
      <c r="P765" s="476"/>
      <c r="Q765" s="476"/>
      <c r="R765" s="476"/>
      <c r="S765" s="476"/>
      <c r="T765" s="476"/>
      <c r="U765" s="476"/>
      <c r="V765" s="476"/>
      <c r="W765" s="476"/>
      <c r="X765" s="476"/>
      <c r="Y765" s="476"/>
      <c r="Z765" s="476"/>
      <c r="AA765" s="476"/>
      <c r="AB765" s="476"/>
      <c r="AC765" s="476"/>
      <c r="AD765" s="476"/>
      <c r="AE765" s="476"/>
      <c r="AF765" s="476"/>
      <c r="AG765" s="476"/>
      <c r="AH765" s="476"/>
      <c r="AI765" s="476"/>
      <c r="AJ765" s="476"/>
      <c r="AK765" s="476"/>
      <c r="AL765" s="476"/>
      <c r="AM765" s="476"/>
      <c r="AN765" s="476"/>
      <c r="AO765" s="476"/>
      <c r="AP765" s="476"/>
      <c r="AQ765" s="476"/>
      <c r="AR765" s="476"/>
      <c r="AS765" s="476"/>
      <c r="AT765" s="476"/>
    </row>
    <row r="766" spans="1:46" ht="12.75" customHeight="1">
      <c r="A766" s="476"/>
      <c r="B766" s="476"/>
      <c r="C766" s="476"/>
      <c r="D766" s="476"/>
      <c r="E766" s="476"/>
      <c r="F766" s="476"/>
      <c r="G766" s="476"/>
      <c r="H766" s="476"/>
      <c r="I766" s="476"/>
      <c r="J766" s="476"/>
      <c r="K766" s="476"/>
      <c r="L766" s="476"/>
      <c r="M766" s="476"/>
      <c r="N766" s="476"/>
      <c r="O766" s="476"/>
      <c r="P766" s="476"/>
      <c r="Q766" s="476"/>
      <c r="R766" s="476"/>
      <c r="S766" s="476"/>
      <c r="T766" s="476"/>
      <c r="U766" s="476"/>
      <c r="V766" s="476"/>
      <c r="W766" s="476"/>
      <c r="X766" s="476"/>
      <c r="Y766" s="476"/>
      <c r="Z766" s="476"/>
      <c r="AA766" s="476"/>
      <c r="AB766" s="476"/>
      <c r="AC766" s="476"/>
      <c r="AD766" s="476"/>
      <c r="AE766" s="476"/>
      <c r="AF766" s="476"/>
      <c r="AG766" s="476"/>
      <c r="AH766" s="476"/>
      <c r="AI766" s="476"/>
      <c r="AJ766" s="476"/>
      <c r="AK766" s="476"/>
      <c r="AL766" s="476"/>
      <c r="AM766" s="476"/>
      <c r="AN766" s="476"/>
      <c r="AO766" s="476"/>
      <c r="AP766" s="476"/>
      <c r="AQ766" s="476"/>
      <c r="AR766" s="476"/>
      <c r="AS766" s="476"/>
      <c r="AT766" s="476"/>
    </row>
    <row r="767" spans="1:46" ht="12.75" customHeight="1"/>
    <row r="768" spans="1:46"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sheetData>
  <sheetProtection algorithmName="SHA-512" hashValue="+NHu1xfBGIuwuqdNMMwnGSzydQbKm/rrfJJzQoAbJEpgCO84/PCR5uDjpN3q9kUGaar0K7wbNemKH3D4FsVhGw==" saltValue="J59GW3pw83zNTEEJ+uRTgw==" spinCount="100000" sheet="1"/>
  <mergeCells count="693">
    <mergeCell ref="C84:C95"/>
    <mergeCell ref="H91:J91"/>
    <mergeCell ref="C62:C72"/>
    <mergeCell ref="H86:Z86"/>
    <mergeCell ref="S88:U88"/>
    <mergeCell ref="E189:AR189"/>
    <mergeCell ref="S91:U91"/>
    <mergeCell ref="Q89:R89"/>
    <mergeCell ref="K88:P88"/>
    <mergeCell ref="K89:P89"/>
    <mergeCell ref="S89:U89"/>
    <mergeCell ref="V89:X89"/>
    <mergeCell ref="E94:R94"/>
    <mergeCell ref="Q93:R93"/>
    <mergeCell ref="K93:P93"/>
    <mergeCell ref="Q92:R92"/>
    <mergeCell ref="H90:J90"/>
    <mergeCell ref="H89:J89"/>
    <mergeCell ref="F91:G91"/>
    <mergeCell ref="Q90:R90"/>
    <mergeCell ref="V87:X87"/>
    <mergeCell ref="F87:G87"/>
    <mergeCell ref="AA87:AC87"/>
    <mergeCell ref="H88:J88"/>
    <mergeCell ref="Q88:R88"/>
    <mergeCell ref="K87:P87"/>
    <mergeCell ref="F88:G88"/>
    <mergeCell ref="AD87:AI87"/>
    <mergeCell ref="D9:V12"/>
    <mergeCell ref="D8:V8"/>
    <mergeCell ref="W8:AS8"/>
    <mergeCell ref="W9:AS12"/>
    <mergeCell ref="S90:U90"/>
    <mergeCell ref="Q87:R87"/>
    <mergeCell ref="S80:V80"/>
    <mergeCell ref="Y88:Z88"/>
    <mergeCell ref="S87:U87"/>
    <mergeCell ref="W85:AA85"/>
    <mergeCell ref="E84:AR84"/>
    <mergeCell ref="S82:V82"/>
    <mergeCell ref="Y87:Z87"/>
    <mergeCell ref="AL89:AN89"/>
    <mergeCell ref="AL90:AN90"/>
    <mergeCell ref="Y89:Z89"/>
    <mergeCell ref="V88:X88"/>
    <mergeCell ref="AL88:AN88"/>
    <mergeCell ref="Y90:Z90"/>
    <mergeCell ref="AQ87:AR87"/>
    <mergeCell ref="AO89:AP89"/>
    <mergeCell ref="AO90:AP90"/>
    <mergeCell ref="AL91:AN91"/>
    <mergeCell ref="AQ90:AR90"/>
    <mergeCell ref="AJ90:AK90"/>
    <mergeCell ref="AD91:AI91"/>
    <mergeCell ref="AQ88:AR88"/>
    <mergeCell ref="AO88:AP88"/>
    <mergeCell ref="AF82:AJ82"/>
    <mergeCell ref="AQ89:AR89"/>
    <mergeCell ref="AQ83:AR83"/>
    <mergeCell ref="AO87:AP87"/>
    <mergeCell ref="AD89:AI89"/>
    <mergeCell ref="AB85:AD85"/>
    <mergeCell ref="AK83:AN83"/>
    <mergeCell ref="AB83:AC83"/>
    <mergeCell ref="AO83:AP83"/>
    <mergeCell ref="E147:H147"/>
    <mergeCell ref="AD135:AF135"/>
    <mergeCell ref="AD137:AF137"/>
    <mergeCell ref="E134:V134"/>
    <mergeCell ref="E136:V136"/>
    <mergeCell ref="E133:V133"/>
    <mergeCell ref="W133:AJ133"/>
    <mergeCell ref="I129:L129"/>
    <mergeCell ref="AQ134:AR134"/>
    <mergeCell ref="AH130:AL130"/>
    <mergeCell ref="AN130:AR130"/>
    <mergeCell ref="AN136:AP136"/>
    <mergeCell ref="AK138:AM138"/>
    <mergeCell ref="E141:AR141"/>
    <mergeCell ref="W145:Z145"/>
    <mergeCell ref="AG138:AJ138"/>
    <mergeCell ref="W138:Z138"/>
    <mergeCell ref="E135:V135"/>
    <mergeCell ref="E124:G130"/>
    <mergeCell ref="M130:P130"/>
    <mergeCell ref="AG136:AJ136"/>
    <mergeCell ref="AA136:AC136"/>
    <mergeCell ref="AK137:AM137"/>
    <mergeCell ref="I130:L130"/>
    <mergeCell ref="E149:H149"/>
    <mergeCell ref="E137:V137"/>
    <mergeCell ref="E146:H146"/>
    <mergeCell ref="AU149:AW149"/>
    <mergeCell ref="AN143:AR143"/>
    <mergeCell ref="AQ140:AR140"/>
    <mergeCell ref="W148:Z148"/>
    <mergeCell ref="I147:V147"/>
    <mergeCell ref="AG148:AJ148"/>
    <mergeCell ref="AK148:AM148"/>
    <mergeCell ref="AU146:AW146"/>
    <mergeCell ref="AU147:AW147"/>
    <mergeCell ref="AQ146:AR146"/>
    <mergeCell ref="AK145:AM145"/>
    <mergeCell ref="AG140:AJ140"/>
    <mergeCell ref="AK140:AM140"/>
    <mergeCell ref="AN140:AP140"/>
    <mergeCell ref="W147:Z147"/>
    <mergeCell ref="AA147:AC147"/>
    <mergeCell ref="W149:Z149"/>
    <mergeCell ref="AA146:AC146"/>
    <mergeCell ref="AD140:AF140"/>
    <mergeCell ref="AK149:AM149"/>
    <mergeCell ref="AQ137:AR137"/>
    <mergeCell ref="AG152:AJ152"/>
    <mergeCell ref="AD147:AF147"/>
    <mergeCell ref="AD149:AF149"/>
    <mergeCell ref="AU151:AW151"/>
    <mergeCell ref="AG150:AJ150"/>
    <mergeCell ref="W150:Z150"/>
    <mergeCell ref="AA150:AC150"/>
    <mergeCell ref="AD150:AF150"/>
    <mergeCell ref="AG151:AJ151"/>
    <mergeCell ref="AD151:AF151"/>
    <mergeCell ref="AA151:AC151"/>
    <mergeCell ref="AQ151:AR151"/>
    <mergeCell ref="AU152:AW152"/>
    <mergeCell ref="AN152:AP152"/>
    <mergeCell ref="AU150:AW150"/>
    <mergeCell ref="AU148:AW148"/>
    <mergeCell ref="AN149:AP149"/>
    <mergeCell ref="AA149:AC149"/>
    <mergeCell ref="AD148:AF148"/>
    <mergeCell ref="AA148:AC148"/>
    <mergeCell ref="AD146:AF146"/>
    <mergeCell ref="AN151:AP151"/>
    <mergeCell ref="AN150:AP150"/>
    <mergeCell ref="AQ149:AR149"/>
    <mergeCell ref="AN148:AP148"/>
    <mergeCell ref="AG147:AJ147"/>
    <mergeCell ref="AG149:AJ149"/>
    <mergeCell ref="AK151:AM151"/>
    <mergeCell ref="AK147:AM147"/>
    <mergeCell ref="P99:S99"/>
    <mergeCell ref="Q129:T129"/>
    <mergeCell ref="AL92:AN92"/>
    <mergeCell ref="AL87:AN87"/>
    <mergeCell ref="U126:Y126"/>
    <mergeCell ref="AD125:AG125"/>
    <mergeCell ref="K128:Y128"/>
    <mergeCell ref="Q125:T125"/>
    <mergeCell ref="AB80:AE80"/>
    <mergeCell ref="AM129:AR129"/>
    <mergeCell ref="U125:Y125"/>
    <mergeCell ref="U129:Y129"/>
    <mergeCell ref="S94:U94"/>
    <mergeCell ref="E104:AN104"/>
    <mergeCell ref="M125:P125"/>
    <mergeCell ref="AN126:AR126"/>
    <mergeCell ref="Z126:AC126"/>
    <mergeCell ref="K124:Y124"/>
    <mergeCell ref="I125:L125"/>
    <mergeCell ref="AO104:AR104"/>
    <mergeCell ref="AJ87:AK87"/>
    <mergeCell ref="AQ94:AR94"/>
    <mergeCell ref="E95:AR95"/>
    <mergeCell ref="I126:L126"/>
    <mergeCell ref="M121:P121"/>
    <mergeCell ref="Q121:T121"/>
    <mergeCell ref="E115:V115"/>
    <mergeCell ref="H124:H130"/>
    <mergeCell ref="AD130:AG130"/>
    <mergeCell ref="Z130:AC130"/>
    <mergeCell ref="Z124:AR124"/>
    <mergeCell ref="AD129:AG129"/>
    <mergeCell ref="AH126:AL126"/>
    <mergeCell ref="Q126:T126"/>
    <mergeCell ref="AM125:AR125"/>
    <mergeCell ref="Z125:AC125"/>
    <mergeCell ref="AN122:AR122"/>
    <mergeCell ref="U122:Y122"/>
    <mergeCell ref="Z122:AC122"/>
    <mergeCell ref="Q122:T122"/>
    <mergeCell ref="AD126:AG126"/>
    <mergeCell ref="Q130:T130"/>
    <mergeCell ref="M129:P129"/>
    <mergeCell ref="I122:L122"/>
    <mergeCell ref="AH122:AL122"/>
    <mergeCell ref="AH125:AL125"/>
    <mergeCell ref="M126:P126"/>
    <mergeCell ref="AD121:AG121"/>
    <mergeCell ref="AK136:AM136"/>
    <mergeCell ref="AN137:AP137"/>
    <mergeCell ref="AA139:AC139"/>
    <mergeCell ref="AD138:AF138"/>
    <mergeCell ref="AA140:AC140"/>
    <mergeCell ref="E140:V140"/>
    <mergeCell ref="W140:Z140"/>
    <mergeCell ref="E139:V139"/>
    <mergeCell ref="AD139:AF139"/>
    <mergeCell ref="W136:Z136"/>
    <mergeCell ref="W137:Z137"/>
    <mergeCell ref="AA138:AC138"/>
    <mergeCell ref="E138:V138"/>
    <mergeCell ref="W139:Z139"/>
    <mergeCell ref="AG139:AJ139"/>
    <mergeCell ref="AG137:AJ137"/>
    <mergeCell ref="I145:V145"/>
    <mergeCell ref="I146:V146"/>
    <mergeCell ref="E154:AR154"/>
    <mergeCell ref="E152:H152"/>
    <mergeCell ref="AA152:AC152"/>
    <mergeCell ref="C132:C141"/>
    <mergeCell ref="E132:AR132"/>
    <mergeCell ref="Z129:AC129"/>
    <mergeCell ref="AA135:AC135"/>
    <mergeCell ref="W135:Z135"/>
    <mergeCell ref="AQ138:AR138"/>
    <mergeCell ref="AQ139:AR139"/>
    <mergeCell ref="AD152:AF152"/>
    <mergeCell ref="I152:V152"/>
    <mergeCell ref="W152:Z152"/>
    <mergeCell ref="AQ152:AR152"/>
    <mergeCell ref="AG153:AJ153"/>
    <mergeCell ref="AD145:AF145"/>
    <mergeCell ref="AQ148:AR148"/>
    <mergeCell ref="AQ147:AR147"/>
    <mergeCell ref="AQ150:AR150"/>
    <mergeCell ref="AN147:AP147"/>
    <mergeCell ref="AK150:AM150"/>
    <mergeCell ref="AN146:AP146"/>
    <mergeCell ref="V93:X93"/>
    <mergeCell ref="AD92:AI92"/>
    <mergeCell ref="AA92:AC92"/>
    <mergeCell ref="S93:U93"/>
    <mergeCell ref="Y93:Z93"/>
    <mergeCell ref="C142:C154"/>
    <mergeCell ref="E142:AR142"/>
    <mergeCell ref="E143:V144"/>
    <mergeCell ref="AQ145:AR145"/>
    <mergeCell ref="AG145:AJ145"/>
    <mergeCell ref="E148:H148"/>
    <mergeCell ref="AN145:AP145"/>
    <mergeCell ref="I151:V151"/>
    <mergeCell ref="W151:Z151"/>
    <mergeCell ref="I149:V149"/>
    <mergeCell ref="I148:V148"/>
    <mergeCell ref="E151:H151"/>
    <mergeCell ref="E150:H150"/>
    <mergeCell ref="I150:V150"/>
    <mergeCell ref="W144:AR144"/>
    <mergeCell ref="AK146:AM146"/>
    <mergeCell ref="W146:Z146"/>
    <mergeCell ref="AA145:AC145"/>
    <mergeCell ref="E145:H145"/>
    <mergeCell ref="E108:AR112"/>
    <mergeCell ref="I121:L121"/>
    <mergeCell ref="E121:H122"/>
    <mergeCell ref="M122:P122"/>
    <mergeCell ref="AO99:AR99"/>
    <mergeCell ref="E80:J80"/>
    <mergeCell ref="S81:V81"/>
    <mergeCell ref="E79:J79"/>
    <mergeCell ref="O81:R81"/>
    <mergeCell ref="K91:P91"/>
    <mergeCell ref="AQ92:AR92"/>
    <mergeCell ref="V91:X91"/>
    <mergeCell ref="AQ93:AR93"/>
    <mergeCell ref="AO92:AP92"/>
    <mergeCell ref="Y92:Z92"/>
    <mergeCell ref="AO93:AP93"/>
    <mergeCell ref="AA93:AC93"/>
    <mergeCell ref="AD93:AI93"/>
    <mergeCell ref="AL93:AN93"/>
    <mergeCell ref="AO82:AR82"/>
    <mergeCell ref="AK81:AN81"/>
    <mergeCell ref="AJ92:AK92"/>
    <mergeCell ref="S92:U92"/>
    <mergeCell ref="V92:X92"/>
    <mergeCell ref="AO105:AR105"/>
    <mergeCell ref="AL94:AN94"/>
    <mergeCell ref="AO100:AR100"/>
    <mergeCell ref="AM121:AR121"/>
    <mergeCell ref="W134:Z134"/>
    <mergeCell ref="AQ136:AR136"/>
    <mergeCell ref="W82:AA82"/>
    <mergeCell ref="Y91:Z91"/>
    <mergeCell ref="E105:AN105"/>
    <mergeCell ref="Y94:Z94"/>
    <mergeCell ref="AH121:AL121"/>
    <mergeCell ref="AD88:AI88"/>
    <mergeCell ref="F93:G93"/>
    <mergeCell ref="E82:N82"/>
    <mergeCell ref="K92:P92"/>
    <mergeCell ref="O82:R82"/>
    <mergeCell ref="E83:J83"/>
    <mergeCell ref="K83:N83"/>
    <mergeCell ref="E107:V107"/>
    <mergeCell ref="AD136:AF136"/>
    <mergeCell ref="AC99:AF99"/>
    <mergeCell ref="AA94:AK94"/>
    <mergeCell ref="Z121:AC121"/>
    <mergeCell ref="AO103:AR103"/>
    <mergeCell ref="AF172:AJ172"/>
    <mergeCell ref="S175:V175"/>
    <mergeCell ref="W174:AA174"/>
    <mergeCell ref="S172:V172"/>
    <mergeCell ref="AB172:AE172"/>
    <mergeCell ref="I184:V184"/>
    <mergeCell ref="I182:V182"/>
    <mergeCell ref="W182:AE182"/>
    <mergeCell ref="E173:R173"/>
    <mergeCell ref="S173:V173"/>
    <mergeCell ref="E180:H180"/>
    <mergeCell ref="E179:H179"/>
    <mergeCell ref="I179:V179"/>
    <mergeCell ref="I181:V181"/>
    <mergeCell ref="E181:H181"/>
    <mergeCell ref="E170:R170"/>
    <mergeCell ref="AB169:AE169"/>
    <mergeCell ref="W167:AJ167"/>
    <mergeCell ref="I180:V180"/>
    <mergeCell ref="W172:AA172"/>
    <mergeCell ref="W171:AA171"/>
    <mergeCell ref="AB173:AE173"/>
    <mergeCell ref="AB174:AE174"/>
    <mergeCell ref="AF173:AJ173"/>
    <mergeCell ref="E177:AR177"/>
    <mergeCell ref="AF174:AJ174"/>
    <mergeCell ref="AK170:AN170"/>
    <mergeCell ref="W170:AA170"/>
    <mergeCell ref="E175:R175"/>
    <mergeCell ref="W180:AE180"/>
    <mergeCell ref="AF175:AJ175"/>
    <mergeCell ref="W178:AN178"/>
    <mergeCell ref="AF179:AJ179"/>
    <mergeCell ref="AB175:AE175"/>
    <mergeCell ref="AO179:AR179"/>
    <mergeCell ref="AK175:AN175"/>
    <mergeCell ref="W175:AA175"/>
    <mergeCell ref="E176:AR176"/>
    <mergeCell ref="AK172:AN172"/>
    <mergeCell ref="AO164:AR164"/>
    <mergeCell ref="S174:V174"/>
    <mergeCell ref="E167:H167"/>
    <mergeCell ref="AO163:AR163"/>
    <mergeCell ref="S163:V163"/>
    <mergeCell ref="W164:AA164"/>
    <mergeCell ref="W163:AA163"/>
    <mergeCell ref="AB168:AE168"/>
    <mergeCell ref="W173:AA173"/>
    <mergeCell ref="W169:AA169"/>
    <mergeCell ref="AK174:AN174"/>
    <mergeCell ref="AF170:AJ170"/>
    <mergeCell ref="AK164:AN164"/>
    <mergeCell ref="AF171:AJ171"/>
    <mergeCell ref="E171:R171"/>
    <mergeCell ref="AK171:AN171"/>
    <mergeCell ref="S167:V168"/>
    <mergeCell ref="E174:R174"/>
    <mergeCell ref="I167:R167"/>
    <mergeCell ref="W168:AA168"/>
    <mergeCell ref="E169:R169"/>
    <mergeCell ref="E172:R172"/>
    <mergeCell ref="AK169:AN169"/>
    <mergeCell ref="S170:V170"/>
    <mergeCell ref="AO157:AR157"/>
    <mergeCell ref="AF156:AR156"/>
    <mergeCell ref="AO161:AR161"/>
    <mergeCell ref="AO158:AR158"/>
    <mergeCell ref="AO160:AR160"/>
    <mergeCell ref="AK159:AN159"/>
    <mergeCell ref="AF160:AJ160"/>
    <mergeCell ref="AK157:AN157"/>
    <mergeCell ref="AK161:AN161"/>
    <mergeCell ref="AF158:AJ158"/>
    <mergeCell ref="AK160:AN160"/>
    <mergeCell ref="AF157:AJ157"/>
    <mergeCell ref="AF159:AJ159"/>
    <mergeCell ref="AK158:AN158"/>
    <mergeCell ref="AF161:AJ161"/>
    <mergeCell ref="AO159:AR159"/>
    <mergeCell ref="W158:AA158"/>
    <mergeCell ref="C177:C188"/>
    <mergeCell ref="E160:R160"/>
    <mergeCell ref="E184:H184"/>
    <mergeCell ref="E185:H185"/>
    <mergeCell ref="S160:V160"/>
    <mergeCell ref="W187:AE187"/>
    <mergeCell ref="S159:V159"/>
    <mergeCell ref="E159:R159"/>
    <mergeCell ref="E161:R161"/>
    <mergeCell ref="S161:V161"/>
    <mergeCell ref="W160:AA160"/>
    <mergeCell ref="AB162:AE162"/>
    <mergeCell ref="E158:R158"/>
    <mergeCell ref="S162:V162"/>
    <mergeCell ref="AB158:AE158"/>
    <mergeCell ref="AB160:AE160"/>
    <mergeCell ref="E163:R163"/>
    <mergeCell ref="C155:C165"/>
    <mergeCell ref="E162:R162"/>
    <mergeCell ref="AB163:AE163"/>
    <mergeCell ref="AB159:AE159"/>
    <mergeCell ref="E182:H182"/>
    <mergeCell ref="E178:V178"/>
    <mergeCell ref="C166:C176"/>
    <mergeCell ref="Y195:AS195"/>
    <mergeCell ref="AK190:AR190"/>
    <mergeCell ref="AK162:AN162"/>
    <mergeCell ref="AK163:AN163"/>
    <mergeCell ref="AF162:AJ162"/>
    <mergeCell ref="S171:V171"/>
    <mergeCell ref="AF163:AJ163"/>
    <mergeCell ref="AF169:AJ169"/>
    <mergeCell ref="E188:AR188"/>
    <mergeCell ref="E186:H186"/>
    <mergeCell ref="I186:V186"/>
    <mergeCell ref="E183:H183"/>
    <mergeCell ref="AO187:AR187"/>
    <mergeCell ref="AO183:AR183"/>
    <mergeCell ref="I185:V185"/>
    <mergeCell ref="AO186:AR186"/>
    <mergeCell ref="AF187:AJ187"/>
    <mergeCell ref="AK187:AN187"/>
    <mergeCell ref="C195:W195"/>
    <mergeCell ref="AO178:AR178"/>
    <mergeCell ref="W181:AE181"/>
    <mergeCell ref="AO180:AR180"/>
    <mergeCell ref="W179:AE179"/>
    <mergeCell ref="I65:AD65"/>
    <mergeCell ref="E74:V74"/>
    <mergeCell ref="AJ65:AM65"/>
    <mergeCell ref="E73:AR73"/>
    <mergeCell ref="AF60:AG60"/>
    <mergeCell ref="E70:V70"/>
    <mergeCell ref="W74:AA74"/>
    <mergeCell ref="I67:V67"/>
    <mergeCell ref="AF75:AJ75"/>
    <mergeCell ref="AK74:AN74"/>
    <mergeCell ref="E72:AR72"/>
    <mergeCell ref="AO74:AR74"/>
    <mergeCell ref="AO75:AR75"/>
    <mergeCell ref="AR63:AR64"/>
    <mergeCell ref="I63:AD63"/>
    <mergeCell ref="AJ67:AP67"/>
    <mergeCell ref="E75:J75"/>
    <mergeCell ref="S75:V75"/>
    <mergeCell ref="W75:AA75"/>
    <mergeCell ref="AK75:AN75"/>
    <mergeCell ref="AA69:AD69"/>
    <mergeCell ref="K80:N80"/>
    <mergeCell ref="W79:AA79"/>
    <mergeCell ref="O80:R80"/>
    <mergeCell ref="W81:AA81"/>
    <mergeCell ref="O79:R79"/>
    <mergeCell ref="AN139:AP139"/>
    <mergeCell ref="AN138:AP138"/>
    <mergeCell ref="AK139:AM139"/>
    <mergeCell ref="AA137:AC137"/>
    <mergeCell ref="AA134:AC134"/>
    <mergeCell ref="AK133:AR133"/>
    <mergeCell ref="K90:P90"/>
    <mergeCell ref="AQ135:AR135"/>
    <mergeCell ref="AN134:AP134"/>
    <mergeCell ref="AK134:AM134"/>
    <mergeCell ref="AG134:AJ134"/>
    <mergeCell ref="AN135:AP135"/>
    <mergeCell ref="AG135:AJ135"/>
    <mergeCell ref="AK135:AM135"/>
    <mergeCell ref="AD134:AF134"/>
    <mergeCell ref="AD122:AG122"/>
    <mergeCell ref="AH129:AL129"/>
    <mergeCell ref="AO94:AP94"/>
    <mergeCell ref="V94:W94"/>
    <mergeCell ref="AD52:AP52"/>
    <mergeCell ref="I47:V47"/>
    <mergeCell ref="AJ30:AP30"/>
    <mergeCell ref="AJ28:AP28"/>
    <mergeCell ref="AD24:AP24"/>
    <mergeCell ref="I50:K50"/>
    <mergeCell ref="N50:AA50"/>
    <mergeCell ref="AA32:AD32"/>
    <mergeCell ref="AJ63:AP63"/>
    <mergeCell ref="AA58:AD58"/>
    <mergeCell ref="I58:V58"/>
    <mergeCell ref="AD50:AP50"/>
    <mergeCell ref="I54:AD54"/>
    <mergeCell ref="AJ60:AP60"/>
    <mergeCell ref="AM14:AR14"/>
    <mergeCell ref="I39:K39"/>
    <mergeCell ref="I37:AA37"/>
    <mergeCell ref="AJ47:AP47"/>
    <mergeCell ref="AJ54:AP54"/>
    <mergeCell ref="AA18:AE18"/>
    <mergeCell ref="I41:AA41"/>
    <mergeCell ref="AD39:AP39"/>
    <mergeCell ref="N39:AA39"/>
    <mergeCell ref="AA47:AD47"/>
    <mergeCell ref="AJ32:AP32"/>
    <mergeCell ref="E20:V20"/>
    <mergeCell ref="I26:AA26"/>
    <mergeCell ref="N24:AA24"/>
    <mergeCell ref="AD26:AP26"/>
    <mergeCell ref="E21:AR21"/>
    <mergeCell ref="I30:AD30"/>
    <mergeCell ref="AQ38:AR38"/>
    <mergeCell ref="I52:AA52"/>
    <mergeCell ref="AQ37:AR37"/>
    <mergeCell ref="AQ39:AR39"/>
    <mergeCell ref="I16:AE16"/>
    <mergeCell ref="I18:V18"/>
    <mergeCell ref="I24:K24"/>
    <mergeCell ref="C36:C48"/>
    <mergeCell ref="C49:C61"/>
    <mergeCell ref="I43:AD43"/>
    <mergeCell ref="I56:AD56"/>
    <mergeCell ref="I32:V32"/>
    <mergeCell ref="AJ58:AP58"/>
    <mergeCell ref="AJ56:AP56"/>
    <mergeCell ref="O76:R76"/>
    <mergeCell ref="C7:AS7"/>
    <mergeCell ref="I14:AE14"/>
    <mergeCell ref="AM16:AR16"/>
    <mergeCell ref="I45:AD45"/>
    <mergeCell ref="AJ43:AP43"/>
    <mergeCell ref="AB74:AE74"/>
    <mergeCell ref="C23:C35"/>
    <mergeCell ref="AD41:AP41"/>
    <mergeCell ref="AJ45:AP45"/>
    <mergeCell ref="C13:C22"/>
    <mergeCell ref="AA67:AD67"/>
    <mergeCell ref="K75:N75"/>
    <mergeCell ref="W76:AA76"/>
    <mergeCell ref="AB75:AE75"/>
    <mergeCell ref="I28:AD28"/>
    <mergeCell ref="E22:AR22"/>
    <mergeCell ref="W159:AA159"/>
    <mergeCell ref="W161:AA161"/>
    <mergeCell ref="AK152:AM152"/>
    <mergeCell ref="AB157:AE157"/>
    <mergeCell ref="E153:Z153"/>
    <mergeCell ref="E156:H156"/>
    <mergeCell ref="I156:R156"/>
    <mergeCell ref="AB81:AE81"/>
    <mergeCell ref="AK77:AN77"/>
    <mergeCell ref="AB82:AE82"/>
    <mergeCell ref="AB79:AE79"/>
    <mergeCell ref="AF79:AJ79"/>
    <mergeCell ref="AK80:AN80"/>
    <mergeCell ref="AK82:AN82"/>
    <mergeCell ref="AF81:AJ81"/>
    <mergeCell ref="S78:V78"/>
    <mergeCell ref="K77:N77"/>
    <mergeCell ref="E155:AR155"/>
    <mergeCell ref="AQ153:AR153"/>
    <mergeCell ref="AN153:AP153"/>
    <mergeCell ref="O77:R77"/>
    <mergeCell ref="E77:J77"/>
    <mergeCell ref="AO81:AR81"/>
    <mergeCell ref="K79:N79"/>
    <mergeCell ref="S156:AE156"/>
    <mergeCell ref="W77:AA77"/>
    <mergeCell ref="AF74:AJ74"/>
    <mergeCell ref="S157:V157"/>
    <mergeCell ref="W157:AA157"/>
    <mergeCell ref="S158:V158"/>
    <mergeCell ref="S76:V76"/>
    <mergeCell ref="AO80:AR80"/>
    <mergeCell ref="AO77:AR77"/>
    <mergeCell ref="AK153:AM153"/>
    <mergeCell ref="S77:V77"/>
    <mergeCell ref="AD153:AF153"/>
    <mergeCell ref="AA153:AC153"/>
    <mergeCell ref="AG146:AJ146"/>
    <mergeCell ref="W143:AM143"/>
    <mergeCell ref="W78:AA78"/>
    <mergeCell ref="AF80:AJ80"/>
    <mergeCell ref="AQ91:AR91"/>
    <mergeCell ref="AO91:AP91"/>
    <mergeCell ref="AJ89:AK89"/>
    <mergeCell ref="AF77:AJ77"/>
    <mergeCell ref="AO78:AR78"/>
    <mergeCell ref="AF78:AJ78"/>
    <mergeCell ref="AB78:AE78"/>
    <mergeCell ref="AK76:AN76"/>
    <mergeCell ref="AO79:AR79"/>
    <mergeCell ref="AO76:AR76"/>
    <mergeCell ref="AK79:AN79"/>
    <mergeCell ref="AK78:AN78"/>
    <mergeCell ref="AF76:AJ76"/>
    <mergeCell ref="S79:V79"/>
    <mergeCell ref="E71:AR71"/>
    <mergeCell ref="O78:R78"/>
    <mergeCell ref="E78:J78"/>
    <mergeCell ref="K76:N76"/>
    <mergeCell ref="K78:N78"/>
    <mergeCell ref="AB76:AE76"/>
    <mergeCell ref="AB77:AE77"/>
    <mergeCell ref="O83:V83"/>
    <mergeCell ref="W83:AA83"/>
    <mergeCell ref="U121:Y121"/>
    <mergeCell ref="Q91:R91"/>
    <mergeCell ref="E81:J81"/>
    <mergeCell ref="AJ93:AK93"/>
    <mergeCell ref="V90:X90"/>
    <mergeCell ref="AD83:AE83"/>
    <mergeCell ref="AF83:AJ83"/>
    <mergeCell ref="AA90:AC90"/>
    <mergeCell ref="AJ91:AK91"/>
    <mergeCell ref="AA91:AC91"/>
    <mergeCell ref="AA89:AC89"/>
    <mergeCell ref="AA88:AC88"/>
    <mergeCell ref="AD90:AI90"/>
    <mergeCell ref="AJ88:AK88"/>
    <mergeCell ref="E86:G86"/>
    <mergeCell ref="H87:J87"/>
    <mergeCell ref="F89:G89"/>
    <mergeCell ref="F92:G92"/>
    <mergeCell ref="H92:J92"/>
    <mergeCell ref="F90:G90"/>
    <mergeCell ref="H93:J93"/>
    <mergeCell ref="I97:AR97"/>
    <mergeCell ref="C8:C12"/>
    <mergeCell ref="E76:J76"/>
    <mergeCell ref="AB164:AE164"/>
    <mergeCell ref="E164:R164"/>
    <mergeCell ref="C96:C131"/>
    <mergeCell ref="O75:R75"/>
    <mergeCell ref="AB161:AE161"/>
    <mergeCell ref="W184:AE184"/>
    <mergeCell ref="W186:AE186"/>
    <mergeCell ref="W183:AE183"/>
    <mergeCell ref="W162:AA162"/>
    <mergeCell ref="E166:AR166"/>
    <mergeCell ref="AK167:AN168"/>
    <mergeCell ref="AK180:AN180"/>
    <mergeCell ref="AK179:AN179"/>
    <mergeCell ref="AO169:AR175"/>
    <mergeCell ref="AF186:AJ186"/>
    <mergeCell ref="AF164:AJ164"/>
    <mergeCell ref="S169:V169"/>
    <mergeCell ref="I183:V183"/>
    <mergeCell ref="W185:AE185"/>
    <mergeCell ref="AK186:AN186"/>
    <mergeCell ref="AF182:AJ182"/>
    <mergeCell ref="AK182:AN182"/>
    <mergeCell ref="C73:C83"/>
    <mergeCell ref="AK236:AR236"/>
    <mergeCell ref="J236:Q236"/>
    <mergeCell ref="E209:W209"/>
    <mergeCell ref="AB170:AE170"/>
    <mergeCell ref="AB171:AE171"/>
    <mergeCell ref="AO162:AR162"/>
    <mergeCell ref="AF168:AJ168"/>
    <mergeCell ref="AK173:AN173"/>
    <mergeCell ref="E165:AR165"/>
    <mergeCell ref="AF185:AJ185"/>
    <mergeCell ref="AO184:AR184"/>
    <mergeCell ref="AO182:AR182"/>
    <mergeCell ref="AF180:AJ180"/>
    <mergeCell ref="AF181:AJ181"/>
    <mergeCell ref="AK181:AN181"/>
    <mergeCell ref="S164:V164"/>
    <mergeCell ref="W80:AA80"/>
    <mergeCell ref="E221:V221"/>
    <mergeCell ref="C234:AS234"/>
    <mergeCell ref="AK185:AN185"/>
    <mergeCell ref="U130:Y130"/>
    <mergeCell ref="K81:N81"/>
    <mergeCell ref="AA86:AR86"/>
    <mergeCell ref="C338:AC338"/>
    <mergeCell ref="C340:AS340"/>
    <mergeCell ref="E205:V205"/>
    <mergeCell ref="E223:V223"/>
    <mergeCell ref="E229:V229"/>
    <mergeCell ref="E201:V201"/>
    <mergeCell ref="AV181:AX181"/>
    <mergeCell ref="AK183:AN183"/>
    <mergeCell ref="AO185:AR185"/>
    <mergeCell ref="AO181:AR181"/>
    <mergeCell ref="AV183:AX183"/>
    <mergeCell ref="AV182:AX182"/>
    <mergeCell ref="AF183:AJ183"/>
    <mergeCell ref="C237:E237"/>
    <mergeCell ref="C208:E208"/>
    <mergeCell ref="AF184:AJ184"/>
    <mergeCell ref="AK184:AN184"/>
    <mergeCell ref="C200:E200"/>
    <mergeCell ref="K190:AE190"/>
    <mergeCell ref="C189:C193"/>
    <mergeCell ref="E190:H190"/>
    <mergeCell ref="E192:H192"/>
    <mergeCell ref="K192:AE192"/>
  </mergeCells>
  <phoneticPr fontId="14" type="noConversion"/>
  <conditionalFormatting sqref="I180:V181">
    <cfRule type="cellIs" dxfId="63" priority="11" stopIfTrue="1" operator="equal">
      <formula>""</formula>
    </cfRule>
  </conditionalFormatting>
  <conditionalFormatting sqref="S169:V174">
    <cfRule type="expression" dxfId="62" priority="18" stopIfTrue="1">
      <formula>IF(D$168=FALSE,TRUE,FALSE)</formula>
    </cfRule>
    <cfRule type="expression" dxfId="61" priority="19" stopIfTrue="1">
      <formula>IF(D$168=TRUE,TRUE,FALSE)</formula>
    </cfRule>
  </conditionalFormatting>
  <conditionalFormatting sqref="W180:AE180">
    <cfRule type="cellIs" dxfId="60" priority="10" stopIfTrue="1" operator="equal">
      <formula>"Choisir…"</formula>
    </cfRule>
  </conditionalFormatting>
  <conditionalFormatting sqref="AB164:AE164">
    <cfRule type="cellIs" dxfId="59" priority="46" stopIfTrue="1" operator="notEqual">
      <formula>IF(AS156=TRUE,$AF$187,AB164)</formula>
    </cfRule>
  </conditionalFormatting>
  <conditionalFormatting sqref="AF187 AK187">
    <cfRule type="cellIs" dxfId="58" priority="48" stopIfTrue="1" operator="notEqual">
      <formula>IF(AS156=TRUE,AB164,IF(AS166=TRUE,$AF$175,$AO$164))</formula>
    </cfRule>
  </conditionalFormatting>
  <conditionalFormatting sqref="AF175:AJ175">
    <cfRule type="cellIs" dxfId="57" priority="47" stopIfTrue="1" operator="notEqual">
      <formula>$AF$187</formula>
    </cfRule>
  </conditionalFormatting>
  <conditionalFormatting sqref="AG135:AJ139">
    <cfRule type="cellIs" dxfId="56" priority="20" stopIfTrue="1" operator="notEqual">
      <formula>AK135+AN135</formula>
    </cfRule>
  </conditionalFormatting>
  <conditionalFormatting sqref="AG140:AJ140">
    <cfRule type="cellIs" dxfId="55" priority="36" stopIfTrue="1" operator="notEqual">
      <formula>$AN$153</formula>
    </cfRule>
  </conditionalFormatting>
  <conditionalFormatting sqref="AK135:AM135">
    <cfRule type="cellIs" dxfId="54" priority="21" stopIfTrue="1" operator="greaterThan">
      <formula>100000</formula>
    </cfRule>
    <cfRule type="cellIs" dxfId="53" priority="22" stopIfTrue="1" operator="notEqual">
      <formula>AG135-AN135</formula>
    </cfRule>
  </conditionalFormatting>
  <conditionalFormatting sqref="AK136:AM136">
    <cfRule type="cellIs" dxfId="52" priority="24" stopIfTrue="1" operator="greaterThan">
      <formula>1000000</formula>
    </cfRule>
    <cfRule type="cellIs" dxfId="51" priority="25" stopIfTrue="1" operator="notEqual">
      <formula>AG136-AN136</formula>
    </cfRule>
  </conditionalFormatting>
  <conditionalFormatting sqref="AK137:AM137">
    <cfRule type="cellIs" dxfId="50" priority="26" stopIfTrue="1" operator="greaterThan">
      <formula>25000</formula>
    </cfRule>
    <cfRule type="cellIs" dxfId="49" priority="27" stopIfTrue="1" operator="notEqual">
      <formula>AG137-AN137</formula>
    </cfRule>
  </conditionalFormatting>
  <conditionalFormatting sqref="AK138:AM138">
    <cfRule type="cellIs" dxfId="48" priority="28" stopIfTrue="1" operator="greaterThan">
      <formula>50000</formula>
    </cfRule>
    <cfRule type="cellIs" dxfId="47" priority="29" stopIfTrue="1" operator="notEqual">
      <formula>AG138-AN138</formula>
    </cfRule>
  </conditionalFormatting>
  <conditionalFormatting sqref="AK139:AM139">
    <cfRule type="cellIs" dxfId="46" priority="30" stopIfTrue="1" operator="greaterThan">
      <formula>10000</formula>
    </cfRule>
    <cfRule type="cellIs" dxfId="45" priority="31" stopIfTrue="1" operator="notEqual">
      <formula>AG139-AN139</formula>
    </cfRule>
  </conditionalFormatting>
  <conditionalFormatting sqref="AK140:AM140 AA146:AC146">
    <cfRule type="cellIs" dxfId="44" priority="38" stopIfTrue="1" operator="greaterThan">
      <formula>1000000</formula>
    </cfRule>
  </conditionalFormatting>
  <conditionalFormatting sqref="AN65:AP65">
    <cfRule type="cellIs" dxfId="43" priority="1" stopIfTrue="1" operator="equal">
      <formula>"Valide"</formula>
    </cfRule>
    <cfRule type="cellIs" dxfId="42" priority="2" stopIfTrue="1" operator="equal">
      <formula>"Non valide"</formula>
    </cfRule>
  </conditionalFormatting>
  <conditionalFormatting sqref="AN135:AP139">
    <cfRule type="cellIs" dxfId="41" priority="23" stopIfTrue="1" operator="notEqual">
      <formula>AG135-AK135</formula>
    </cfRule>
  </conditionalFormatting>
  <conditionalFormatting sqref="AN153:AP153">
    <cfRule type="cellIs" dxfId="40" priority="37" stopIfTrue="1" operator="notEqual">
      <formula>$AG$140</formula>
    </cfRule>
  </conditionalFormatting>
  <conditionalFormatting sqref="AO164:AR164">
    <cfRule type="cellIs" dxfId="39" priority="45" stopIfTrue="1" operator="notEqual">
      <formula>IF(AS156=FALSE,AF187,AO164)</formula>
    </cfRule>
  </conditionalFormatting>
  <conditionalFormatting sqref="AQ135:AR135">
    <cfRule type="cellIs" dxfId="38" priority="40" stopIfTrue="1" operator="greaterThan">
      <formula>0.75</formula>
    </cfRule>
    <cfRule type="cellIs" dxfId="37" priority="41" stopIfTrue="1" operator="between">
      <formula>0.2500001</formula>
      <formula>0.75</formula>
    </cfRule>
  </conditionalFormatting>
  <conditionalFormatting sqref="AQ136:AR139">
    <cfRule type="cellIs" dxfId="36" priority="39" stopIfTrue="1" operator="greaterThan">
      <formula>0.5</formula>
    </cfRule>
  </conditionalFormatting>
  <conditionalFormatting sqref="AQ146:AR146">
    <cfRule type="cellIs" dxfId="35" priority="44" stopIfTrue="1" operator="greaterThan">
      <formula>0.75</formula>
    </cfRule>
  </conditionalFormatting>
  <dataValidations disablePrompts="1" count="17">
    <dataValidation type="list" allowBlank="1" showInputMessage="1" showErrorMessage="1" sqref="I39 I24 I50" xr:uid="{6D794081-DD8B-48DE-93DC-0B88ED9A4C04}">
      <formula1>Appel</formula1>
    </dataValidation>
    <dataValidation type="list" allowBlank="1" showInputMessage="1" showErrorMessage="1" sqref="AJ67:AP67" xr:uid="{C91160ED-9F6A-4D1F-88E1-831F6491E6ED}">
      <formula1>Type_Entreprise</formula1>
    </dataValidation>
    <dataValidation type="list" allowBlank="1" showInputMessage="1" showErrorMessage="1" sqref="W181:W186 W148 W150:W152 W149:Z149 W147:Z147" xr:uid="{CBBF708B-2642-4C0D-8978-38AF5C6227BE}">
      <formula1>Type_Aide</formula1>
    </dataValidation>
    <dataValidation type="list" allowBlank="1" showInputMessage="1" showErrorMessage="1" sqref="E146:H152" xr:uid="{494A4FDE-07FA-4F0E-8F64-164A679140EF}">
      <formula1>Fin_Autre</formula1>
    </dataValidation>
    <dataValidation type="list" allowBlank="1" showInputMessage="1" showErrorMessage="1" sqref="E76:J81 AN130:AR130" xr:uid="{07F9A191-78DD-4E49-847D-68F8EE53D553}">
      <formula1>Énergie</formula1>
    </dataValidation>
    <dataValidation type="list" allowBlank="1" showInputMessage="1" showErrorMessage="1" sqref="K88:K93 AD88:AD93" xr:uid="{591D23BD-63EA-43A0-AEE7-AF8C20F51993}">
      <formula1>PRP</formula1>
    </dataValidation>
    <dataValidation type="list" allowBlank="1" showInputMessage="1" showErrorMessage="1" sqref="V88:V93 AO88:AO93" xr:uid="{56E2E8E2-7DD6-47AA-B6D2-D025FA44776A}">
      <formula1>Unite</formula1>
    </dataValidation>
    <dataValidation type="list" allowBlank="1" showInputMessage="1" showErrorMessage="1" sqref="E169:R169" xr:uid="{0822E60A-C59C-4E5E-9CA7-4FE33562F668}">
      <formula1>INDIRECT(D167)</formula1>
    </dataValidation>
    <dataValidation type="list" allowBlank="1" showInputMessage="1" showErrorMessage="1" sqref="E170:R170" xr:uid="{126CC1E1-AAD9-4E4F-B253-48460588B233}">
      <formula1>INDIRECT(D167)</formula1>
    </dataValidation>
    <dataValidation type="list" allowBlank="1" showInputMessage="1" showErrorMessage="1" sqref="E171:R171" xr:uid="{F2A9B5E7-C4F2-490C-8AEF-BD5D6310FA2C}">
      <formula1>INDIRECT(D167)</formula1>
    </dataValidation>
    <dataValidation type="list" allowBlank="1" showInputMessage="1" showErrorMessage="1" sqref="E172:R172" xr:uid="{BA2EDE51-8418-402B-922B-96AE19F39589}">
      <formula1>INDIRECT(D167)</formula1>
    </dataValidation>
    <dataValidation type="list" allowBlank="1" showInputMessage="1" showErrorMessage="1" sqref="E173:R173" xr:uid="{56B404F0-D53B-4DD1-900A-C8910CC994DB}">
      <formula1>INDIRECT(D167)</formula1>
    </dataValidation>
    <dataValidation type="list" allowBlank="1" showInputMessage="1" showErrorMessage="1" sqref="E174:R174" xr:uid="{6D14787F-3E5D-40CE-8FA4-180325096202}">
      <formula1>INDIRECT(D167)</formula1>
    </dataValidation>
    <dataValidation type="list" allowBlank="1" showInputMessage="1" showErrorMessage="1" sqref="F88:G93" xr:uid="{73BFD820-A5C9-4F61-A773-DFDC34BE58AA}">
      <formula1>Type_sys</formula1>
    </dataValidation>
    <dataValidation type="list" allowBlank="1" showInputMessage="1" showErrorMessage="1" sqref="AD83:AE83" xr:uid="{8231F0EE-3C0A-44AD-88D7-C14131846127}">
      <formula1>Unite_Surface</formula1>
    </dataValidation>
    <dataValidation type="textLength" errorStyle="information" operator="equal" allowBlank="1" showInputMessage="1" showErrorMessage="1" errorTitle="Code postal" error="Le code postal doit contenir 7 caractères dont un espace au 4e caractère." promptTitle="Code Postal" prompt="Le code postal doit contenir 7 caractères dont un espace au 4e caractère." sqref="AA18:AE18 AA32:AD32 AA47:AD47 AA58:AD58 AA67:AD67" xr:uid="{F79FF92C-96D6-4BEA-AAA4-C6657CF1A30B}">
      <formula1>7</formula1>
    </dataValidation>
    <dataValidation type="list" allowBlank="1" showInputMessage="1" showErrorMessage="1" sqref="E182:H186" xr:uid="{ABCE3F6C-9F90-41EC-BB96-FA61CFBBA998}">
      <formula1>Fin_autre3</formula1>
    </dataValidation>
  </dataValidations>
  <hyperlinks>
    <hyperlink ref="C338:L338" r:id="rId1" display="Faire parvenir ce formulaire en format Excel à : bienergie@energir.com" xr:uid="{B723FEF3-FB27-4239-BAA6-C5E2D00DF7A8}"/>
    <hyperlink ref="C338:AC338" r:id="rId2" display="Faire parvenir ce formulaire en format Excel à : ventescmj@energir.com" xr:uid="{1C22E130-60F5-40A4-B820-033C1C291213}"/>
  </hyperlinks>
  <printOptions horizontalCentered="1"/>
  <pageMargins left="0.39370078740157483" right="0.39370078740157483" top="0.39370078740157483" bottom="0.39370078740157483" header="0.31496062992125984" footer="0.31496062992125984"/>
  <pageSetup paperSize="5" orientation="portrait" r:id="rId3"/>
  <headerFooter>
    <oddFooter>&amp;L&amp;"Arial Narrow,Gras"&amp;8Ministère de l’Environnement, de la Lutte contre les changements climatiques, de la Faune et des Parcs&amp;R&amp;"Arial Narrow,Normal"&amp;8 2024-04-24</oddFooter>
  </headerFooter>
  <cellWatches>
    <cellWatch r="E164"/>
  </cellWatches>
  <drawing r:id="rId4"/>
  <legacyDrawing r:id="rId5"/>
  <mc:AlternateContent xmlns:mc="http://schemas.openxmlformats.org/markup-compatibility/2006">
    <mc:Choice Requires="x14">
      <controls>
        <mc:AlternateContent xmlns:mc="http://schemas.openxmlformats.org/markup-compatibility/2006">
          <mc:Choice Requires="x14">
            <control shapeId="6158" r:id="rId6" name="Check Box 14">
              <controlPr defaultSize="0" autoFill="0" autoLine="0" autoPict="0" macro="[0]!Macro20">
                <anchor moveWithCells="1">
                  <from>
                    <xdr:col>4</xdr:col>
                    <xdr:colOff>247650</xdr:colOff>
                    <xdr:row>8</xdr:row>
                    <xdr:rowOff>260350</xdr:rowOff>
                  </from>
                  <to>
                    <xdr:col>8</xdr:col>
                    <xdr:colOff>184150</xdr:colOff>
                    <xdr:row>16</xdr:row>
                    <xdr:rowOff>0</xdr:rowOff>
                  </to>
                </anchor>
              </controlPr>
            </control>
          </mc:Choice>
        </mc:AlternateContent>
        <mc:AlternateContent xmlns:mc="http://schemas.openxmlformats.org/markup-compatibility/2006">
          <mc:Choice Requires="x14">
            <control shapeId="6179" r:id="rId7" name="Check Box 35">
              <controlPr defaultSize="0" autoFill="0" autoLine="0" autoPict="0" macro="[0]!macro21">
                <anchor moveWithCells="1">
                  <from>
                    <xdr:col>22</xdr:col>
                    <xdr:colOff>1822450</xdr:colOff>
                    <xdr:row>8</xdr:row>
                    <xdr:rowOff>260350</xdr:rowOff>
                  </from>
                  <to>
                    <xdr:col>30</xdr:col>
                    <xdr:colOff>31750</xdr:colOff>
                    <xdr:row>16</xdr:row>
                    <xdr:rowOff>0</xdr:rowOff>
                  </to>
                </anchor>
              </controlPr>
            </control>
          </mc:Choice>
        </mc:AlternateContent>
        <mc:AlternateContent xmlns:mc="http://schemas.openxmlformats.org/markup-compatibility/2006">
          <mc:Choice Requires="x14">
            <control shapeId="6180" r:id="rId8" name="Check Box 36">
              <controlPr defaultSize="0" autoFill="0" autoLine="0" autoPict="0" macro="[0]!Macro10">
                <anchor moveWithCells="1">
                  <from>
                    <xdr:col>30</xdr:col>
                    <xdr:colOff>1314450</xdr:colOff>
                    <xdr:row>8</xdr:row>
                    <xdr:rowOff>2171700</xdr:rowOff>
                  </from>
                  <to>
                    <xdr:col>35</xdr:col>
                    <xdr:colOff>0</xdr:colOff>
                    <xdr:row>16</xdr:row>
                    <xdr:rowOff>0</xdr:rowOff>
                  </to>
                </anchor>
              </controlPr>
            </control>
          </mc:Choice>
        </mc:AlternateContent>
        <mc:AlternateContent xmlns:mc="http://schemas.openxmlformats.org/markup-compatibility/2006">
          <mc:Choice Requires="x14">
            <control shapeId="6181" r:id="rId9" name="Check Box 37">
              <controlPr defaultSize="0" autoFill="0" autoLine="0" autoPict="0" macro="[0]!Macro10">
                <anchor moveWithCells="1">
                  <from>
                    <xdr:col>31</xdr:col>
                    <xdr:colOff>0</xdr:colOff>
                    <xdr:row>9</xdr:row>
                    <xdr:rowOff>469900</xdr:rowOff>
                  </from>
                  <to>
                    <xdr:col>37</xdr:col>
                    <xdr:colOff>0</xdr:colOff>
                    <xdr:row>15</xdr:row>
                    <xdr:rowOff>0</xdr:rowOff>
                  </to>
                </anchor>
              </controlPr>
            </control>
          </mc:Choice>
        </mc:AlternateContent>
        <mc:AlternateContent xmlns:mc="http://schemas.openxmlformats.org/markup-compatibility/2006">
          <mc:Choice Requires="x14">
            <control shapeId="6182" r:id="rId10" name="Check Box 38">
              <controlPr defaultSize="0" autoFill="0" autoLine="0" autoPict="0" macro="[0]!Macro26">
                <anchor moveWithCells="1">
                  <from>
                    <xdr:col>31</xdr:col>
                    <xdr:colOff>0</xdr:colOff>
                    <xdr:row>10</xdr:row>
                    <xdr:rowOff>1028700</xdr:rowOff>
                  </from>
                  <to>
                    <xdr:col>36</xdr:col>
                    <xdr:colOff>0</xdr:colOff>
                    <xdr:row>16</xdr:row>
                    <xdr:rowOff>0</xdr:rowOff>
                  </to>
                </anchor>
              </controlPr>
            </control>
          </mc:Choice>
        </mc:AlternateContent>
        <mc:AlternateContent xmlns:mc="http://schemas.openxmlformats.org/markup-compatibility/2006">
          <mc:Choice Requires="x14">
            <control shapeId="6427" r:id="rId11" name="Check Box 283">
              <controlPr defaultSize="0" autoFill="0" autoLine="0" autoPict="0" macro="[0]!macro22">
                <anchor moveWithCells="1">
                  <from>
                    <xdr:col>30</xdr:col>
                    <xdr:colOff>260350</xdr:colOff>
                    <xdr:row>8</xdr:row>
                    <xdr:rowOff>260350</xdr:rowOff>
                  </from>
                  <to>
                    <xdr:col>35</xdr:col>
                    <xdr:colOff>0</xdr:colOff>
                    <xdr:row>16</xdr:row>
                    <xdr:rowOff>0</xdr:rowOff>
                  </to>
                </anchor>
              </controlPr>
            </control>
          </mc:Choice>
        </mc:AlternateContent>
        <mc:AlternateContent xmlns:mc="http://schemas.openxmlformats.org/markup-compatibility/2006">
          <mc:Choice Requires="x14">
            <control shapeId="6467" r:id="rId12" name="Check Box 323">
              <controlPr defaultSize="0" autoFill="0" autoLine="0" autoPict="0">
                <anchor moveWithCells="1">
                  <from>
                    <xdr:col>2</xdr:col>
                    <xdr:colOff>4667250</xdr:colOff>
                    <xdr:row>213</xdr:row>
                    <xdr:rowOff>2952750</xdr:rowOff>
                  </from>
                  <to>
                    <xdr:col>21</xdr:col>
                    <xdr:colOff>127000</xdr:colOff>
                    <xdr:row>216</xdr:row>
                    <xdr:rowOff>0</xdr:rowOff>
                  </to>
                </anchor>
              </controlPr>
            </control>
          </mc:Choice>
        </mc:AlternateContent>
        <mc:AlternateContent xmlns:mc="http://schemas.openxmlformats.org/markup-compatibility/2006">
          <mc:Choice Requires="x14">
            <control shapeId="6479" r:id="rId13" name="Check Box 335">
              <controlPr defaultSize="0" autoFill="0" autoLine="0" autoPict="0" macro="[0]!Macro9">
                <anchor moveWithCells="1">
                  <from>
                    <xdr:col>4</xdr:col>
                    <xdr:colOff>1885950</xdr:colOff>
                    <xdr:row>9</xdr:row>
                    <xdr:rowOff>412750</xdr:rowOff>
                  </from>
                  <to>
                    <xdr:col>9</xdr:col>
                    <xdr:colOff>184150</xdr:colOff>
                    <xdr:row>15</xdr:row>
                    <xdr:rowOff>12700</xdr:rowOff>
                  </to>
                </anchor>
              </controlPr>
            </control>
          </mc:Choice>
        </mc:AlternateContent>
        <mc:AlternateContent xmlns:mc="http://schemas.openxmlformats.org/markup-compatibility/2006">
          <mc:Choice Requires="x14">
            <control shapeId="6480" r:id="rId14" name="Check Box 336">
              <controlPr defaultSize="0" autoFill="0" autoLine="0" autoPict="0" macro="[0]!Macro27">
                <anchor moveWithCells="1">
                  <from>
                    <xdr:col>4</xdr:col>
                    <xdr:colOff>1885950</xdr:colOff>
                    <xdr:row>10</xdr:row>
                    <xdr:rowOff>1098550</xdr:rowOff>
                  </from>
                  <to>
                    <xdr:col>9</xdr:col>
                    <xdr:colOff>184150</xdr:colOff>
                    <xdr:row>15</xdr:row>
                    <xdr:rowOff>12700</xdr:rowOff>
                  </to>
                </anchor>
              </controlPr>
            </control>
          </mc:Choice>
        </mc:AlternateContent>
        <mc:AlternateContent xmlns:mc="http://schemas.openxmlformats.org/markup-compatibility/2006">
          <mc:Choice Requires="x14">
            <control shapeId="6481" r:id="rId15" name="Check Box 337">
              <controlPr defaultSize="0" autoFill="0" autoLine="0" autoPict="0" macro="[0]!Macro28">
                <anchor moveWithCells="1">
                  <from>
                    <xdr:col>5</xdr:col>
                    <xdr:colOff>171450</xdr:colOff>
                    <xdr:row>11</xdr:row>
                    <xdr:rowOff>1631950</xdr:rowOff>
                  </from>
                  <to>
                    <xdr:col>15</xdr:col>
                    <xdr:colOff>184150</xdr:colOff>
                    <xdr:row>16</xdr:row>
                    <xdr:rowOff>0</xdr:rowOff>
                  </to>
                </anchor>
              </controlPr>
            </control>
          </mc:Choice>
        </mc:AlternateContent>
        <mc:AlternateContent xmlns:mc="http://schemas.openxmlformats.org/markup-compatibility/2006">
          <mc:Choice Requires="x14">
            <control shapeId="6484" r:id="rId16" name="Check Box 340">
              <controlPr defaultSize="0" autoFill="0" autoLine="0" autoPict="0" macro="[0]!macro23">
                <anchor moveWithCells="1">
                  <from>
                    <xdr:col>8</xdr:col>
                    <xdr:colOff>2800350</xdr:colOff>
                    <xdr:row>8</xdr:row>
                    <xdr:rowOff>260350</xdr:rowOff>
                  </from>
                  <to>
                    <xdr:col>16</xdr:col>
                    <xdr:colOff>0</xdr:colOff>
                    <xdr:row>16</xdr:row>
                    <xdr:rowOff>0</xdr:rowOff>
                  </to>
                </anchor>
              </controlPr>
            </control>
          </mc:Choice>
        </mc:AlternateContent>
        <mc:AlternateContent xmlns:mc="http://schemas.openxmlformats.org/markup-compatibility/2006">
          <mc:Choice Requires="x14">
            <control shapeId="6489" r:id="rId17" name="Check Box 345">
              <controlPr defaultSize="0" autoFill="0" autoLine="0" autoPict="0" macro="[0]!macro25">
                <anchor moveWithCells="1">
                  <from>
                    <xdr:col>37</xdr:col>
                    <xdr:colOff>1847850</xdr:colOff>
                    <xdr:row>8</xdr:row>
                    <xdr:rowOff>260350</xdr:rowOff>
                  </from>
                  <to>
                    <xdr:col>44</xdr:col>
                    <xdr:colOff>0</xdr:colOff>
                    <xdr:row>16</xdr:row>
                    <xdr:rowOff>0</xdr:rowOff>
                  </to>
                </anchor>
              </controlPr>
            </control>
          </mc:Choice>
        </mc:AlternateContent>
        <mc:AlternateContent xmlns:mc="http://schemas.openxmlformats.org/markup-compatibility/2006">
          <mc:Choice Requires="x14">
            <control shapeId="6490" r:id="rId18" name="Check Box 346">
              <controlPr defaultSize="0" autoFill="0" autoLine="0" autoPict="0" macro="[0]!Macro13">
                <anchor moveWithCells="1">
                  <from>
                    <xdr:col>38</xdr:col>
                    <xdr:colOff>857250</xdr:colOff>
                    <xdr:row>9</xdr:row>
                    <xdr:rowOff>412750</xdr:rowOff>
                  </from>
                  <to>
                    <xdr:col>45</xdr:col>
                    <xdr:colOff>0</xdr:colOff>
                    <xdr:row>16</xdr:row>
                    <xdr:rowOff>0</xdr:rowOff>
                  </to>
                </anchor>
              </controlPr>
            </control>
          </mc:Choice>
        </mc:AlternateContent>
        <mc:AlternateContent xmlns:mc="http://schemas.openxmlformats.org/markup-compatibility/2006">
          <mc:Choice Requires="x14">
            <control shapeId="6492" r:id="rId19" name="Check Box 348">
              <controlPr defaultSize="0" autoFill="0" autoLine="0" autoPict="0" macro="[0]!macro30">
                <anchor moveWithCells="1">
                  <from>
                    <xdr:col>38</xdr:col>
                    <xdr:colOff>857250</xdr:colOff>
                    <xdr:row>10</xdr:row>
                    <xdr:rowOff>1098550</xdr:rowOff>
                  </from>
                  <to>
                    <xdr:col>44</xdr:col>
                    <xdr:colOff>0</xdr:colOff>
                    <xdr:row>15</xdr:row>
                    <xdr:rowOff>0</xdr:rowOff>
                  </to>
                </anchor>
              </controlPr>
            </control>
          </mc:Choice>
        </mc:AlternateContent>
        <mc:AlternateContent xmlns:mc="http://schemas.openxmlformats.org/markup-compatibility/2006">
          <mc:Choice Requires="x14">
            <control shapeId="6497" r:id="rId20" name="Check Box 353">
              <controlPr defaultSize="0" autoFill="0" autoLine="0" autoPict="0">
                <anchor moveWithCells="1">
                  <from>
                    <xdr:col>7</xdr:col>
                    <xdr:colOff>4933950</xdr:colOff>
                    <xdr:row>31</xdr:row>
                    <xdr:rowOff>3727450</xdr:rowOff>
                  </from>
                  <to>
                    <xdr:col>20</xdr:col>
                    <xdr:colOff>0</xdr:colOff>
                    <xdr:row>35</xdr:row>
                    <xdr:rowOff>0</xdr:rowOff>
                  </to>
                </anchor>
              </controlPr>
            </control>
          </mc:Choice>
        </mc:AlternateContent>
        <mc:AlternateContent xmlns:mc="http://schemas.openxmlformats.org/markup-compatibility/2006">
          <mc:Choice Requires="x14">
            <control shapeId="6499" r:id="rId21" name="Check Box 355">
              <controlPr defaultSize="0" autoFill="0" autoLine="0" autoPict="0">
                <anchor moveWithCells="1">
                  <from>
                    <xdr:col>7</xdr:col>
                    <xdr:colOff>2228850</xdr:colOff>
                    <xdr:row>58</xdr:row>
                    <xdr:rowOff>400050</xdr:rowOff>
                  </from>
                  <to>
                    <xdr:col>20</xdr:col>
                    <xdr:colOff>0</xdr:colOff>
                    <xdr:row>61</xdr:row>
                    <xdr:rowOff>12700</xdr:rowOff>
                  </to>
                </anchor>
              </controlPr>
            </control>
          </mc:Choice>
        </mc:AlternateContent>
        <mc:AlternateContent xmlns:mc="http://schemas.openxmlformats.org/markup-compatibility/2006">
          <mc:Choice Requires="x14">
            <control shapeId="6526" r:id="rId22" name="Check Box 382">
              <controlPr defaultSize="0" autoFill="0" autoLine="0" autoPict="0">
                <anchor moveWithCells="1">
                  <from>
                    <xdr:col>7</xdr:col>
                    <xdr:colOff>165100</xdr:colOff>
                    <xdr:row>68</xdr:row>
                    <xdr:rowOff>0</xdr:rowOff>
                  </from>
                  <to>
                    <xdr:col>28</xdr:col>
                    <xdr:colOff>133350</xdr:colOff>
                    <xdr:row>69</xdr:row>
                    <xdr:rowOff>0</xdr:rowOff>
                  </to>
                </anchor>
              </controlPr>
            </control>
          </mc:Choice>
        </mc:AlternateContent>
        <mc:AlternateContent xmlns:mc="http://schemas.openxmlformats.org/markup-compatibility/2006">
          <mc:Choice Requires="x14">
            <control shapeId="6538" r:id="rId23" name="Check Box 394">
              <controlPr locked="0" defaultSize="0" autoFill="0" autoLine="0" autoPict="0">
                <anchor moveWithCells="1">
                  <from>
                    <xdr:col>30</xdr:col>
                    <xdr:colOff>1765300</xdr:colOff>
                    <xdr:row>17</xdr:row>
                    <xdr:rowOff>3600450</xdr:rowOff>
                  </from>
                  <to>
                    <xdr:col>40</xdr:col>
                    <xdr:colOff>0</xdr:colOff>
                    <xdr:row>20</xdr:row>
                    <xdr:rowOff>171450</xdr:rowOff>
                  </to>
                </anchor>
              </controlPr>
            </control>
          </mc:Choice>
        </mc:AlternateContent>
        <mc:AlternateContent xmlns:mc="http://schemas.openxmlformats.org/markup-compatibility/2006">
          <mc:Choice Requires="x14">
            <control shapeId="6542" r:id="rId24" name="Check Box 398">
              <controlPr defaultSize="0" autoFill="0" autoLine="0" autoPict="0">
                <anchor moveWithCells="1">
                  <from>
                    <xdr:col>9</xdr:col>
                    <xdr:colOff>2876550</xdr:colOff>
                    <xdr:row>120</xdr:row>
                    <xdr:rowOff>3600450</xdr:rowOff>
                  </from>
                  <to>
                    <xdr:col>11</xdr:col>
                    <xdr:colOff>0</xdr:colOff>
                    <xdr:row>156</xdr:row>
                    <xdr:rowOff>0</xdr:rowOff>
                  </to>
                </anchor>
              </controlPr>
            </control>
          </mc:Choice>
        </mc:AlternateContent>
        <mc:AlternateContent xmlns:mc="http://schemas.openxmlformats.org/markup-compatibility/2006">
          <mc:Choice Requires="x14">
            <control shapeId="6543" r:id="rId25" name="Check Box 399">
              <controlPr defaultSize="0" autoFill="0" autoLine="0" autoPict="0">
                <anchor moveWithCells="1">
                  <from>
                    <xdr:col>13</xdr:col>
                    <xdr:colOff>3714750</xdr:colOff>
                    <xdr:row>120</xdr:row>
                    <xdr:rowOff>3600450</xdr:rowOff>
                  </from>
                  <to>
                    <xdr:col>15</xdr:col>
                    <xdr:colOff>0</xdr:colOff>
                    <xdr:row>156</xdr:row>
                    <xdr:rowOff>0</xdr:rowOff>
                  </to>
                </anchor>
              </controlPr>
            </control>
          </mc:Choice>
        </mc:AlternateContent>
        <mc:AlternateContent xmlns:mc="http://schemas.openxmlformats.org/markup-compatibility/2006">
          <mc:Choice Requires="x14">
            <control shapeId="6544" r:id="rId26" name="Check Box 400">
              <controlPr defaultSize="0" autoFill="0" autoLine="0" autoPict="0">
                <anchor moveWithCells="1">
                  <from>
                    <xdr:col>17</xdr:col>
                    <xdr:colOff>3714750</xdr:colOff>
                    <xdr:row>120</xdr:row>
                    <xdr:rowOff>3600450</xdr:rowOff>
                  </from>
                  <to>
                    <xdr:col>20</xdr:col>
                    <xdr:colOff>0</xdr:colOff>
                    <xdr:row>156</xdr:row>
                    <xdr:rowOff>0</xdr:rowOff>
                  </to>
                </anchor>
              </controlPr>
            </control>
          </mc:Choice>
        </mc:AlternateContent>
        <mc:AlternateContent xmlns:mc="http://schemas.openxmlformats.org/markup-compatibility/2006">
          <mc:Choice Requires="x14">
            <control shapeId="6545" r:id="rId27" name="Check Box 401">
              <controlPr defaultSize="0" autoFill="0" autoLine="0" autoPict="0">
                <anchor moveWithCells="1">
                  <from>
                    <xdr:col>21</xdr:col>
                    <xdr:colOff>2584450</xdr:colOff>
                    <xdr:row>120</xdr:row>
                    <xdr:rowOff>3600450</xdr:rowOff>
                  </from>
                  <to>
                    <xdr:col>23</xdr:col>
                    <xdr:colOff>0</xdr:colOff>
                    <xdr:row>156</xdr:row>
                    <xdr:rowOff>0</xdr:rowOff>
                  </to>
                </anchor>
              </controlPr>
            </control>
          </mc:Choice>
        </mc:AlternateContent>
        <mc:AlternateContent xmlns:mc="http://schemas.openxmlformats.org/markup-compatibility/2006">
          <mc:Choice Requires="x14">
            <control shapeId="6546" r:id="rId28" name="Check Box 402">
              <controlPr defaultSize="0" autoFill="0" autoLine="0" autoPict="0">
                <anchor moveWithCells="1">
                  <from>
                    <xdr:col>26</xdr:col>
                    <xdr:colOff>3714750</xdr:colOff>
                    <xdr:row>120</xdr:row>
                    <xdr:rowOff>3600450</xdr:rowOff>
                  </from>
                  <to>
                    <xdr:col>28</xdr:col>
                    <xdr:colOff>31750</xdr:colOff>
                    <xdr:row>156</xdr:row>
                    <xdr:rowOff>0</xdr:rowOff>
                  </to>
                </anchor>
              </controlPr>
            </control>
          </mc:Choice>
        </mc:AlternateContent>
        <mc:AlternateContent xmlns:mc="http://schemas.openxmlformats.org/markup-compatibility/2006">
          <mc:Choice Requires="x14">
            <control shapeId="6547" r:id="rId29" name="Check Box 403">
              <controlPr defaultSize="0" autoFill="0" autoLine="0" autoPict="0">
                <anchor moveWithCells="1">
                  <from>
                    <xdr:col>30</xdr:col>
                    <xdr:colOff>3536950</xdr:colOff>
                    <xdr:row>120</xdr:row>
                    <xdr:rowOff>3600450</xdr:rowOff>
                  </from>
                  <to>
                    <xdr:col>32</xdr:col>
                    <xdr:colOff>0</xdr:colOff>
                    <xdr:row>156</xdr:row>
                    <xdr:rowOff>0</xdr:rowOff>
                  </to>
                </anchor>
              </controlPr>
            </control>
          </mc:Choice>
        </mc:AlternateContent>
        <mc:AlternateContent xmlns:mc="http://schemas.openxmlformats.org/markup-compatibility/2006">
          <mc:Choice Requires="x14">
            <control shapeId="6548" r:id="rId30" name="Check Box 404">
              <controlPr defaultSize="0" autoFill="0" autoLine="0" autoPict="0">
                <anchor moveWithCells="1">
                  <from>
                    <xdr:col>35</xdr:col>
                    <xdr:colOff>2800350</xdr:colOff>
                    <xdr:row>120</xdr:row>
                    <xdr:rowOff>3600450</xdr:rowOff>
                  </from>
                  <to>
                    <xdr:col>37</xdr:col>
                    <xdr:colOff>0</xdr:colOff>
                    <xdr:row>156</xdr:row>
                    <xdr:rowOff>0</xdr:rowOff>
                  </to>
                </anchor>
              </controlPr>
            </control>
          </mc:Choice>
        </mc:AlternateContent>
        <mc:AlternateContent xmlns:mc="http://schemas.openxmlformats.org/markup-compatibility/2006">
          <mc:Choice Requires="x14">
            <control shapeId="6549" r:id="rId31" name="Check Box 405">
              <controlPr defaultSize="0" autoFill="0" autoLine="0" autoPict="0">
                <anchor moveWithCells="1">
                  <from>
                    <xdr:col>38</xdr:col>
                    <xdr:colOff>704850</xdr:colOff>
                    <xdr:row>120</xdr:row>
                    <xdr:rowOff>3600450</xdr:rowOff>
                  </from>
                  <to>
                    <xdr:col>40</xdr:col>
                    <xdr:colOff>0</xdr:colOff>
                    <xdr:row>156</xdr:row>
                    <xdr:rowOff>0</xdr:rowOff>
                  </to>
                </anchor>
              </controlPr>
            </control>
          </mc:Choice>
        </mc:AlternateContent>
        <mc:AlternateContent xmlns:mc="http://schemas.openxmlformats.org/markup-compatibility/2006">
          <mc:Choice Requires="x14">
            <control shapeId="6569" r:id="rId32" name="Check Box 425">
              <controlPr defaultSize="0" autoFill="0" autoLine="0" autoPict="0">
                <anchor moveWithCells="1">
                  <from>
                    <xdr:col>8</xdr:col>
                    <xdr:colOff>3829050</xdr:colOff>
                    <xdr:row>122</xdr:row>
                    <xdr:rowOff>755650</xdr:rowOff>
                  </from>
                  <to>
                    <xdr:col>10</xdr:col>
                    <xdr:colOff>0</xdr:colOff>
                    <xdr:row>156</xdr:row>
                    <xdr:rowOff>12700</xdr:rowOff>
                  </to>
                </anchor>
              </controlPr>
            </control>
          </mc:Choice>
        </mc:AlternateContent>
        <mc:AlternateContent xmlns:mc="http://schemas.openxmlformats.org/markup-compatibility/2006">
          <mc:Choice Requires="x14">
            <control shapeId="6570" r:id="rId33" name="Check Box 426">
              <controlPr defaultSize="0" autoFill="0" autoLine="0" autoPict="0">
                <anchor moveWithCells="1">
                  <from>
                    <xdr:col>9</xdr:col>
                    <xdr:colOff>2800350</xdr:colOff>
                    <xdr:row>124</xdr:row>
                    <xdr:rowOff>3879850</xdr:rowOff>
                  </from>
                  <to>
                    <xdr:col>11</xdr:col>
                    <xdr:colOff>0</xdr:colOff>
                    <xdr:row>156</xdr:row>
                    <xdr:rowOff>0</xdr:rowOff>
                  </to>
                </anchor>
              </controlPr>
            </control>
          </mc:Choice>
        </mc:AlternateContent>
        <mc:AlternateContent xmlns:mc="http://schemas.openxmlformats.org/markup-compatibility/2006">
          <mc:Choice Requires="x14">
            <control shapeId="6571" r:id="rId34" name="Check Box 427">
              <controlPr defaultSize="0" autoFill="0" autoLine="0" autoPict="0">
                <anchor moveWithCells="1">
                  <from>
                    <xdr:col>13</xdr:col>
                    <xdr:colOff>2800350</xdr:colOff>
                    <xdr:row>124</xdr:row>
                    <xdr:rowOff>3879850</xdr:rowOff>
                  </from>
                  <to>
                    <xdr:col>15</xdr:col>
                    <xdr:colOff>0</xdr:colOff>
                    <xdr:row>156</xdr:row>
                    <xdr:rowOff>0</xdr:rowOff>
                  </to>
                </anchor>
              </controlPr>
            </control>
          </mc:Choice>
        </mc:AlternateContent>
        <mc:AlternateContent xmlns:mc="http://schemas.openxmlformats.org/markup-compatibility/2006">
          <mc:Choice Requires="x14">
            <control shapeId="6572" r:id="rId35" name="Check Box 428">
              <controlPr defaultSize="0" autoFill="0" autoLine="0" autoPict="0">
                <anchor moveWithCells="1">
                  <from>
                    <xdr:col>17</xdr:col>
                    <xdr:colOff>2800350</xdr:colOff>
                    <xdr:row>124</xdr:row>
                    <xdr:rowOff>3879850</xdr:rowOff>
                  </from>
                  <to>
                    <xdr:col>19</xdr:col>
                    <xdr:colOff>0</xdr:colOff>
                    <xdr:row>156</xdr:row>
                    <xdr:rowOff>0</xdr:rowOff>
                  </to>
                </anchor>
              </controlPr>
            </control>
          </mc:Choice>
        </mc:AlternateContent>
        <mc:AlternateContent xmlns:mc="http://schemas.openxmlformats.org/markup-compatibility/2006">
          <mc:Choice Requires="x14">
            <control shapeId="6573" r:id="rId36" name="Check Box 429">
              <controlPr defaultSize="0" autoFill="0" autoLine="0" autoPict="0">
                <anchor moveWithCells="1">
                  <from>
                    <xdr:col>21</xdr:col>
                    <xdr:colOff>2228850</xdr:colOff>
                    <xdr:row>124</xdr:row>
                    <xdr:rowOff>3879850</xdr:rowOff>
                  </from>
                  <to>
                    <xdr:col>23</xdr:col>
                    <xdr:colOff>0</xdr:colOff>
                    <xdr:row>156</xdr:row>
                    <xdr:rowOff>0</xdr:rowOff>
                  </to>
                </anchor>
              </controlPr>
            </control>
          </mc:Choice>
        </mc:AlternateContent>
        <mc:AlternateContent xmlns:mc="http://schemas.openxmlformats.org/markup-compatibility/2006">
          <mc:Choice Requires="x14">
            <control shapeId="6574" r:id="rId37" name="Check Box 430">
              <controlPr defaultSize="0" autoFill="0" autoLine="0" autoPict="0">
                <anchor moveWithCells="1">
                  <from>
                    <xdr:col>26</xdr:col>
                    <xdr:colOff>3524250</xdr:colOff>
                    <xdr:row>124</xdr:row>
                    <xdr:rowOff>3879850</xdr:rowOff>
                  </from>
                  <to>
                    <xdr:col>28</xdr:col>
                    <xdr:colOff>31750</xdr:colOff>
                    <xdr:row>156</xdr:row>
                    <xdr:rowOff>0</xdr:rowOff>
                  </to>
                </anchor>
              </controlPr>
            </control>
          </mc:Choice>
        </mc:AlternateContent>
        <mc:AlternateContent xmlns:mc="http://schemas.openxmlformats.org/markup-compatibility/2006">
          <mc:Choice Requires="x14">
            <control shapeId="6575" r:id="rId38" name="Check Box 431">
              <controlPr defaultSize="0" autoFill="0" autoLine="0" autoPict="0">
                <anchor moveWithCells="1">
                  <from>
                    <xdr:col>30</xdr:col>
                    <xdr:colOff>3536950</xdr:colOff>
                    <xdr:row>124</xdr:row>
                    <xdr:rowOff>3879850</xdr:rowOff>
                  </from>
                  <to>
                    <xdr:col>32</xdr:col>
                    <xdr:colOff>0</xdr:colOff>
                    <xdr:row>156</xdr:row>
                    <xdr:rowOff>0</xdr:rowOff>
                  </to>
                </anchor>
              </controlPr>
            </control>
          </mc:Choice>
        </mc:AlternateContent>
        <mc:AlternateContent xmlns:mc="http://schemas.openxmlformats.org/markup-compatibility/2006">
          <mc:Choice Requires="x14">
            <control shapeId="6576" r:id="rId39" name="Check Box 432">
              <controlPr defaultSize="0" autoFill="0" autoLine="0" autoPict="0">
                <anchor moveWithCells="1">
                  <from>
                    <xdr:col>35</xdr:col>
                    <xdr:colOff>2876550</xdr:colOff>
                    <xdr:row>124</xdr:row>
                    <xdr:rowOff>3879850</xdr:rowOff>
                  </from>
                  <to>
                    <xdr:col>37</xdr:col>
                    <xdr:colOff>0</xdr:colOff>
                    <xdr:row>156</xdr:row>
                    <xdr:rowOff>0</xdr:rowOff>
                  </to>
                </anchor>
              </controlPr>
            </control>
          </mc:Choice>
        </mc:AlternateContent>
        <mc:AlternateContent xmlns:mc="http://schemas.openxmlformats.org/markup-compatibility/2006">
          <mc:Choice Requires="x14">
            <control shapeId="6577" r:id="rId40" name="Check Box 433">
              <controlPr defaultSize="0" autoFill="0" autoLine="0" autoPict="0">
                <anchor moveWithCells="1">
                  <from>
                    <xdr:col>38</xdr:col>
                    <xdr:colOff>279400</xdr:colOff>
                    <xdr:row>124</xdr:row>
                    <xdr:rowOff>3879850</xdr:rowOff>
                  </from>
                  <to>
                    <xdr:col>40</xdr:col>
                    <xdr:colOff>0</xdr:colOff>
                    <xdr:row>156</xdr:row>
                    <xdr:rowOff>0</xdr:rowOff>
                  </to>
                </anchor>
              </controlPr>
            </control>
          </mc:Choice>
        </mc:AlternateContent>
        <mc:AlternateContent xmlns:mc="http://schemas.openxmlformats.org/markup-compatibility/2006">
          <mc:Choice Requires="x14">
            <control shapeId="6579" r:id="rId41" name="Check Box 435">
              <controlPr defaultSize="0" autoFill="0" autoLine="0" autoPict="0">
                <anchor moveWithCells="1">
                  <from>
                    <xdr:col>8</xdr:col>
                    <xdr:colOff>3829050</xdr:colOff>
                    <xdr:row>126</xdr:row>
                    <xdr:rowOff>400050</xdr:rowOff>
                  </from>
                  <to>
                    <xdr:col>10</xdr:col>
                    <xdr:colOff>0</xdr:colOff>
                    <xdr:row>156</xdr:row>
                    <xdr:rowOff>0</xdr:rowOff>
                  </to>
                </anchor>
              </controlPr>
            </control>
          </mc:Choice>
        </mc:AlternateContent>
        <mc:AlternateContent xmlns:mc="http://schemas.openxmlformats.org/markup-compatibility/2006">
          <mc:Choice Requires="x14">
            <control shapeId="6580" r:id="rId42" name="Check Box 436">
              <controlPr defaultSize="0" autoFill="0" autoLine="0" autoPict="0">
                <anchor moveWithCells="1">
                  <from>
                    <xdr:col>9</xdr:col>
                    <xdr:colOff>2876550</xdr:colOff>
                    <xdr:row>128</xdr:row>
                    <xdr:rowOff>4051300</xdr:rowOff>
                  </from>
                  <to>
                    <xdr:col>11</xdr:col>
                    <xdr:colOff>0</xdr:colOff>
                    <xdr:row>156</xdr:row>
                    <xdr:rowOff>0</xdr:rowOff>
                  </to>
                </anchor>
              </controlPr>
            </control>
          </mc:Choice>
        </mc:AlternateContent>
        <mc:AlternateContent xmlns:mc="http://schemas.openxmlformats.org/markup-compatibility/2006">
          <mc:Choice Requires="x14">
            <control shapeId="6581" r:id="rId43" name="Check Box 437">
              <controlPr defaultSize="0" autoFill="0" autoLine="0" autoPict="0">
                <anchor moveWithCells="1">
                  <from>
                    <xdr:col>13</xdr:col>
                    <xdr:colOff>2876550</xdr:colOff>
                    <xdr:row>128</xdr:row>
                    <xdr:rowOff>4051300</xdr:rowOff>
                  </from>
                  <to>
                    <xdr:col>15</xdr:col>
                    <xdr:colOff>0</xdr:colOff>
                    <xdr:row>156</xdr:row>
                    <xdr:rowOff>0</xdr:rowOff>
                  </to>
                </anchor>
              </controlPr>
            </control>
          </mc:Choice>
        </mc:AlternateContent>
        <mc:AlternateContent xmlns:mc="http://schemas.openxmlformats.org/markup-compatibility/2006">
          <mc:Choice Requires="x14">
            <control shapeId="6582" r:id="rId44" name="Check Box 438">
              <controlPr defaultSize="0" autoFill="0" autoLine="0" autoPict="0">
                <anchor moveWithCells="1">
                  <from>
                    <xdr:col>17</xdr:col>
                    <xdr:colOff>2876550</xdr:colOff>
                    <xdr:row>128</xdr:row>
                    <xdr:rowOff>4051300</xdr:rowOff>
                  </from>
                  <to>
                    <xdr:col>19</xdr:col>
                    <xdr:colOff>0</xdr:colOff>
                    <xdr:row>156</xdr:row>
                    <xdr:rowOff>0</xdr:rowOff>
                  </to>
                </anchor>
              </controlPr>
            </control>
          </mc:Choice>
        </mc:AlternateContent>
        <mc:AlternateContent xmlns:mc="http://schemas.openxmlformats.org/markup-compatibility/2006">
          <mc:Choice Requires="x14">
            <control shapeId="6583" r:id="rId45" name="Check Box 439">
              <controlPr defaultSize="0" autoFill="0" autoLine="0" autoPict="0">
                <anchor moveWithCells="1">
                  <from>
                    <xdr:col>21</xdr:col>
                    <xdr:colOff>2584450</xdr:colOff>
                    <xdr:row>128</xdr:row>
                    <xdr:rowOff>4051300</xdr:rowOff>
                  </from>
                  <to>
                    <xdr:col>23</xdr:col>
                    <xdr:colOff>0</xdr:colOff>
                    <xdr:row>156</xdr:row>
                    <xdr:rowOff>0</xdr:rowOff>
                  </to>
                </anchor>
              </controlPr>
            </control>
          </mc:Choice>
        </mc:AlternateContent>
        <mc:AlternateContent xmlns:mc="http://schemas.openxmlformats.org/markup-compatibility/2006">
          <mc:Choice Requires="x14">
            <control shapeId="6584" r:id="rId46" name="Check Box 440">
              <controlPr defaultSize="0" autoFill="0" autoLine="0" autoPict="0">
                <anchor moveWithCells="1">
                  <from>
                    <xdr:col>26</xdr:col>
                    <xdr:colOff>3714750</xdr:colOff>
                    <xdr:row>128</xdr:row>
                    <xdr:rowOff>4051300</xdr:rowOff>
                  </from>
                  <to>
                    <xdr:col>28</xdr:col>
                    <xdr:colOff>31750</xdr:colOff>
                    <xdr:row>156</xdr:row>
                    <xdr:rowOff>0</xdr:rowOff>
                  </to>
                </anchor>
              </controlPr>
            </control>
          </mc:Choice>
        </mc:AlternateContent>
        <mc:AlternateContent xmlns:mc="http://schemas.openxmlformats.org/markup-compatibility/2006">
          <mc:Choice Requires="x14">
            <control shapeId="6585" r:id="rId47" name="Check Box 441">
              <controlPr defaultSize="0" autoFill="0" autoLine="0" autoPict="0">
                <anchor moveWithCells="1">
                  <from>
                    <xdr:col>30</xdr:col>
                    <xdr:colOff>3638550</xdr:colOff>
                    <xdr:row>128</xdr:row>
                    <xdr:rowOff>4051300</xdr:rowOff>
                  </from>
                  <to>
                    <xdr:col>32</xdr:col>
                    <xdr:colOff>0</xdr:colOff>
                    <xdr:row>156</xdr:row>
                    <xdr:rowOff>0</xdr:rowOff>
                  </to>
                </anchor>
              </controlPr>
            </control>
          </mc:Choice>
        </mc:AlternateContent>
        <mc:AlternateContent xmlns:mc="http://schemas.openxmlformats.org/markup-compatibility/2006">
          <mc:Choice Requires="x14">
            <control shapeId="6586" r:id="rId48" name="Check Box 442">
              <controlPr defaultSize="0" autoFill="0" autoLine="0" autoPict="0">
                <anchor moveWithCells="1">
                  <from>
                    <xdr:col>38</xdr:col>
                    <xdr:colOff>704850</xdr:colOff>
                    <xdr:row>128</xdr:row>
                    <xdr:rowOff>3879850</xdr:rowOff>
                  </from>
                  <to>
                    <xdr:col>40</xdr:col>
                    <xdr:colOff>0</xdr:colOff>
                    <xdr:row>156</xdr:row>
                    <xdr:rowOff>0</xdr:rowOff>
                  </to>
                </anchor>
              </controlPr>
            </control>
          </mc:Choice>
        </mc:AlternateContent>
        <mc:AlternateContent xmlns:mc="http://schemas.openxmlformats.org/markup-compatibility/2006">
          <mc:Choice Requires="x14">
            <control shapeId="6587" r:id="rId49" name="Check Box 443">
              <controlPr defaultSize="0" autoFill="0" autoLine="0" autoPict="0">
                <anchor moveWithCells="1">
                  <from>
                    <xdr:col>35</xdr:col>
                    <xdr:colOff>2876550</xdr:colOff>
                    <xdr:row>128</xdr:row>
                    <xdr:rowOff>3879850</xdr:rowOff>
                  </from>
                  <to>
                    <xdr:col>37</xdr:col>
                    <xdr:colOff>0</xdr:colOff>
                    <xdr:row>156</xdr:row>
                    <xdr:rowOff>0</xdr:rowOff>
                  </to>
                </anchor>
              </controlPr>
            </control>
          </mc:Choice>
        </mc:AlternateContent>
        <mc:AlternateContent xmlns:mc="http://schemas.openxmlformats.org/markup-compatibility/2006">
          <mc:Choice Requires="x14">
            <control shapeId="6630" r:id="rId50" name="Option Button 486">
              <controlPr defaultSize="0" autoFill="0" autoLine="0" autoPict="0">
                <anchor moveWithCells="1">
                  <from>
                    <xdr:col>31</xdr:col>
                    <xdr:colOff>50800</xdr:colOff>
                    <xdr:row>68</xdr:row>
                    <xdr:rowOff>95250</xdr:rowOff>
                  </from>
                  <to>
                    <xdr:col>44</xdr:col>
                    <xdr:colOff>57150</xdr:colOff>
                    <xdr:row>69</xdr:row>
                    <xdr:rowOff>57150</xdr:rowOff>
                  </to>
                </anchor>
              </controlPr>
            </control>
          </mc:Choice>
        </mc:AlternateContent>
        <mc:AlternateContent xmlns:mc="http://schemas.openxmlformats.org/markup-compatibility/2006">
          <mc:Choice Requires="x14">
            <control shapeId="6631" r:id="rId51" name="Option Button 487">
              <controlPr defaultSize="0" autoFill="0" autoLine="0" autoPict="0">
                <anchor moveWithCells="1">
                  <from>
                    <xdr:col>27</xdr:col>
                    <xdr:colOff>171450</xdr:colOff>
                    <xdr:row>68</xdr:row>
                    <xdr:rowOff>95250</xdr:rowOff>
                  </from>
                  <to>
                    <xdr:col>30</xdr:col>
                    <xdr:colOff>0</xdr:colOff>
                    <xdr:row>69</xdr:row>
                    <xdr:rowOff>57150</xdr:rowOff>
                  </to>
                </anchor>
              </controlPr>
            </control>
          </mc:Choice>
        </mc:AlternateContent>
        <mc:AlternateContent xmlns:mc="http://schemas.openxmlformats.org/markup-compatibility/2006">
          <mc:Choice Requires="x14">
            <control shapeId="6687" r:id="rId52" name="Check Box 543">
              <controlPr defaultSize="0" autoFill="0" autoLine="0" autoPict="0" macro="[0]!macro36">
                <anchor moveWithCells="1">
                  <from>
                    <xdr:col>30</xdr:col>
                    <xdr:colOff>1314450</xdr:colOff>
                    <xdr:row>10</xdr:row>
                    <xdr:rowOff>1924050</xdr:rowOff>
                  </from>
                  <to>
                    <xdr:col>45</xdr:col>
                    <xdr:colOff>0</xdr:colOff>
                    <xdr:row>16</xdr:row>
                    <xdr:rowOff>0</xdr:rowOff>
                  </to>
                </anchor>
              </controlPr>
            </control>
          </mc:Choice>
        </mc:AlternateContent>
        <mc:AlternateContent xmlns:mc="http://schemas.openxmlformats.org/markup-compatibility/2006">
          <mc:Choice Requires="x14">
            <control shapeId="6688" r:id="rId53" name="Check Box 544">
              <controlPr defaultSize="0" autoFill="0" autoLine="0" autoPict="0" macro="[0]!macro35">
                <anchor moveWithCells="1">
                  <from>
                    <xdr:col>5</xdr:col>
                    <xdr:colOff>171450</xdr:colOff>
                    <xdr:row>9</xdr:row>
                    <xdr:rowOff>1962150</xdr:rowOff>
                  </from>
                  <to>
                    <xdr:col>12</xdr:col>
                    <xdr:colOff>184150</xdr:colOff>
                    <xdr:row>16</xdr:row>
                    <xdr:rowOff>0</xdr:rowOff>
                  </to>
                </anchor>
              </controlPr>
            </control>
          </mc:Choice>
        </mc:AlternateContent>
        <mc:AlternateContent xmlns:mc="http://schemas.openxmlformats.org/markup-compatibility/2006">
          <mc:Choice Requires="x14">
            <control shapeId="6733" r:id="rId54" name="Check Box 589">
              <controlPr defaultSize="0" autoFill="0" autoLine="0" autoPict="0">
                <anchor moveWithCells="1">
                  <from>
                    <xdr:col>31</xdr:col>
                    <xdr:colOff>5848350</xdr:colOff>
                    <xdr:row>99</xdr:row>
                    <xdr:rowOff>3727450</xdr:rowOff>
                  </from>
                  <to>
                    <xdr:col>44</xdr:col>
                    <xdr:colOff>0</xdr:colOff>
                    <xdr:row>107</xdr:row>
                    <xdr:rowOff>12700</xdr:rowOff>
                  </to>
                </anchor>
              </controlPr>
            </control>
          </mc:Choice>
        </mc:AlternateContent>
        <mc:AlternateContent xmlns:mc="http://schemas.openxmlformats.org/markup-compatibility/2006">
          <mc:Choice Requires="x14">
            <control shapeId="6750" r:id="rId55" name="Check Box 606">
              <controlPr defaultSize="0" autoFill="0" autoLine="0" autoPict="0" macro="[0]!macro37">
                <anchor moveWithCells="1">
                  <from>
                    <xdr:col>15</xdr:col>
                    <xdr:colOff>2228850</xdr:colOff>
                    <xdr:row>8</xdr:row>
                    <xdr:rowOff>260350</xdr:rowOff>
                  </from>
                  <to>
                    <xdr:col>22</xdr:col>
                    <xdr:colOff>0</xdr:colOff>
                    <xdr:row>16</xdr:row>
                    <xdr:rowOff>0</xdr:rowOff>
                  </to>
                </anchor>
              </controlPr>
            </control>
          </mc:Choice>
        </mc:AlternateContent>
        <mc:AlternateContent xmlns:mc="http://schemas.openxmlformats.org/markup-compatibility/2006">
          <mc:Choice Requires="x14">
            <control shapeId="121214" r:id="rId56" name="Check Box 20862">
              <controlPr defaultSize="0" autoFill="0" autoLine="0" autoPict="0">
                <anchor moveWithCells="1" sizeWithCells="1">
                  <from>
                    <xdr:col>4</xdr:col>
                    <xdr:colOff>38100</xdr:colOff>
                    <xdr:row>188</xdr:row>
                    <xdr:rowOff>1727200</xdr:rowOff>
                  </from>
                  <to>
                    <xdr:col>5</xdr:col>
                    <xdr:colOff>69850</xdr:colOff>
                    <xdr:row>188</xdr:row>
                    <xdr:rowOff>1936750</xdr:rowOff>
                  </to>
                </anchor>
              </controlPr>
            </control>
          </mc:Choice>
        </mc:AlternateContent>
        <mc:AlternateContent xmlns:mc="http://schemas.openxmlformats.org/markup-compatibility/2006">
          <mc:Choice Requires="x14">
            <control shapeId="57141" r:id="rId57" name="Check Box 10037">
              <controlPr defaultSize="0" autoFill="0" autoLine="0" autoPict="0">
                <anchor moveWithCells="1" sizeWithCells="1">
                  <from>
                    <xdr:col>4</xdr:col>
                    <xdr:colOff>38100</xdr:colOff>
                    <xdr:row>188</xdr:row>
                    <xdr:rowOff>2070100</xdr:rowOff>
                  </from>
                  <to>
                    <xdr:col>5</xdr:col>
                    <xdr:colOff>76200</xdr:colOff>
                    <xdr:row>188</xdr:row>
                    <xdr:rowOff>2279650</xdr:rowOff>
                  </to>
                </anchor>
              </controlPr>
            </control>
          </mc:Choice>
        </mc:AlternateContent>
        <mc:AlternateContent xmlns:mc="http://schemas.openxmlformats.org/markup-compatibility/2006">
          <mc:Choice Requires="x14">
            <control shapeId="54075" r:id="rId58" name="Check Box 9019">
              <controlPr defaultSize="0" autoFill="0" autoLine="0" autoPict="0">
                <anchor moveWithCells="1" sizeWithCells="1">
                  <from>
                    <xdr:col>4</xdr:col>
                    <xdr:colOff>50800</xdr:colOff>
                    <xdr:row>188</xdr:row>
                    <xdr:rowOff>1327150</xdr:rowOff>
                  </from>
                  <to>
                    <xdr:col>5</xdr:col>
                    <xdr:colOff>88900</xdr:colOff>
                    <xdr:row>188</xdr:row>
                    <xdr:rowOff>1536700</xdr:rowOff>
                  </to>
                </anchor>
              </controlPr>
            </control>
          </mc:Choice>
        </mc:AlternateContent>
        <mc:AlternateContent xmlns:mc="http://schemas.openxmlformats.org/markup-compatibility/2006">
          <mc:Choice Requires="x14">
            <control shapeId="53197" r:id="rId59" name="Check Box 8141">
              <controlPr defaultSize="0" autoFill="0" autoLine="0" autoPict="0">
                <anchor moveWithCells="1" sizeWithCells="1">
                  <from>
                    <xdr:col>4</xdr:col>
                    <xdr:colOff>38100</xdr:colOff>
                    <xdr:row>188</xdr:row>
                    <xdr:rowOff>946150</xdr:rowOff>
                  </from>
                  <to>
                    <xdr:col>5</xdr:col>
                    <xdr:colOff>76200</xdr:colOff>
                    <xdr:row>188</xdr:row>
                    <xdr:rowOff>1155700</xdr:rowOff>
                  </to>
                </anchor>
              </controlPr>
            </control>
          </mc:Choice>
        </mc:AlternateContent>
        <mc:AlternateContent xmlns:mc="http://schemas.openxmlformats.org/markup-compatibility/2006">
          <mc:Choice Requires="x14">
            <control shapeId="53195" r:id="rId60" name="Check Box 8139">
              <controlPr defaultSize="0" autoFill="0" autoLine="0" autoPict="0">
                <anchor moveWithCells="1" sizeWithCells="1">
                  <from>
                    <xdr:col>4</xdr:col>
                    <xdr:colOff>50800</xdr:colOff>
                    <xdr:row>188</xdr:row>
                    <xdr:rowOff>114300</xdr:rowOff>
                  </from>
                  <to>
                    <xdr:col>5</xdr:col>
                    <xdr:colOff>95250</xdr:colOff>
                    <xdr:row>188</xdr:row>
                    <xdr:rowOff>323850</xdr:rowOff>
                  </to>
                </anchor>
              </controlPr>
            </control>
          </mc:Choice>
        </mc:AlternateContent>
        <mc:AlternateContent xmlns:mc="http://schemas.openxmlformats.org/markup-compatibility/2006">
          <mc:Choice Requires="x14">
            <control shapeId="53194" r:id="rId61" name="Check Box 8138">
              <controlPr defaultSize="0" autoFill="0" autoLine="0" autoPict="0">
                <anchor moveWithCells="1" sizeWithCells="1">
                  <from>
                    <xdr:col>4</xdr:col>
                    <xdr:colOff>38100</xdr:colOff>
                    <xdr:row>188</xdr:row>
                    <xdr:rowOff>609600</xdr:rowOff>
                  </from>
                  <to>
                    <xdr:col>5</xdr:col>
                    <xdr:colOff>69850</xdr:colOff>
                    <xdr:row>188</xdr:row>
                    <xdr:rowOff>812800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9CC92-63AF-4AA8-8137-4A7820E82BD1}">
  <sheetPr codeName="Feuil4">
    <tabColor rgb="FF00B0F0"/>
    <pageSetUpPr autoPageBreaks="0" fitToPage="1"/>
  </sheetPr>
  <dimension ref="B1:CJ483"/>
  <sheetViews>
    <sheetView showGridLines="0" topLeftCell="H1" zoomScaleNormal="100" workbookViewId="0">
      <selection activeCell="R18" sqref="R18"/>
    </sheetView>
  </sheetViews>
  <sheetFormatPr baseColWidth="10" defaultRowHeight="12.5"/>
  <cols>
    <col min="1" max="2" width="2.7265625" customWidth="1"/>
    <col min="3" max="3" width="8.54296875" customWidth="1"/>
    <col min="4" max="4" width="29.7265625" customWidth="1"/>
    <col min="5" max="5" width="12.7265625" customWidth="1"/>
    <col min="6" max="6" width="9.54296875" customWidth="1"/>
    <col min="7" max="7" width="7.54296875" customWidth="1"/>
    <col min="8" max="8" width="13.453125" customWidth="1"/>
    <col min="9" max="9" width="6" customWidth="1"/>
    <col min="10" max="10" width="6" hidden="1" customWidth="1"/>
    <col min="11" max="11" width="8" customWidth="1"/>
    <col min="12" max="12" width="10.7265625" customWidth="1"/>
    <col min="13" max="13" width="9.54296875" hidden="1" customWidth="1"/>
    <col min="14" max="14" width="9.453125" customWidth="1"/>
    <col min="15" max="15" width="9" customWidth="1"/>
    <col min="16" max="16" width="9.7265625" bestFit="1" customWidth="1"/>
    <col min="17" max="17" width="9" customWidth="1"/>
    <col min="18" max="18" width="10" customWidth="1"/>
    <col min="19" max="21" width="10.453125" customWidth="1"/>
    <col min="22" max="22" width="9.7265625" customWidth="1"/>
    <col min="23" max="23" width="9.26953125" customWidth="1"/>
    <col min="24" max="24" width="7.7265625" customWidth="1"/>
    <col min="25" max="25" width="6.7265625" hidden="1" customWidth="1"/>
    <col min="26" max="26" width="6.453125" hidden="1" customWidth="1"/>
    <col min="27" max="27" width="5.453125" customWidth="1"/>
    <col min="28" max="28" width="4.81640625" customWidth="1"/>
    <col min="29" max="35" width="4.81640625" hidden="1" customWidth="1"/>
    <col min="36" max="39" width="4.81640625" style="201" hidden="1" customWidth="1"/>
    <col min="40" max="40" width="12.26953125" style="201" hidden="1" customWidth="1"/>
    <col min="41" max="43" width="4.81640625" style="201" hidden="1" customWidth="1"/>
    <col min="44" max="44" width="12.7265625" style="201" hidden="1" customWidth="1"/>
    <col min="45" max="45" width="4.81640625" style="201" hidden="1" customWidth="1"/>
    <col min="46" max="46" width="20" style="201" hidden="1" customWidth="1"/>
    <col min="47" max="48" width="4.81640625" hidden="1" customWidth="1"/>
    <col min="49" max="49" width="4.81640625" style="51" hidden="1" customWidth="1"/>
    <col min="50" max="50" width="4.81640625" hidden="1" customWidth="1"/>
    <col min="51" max="52" width="12.54296875" hidden="1" customWidth="1"/>
    <col min="53" max="53" width="4.453125" customWidth="1"/>
    <col min="54" max="55" width="12.54296875" style="476" customWidth="1"/>
    <col min="56" max="88" width="11.453125" style="476" customWidth="1"/>
  </cols>
  <sheetData>
    <row r="1" spans="2:88" ht="13.5" customHeight="1"/>
    <row r="2" spans="2:88" ht="26.25" customHeight="1">
      <c r="B2" s="417" t="s">
        <v>5526</v>
      </c>
      <c r="L2" s="677"/>
    </row>
    <row r="3" spans="2:88" ht="18" customHeight="1">
      <c r="B3" s="418" t="s">
        <v>5524</v>
      </c>
    </row>
    <row r="4" spans="2:88" ht="18" customHeight="1">
      <c r="D4" s="286" t="s">
        <v>908</v>
      </c>
      <c r="E4" s="258"/>
    </row>
    <row r="5" spans="2:88" ht="18" customHeight="1">
      <c r="C5" s="21"/>
      <c r="E5" s="257"/>
    </row>
    <row r="6" spans="2:88" ht="13">
      <c r="C6" s="259"/>
    </row>
    <row r="7" spans="2:88" ht="15.5">
      <c r="C7" s="21"/>
      <c r="W7" s="13"/>
      <c r="AD7" s="14"/>
      <c r="AE7" s="14"/>
      <c r="AF7" s="14"/>
    </row>
    <row r="8" spans="2:88">
      <c r="C8" s="28"/>
      <c r="D8" s="264" t="s">
        <v>5373</v>
      </c>
      <c r="E8" s="1372" t="str">
        <f>IF('1. Demande'!I14="","",'1. Demande'!I14)</f>
        <v/>
      </c>
      <c r="F8" s="1372"/>
      <c r="G8" s="1372"/>
      <c r="H8" s="1372"/>
      <c r="I8" s="1372"/>
      <c r="S8" s="22" t="s">
        <v>143</v>
      </c>
      <c r="T8" s="1361" t="str">
        <f>CONCATENATE(IF('1. Demande'!N39="","",'1. Demande'!N39)," ",IF('1. Demande'!AD39="","",'1. Demande'!AD39))</f>
        <v xml:space="preserve"> </v>
      </c>
      <c r="U8" s="1361"/>
      <c r="V8" s="1361"/>
      <c r="W8" s="1361"/>
      <c r="X8" s="1361"/>
      <c r="AI8" s="228"/>
    </row>
    <row r="9" spans="2:88">
      <c r="C9" s="28"/>
      <c r="D9" s="264"/>
      <c r="E9" s="1373"/>
      <c r="F9" s="1373"/>
      <c r="L9" s="15"/>
      <c r="S9" s="22" t="s">
        <v>419</v>
      </c>
      <c r="T9" s="1362"/>
      <c r="U9" s="1362"/>
      <c r="V9" s="15"/>
      <c r="W9" s="15"/>
    </row>
    <row r="10" spans="2:88">
      <c r="I10" s="13"/>
      <c r="J10" s="13"/>
      <c r="O10" s="15"/>
      <c r="P10" s="15"/>
      <c r="Q10" s="15"/>
      <c r="AD10" s="14"/>
      <c r="AE10" s="14"/>
      <c r="AF10" s="14"/>
    </row>
    <row r="11" spans="2:88" s="51" customFormat="1" ht="21" customHeight="1">
      <c r="C11" s="802" t="s">
        <v>144</v>
      </c>
      <c r="D11" s="803"/>
      <c r="E11" s="804"/>
      <c r="F11" s="804"/>
      <c r="G11" s="804"/>
      <c r="H11" s="480"/>
      <c r="I11" s="480"/>
      <c r="J11" s="480"/>
      <c r="K11" s="480"/>
      <c r="L11" s="480"/>
      <c r="M11" s="480"/>
      <c r="N11" s="480"/>
      <c r="O11" s="480"/>
      <c r="P11" s="480"/>
      <c r="Q11" s="480"/>
      <c r="R11" s="480"/>
      <c r="S11" s="480"/>
      <c r="T11" s="480"/>
      <c r="U11" s="480"/>
      <c r="V11" s="480"/>
      <c r="W11" s="480"/>
      <c r="X11" s="480"/>
      <c r="Y11" s="480"/>
      <c r="Z11" s="480"/>
      <c r="AA11" s="480"/>
      <c r="AB11" s="480"/>
      <c r="AC11" s="265"/>
      <c r="AD11" s="266"/>
      <c r="AE11" s="1347"/>
      <c r="AF11" s="1348"/>
      <c r="AG11" s="1348"/>
      <c r="AH11" s="1349"/>
      <c r="AI11" s="229"/>
      <c r="AJ11" s="202"/>
      <c r="AK11" s="202"/>
      <c r="AL11" s="202"/>
      <c r="AM11" s="202"/>
      <c r="AN11" s="202"/>
      <c r="AO11" s="202"/>
      <c r="AP11" s="202"/>
      <c r="AQ11" s="202"/>
      <c r="AR11" s="202"/>
      <c r="AS11" s="202"/>
      <c r="AT11" s="202"/>
      <c r="BB11" s="585"/>
      <c r="BC11" s="585"/>
      <c r="BD11" s="585"/>
      <c r="BE11" s="585"/>
      <c r="BF11" s="585"/>
      <c r="BG11" s="585"/>
      <c r="BH11" s="585"/>
      <c r="BI11" s="585"/>
      <c r="BJ11" s="585"/>
      <c r="BK11" s="585"/>
      <c r="BL11" s="585"/>
      <c r="BM11" s="585"/>
      <c r="BN11" s="585"/>
      <c r="BO11" s="585"/>
      <c r="BP11" s="585"/>
      <c r="BQ11" s="585"/>
      <c r="BR11" s="585"/>
      <c r="BS11" s="585"/>
      <c r="BT11" s="585"/>
      <c r="BU11" s="585"/>
      <c r="BV11" s="585"/>
      <c r="BW11" s="585"/>
      <c r="BX11" s="585"/>
      <c r="BY11" s="585"/>
      <c r="BZ11" s="585"/>
      <c r="CA11" s="585"/>
      <c r="CB11" s="585"/>
      <c r="CC11" s="585"/>
      <c r="CD11" s="585"/>
      <c r="CE11" s="585"/>
      <c r="CF11" s="585"/>
      <c r="CG11" s="585"/>
      <c r="CH11" s="585"/>
      <c r="CI11" s="585"/>
      <c r="CJ11" s="585"/>
    </row>
    <row r="12" spans="2:88" s="51" customFormat="1" ht="35.25" customHeight="1">
      <c r="C12" s="1336" t="s">
        <v>893</v>
      </c>
      <c r="D12" s="1339" t="s">
        <v>121</v>
      </c>
      <c r="E12" s="1339" t="s">
        <v>251</v>
      </c>
      <c r="F12" s="1339" t="s">
        <v>252</v>
      </c>
      <c r="G12" s="1336" t="s">
        <v>255</v>
      </c>
      <c r="H12" s="1343" t="s">
        <v>245</v>
      </c>
      <c r="I12" s="1344"/>
      <c r="J12" s="1344"/>
      <c r="K12" s="1344"/>
      <c r="L12" s="1344"/>
      <c r="M12" s="1345"/>
      <c r="N12" s="1350" t="s">
        <v>150</v>
      </c>
      <c r="O12" s="1351"/>
      <c r="P12" s="1351"/>
      <c r="Q12" s="1351"/>
      <c r="R12" s="1352"/>
      <c r="S12" s="1350" t="s">
        <v>122</v>
      </c>
      <c r="T12" s="1351"/>
      <c r="U12" s="1351"/>
      <c r="V12" s="1352"/>
      <c r="W12" s="1330" t="s">
        <v>247</v>
      </c>
      <c r="X12" s="1331"/>
      <c r="Y12" s="1366" t="s">
        <v>894</v>
      </c>
      <c r="Z12" s="1367"/>
      <c r="AA12" s="1324" t="s">
        <v>895</v>
      </c>
      <c r="AB12" s="1324" t="s">
        <v>96</v>
      </c>
      <c r="AC12" s="1327" t="s">
        <v>896</v>
      </c>
      <c r="AD12" s="1355" t="s">
        <v>123</v>
      </c>
      <c r="AE12" s="1327" t="s">
        <v>897</v>
      </c>
      <c r="AF12" s="1353" t="s">
        <v>124</v>
      </c>
      <c r="AG12" s="1353" t="s">
        <v>898</v>
      </c>
      <c r="AH12" s="1353" t="s">
        <v>31</v>
      </c>
      <c r="AI12" s="230"/>
      <c r="AJ12" s="202"/>
      <c r="AK12" s="202"/>
      <c r="AL12" s="202"/>
      <c r="AM12" s="202"/>
      <c r="AN12" s="202"/>
      <c r="AO12" s="202"/>
      <c r="AP12" s="202"/>
      <c r="AQ12" s="202"/>
      <c r="AR12" s="202"/>
      <c r="AS12" s="202"/>
      <c r="AT12" s="202"/>
      <c r="BB12" s="585"/>
      <c r="BC12" s="585"/>
      <c r="BD12" s="585"/>
      <c r="BE12" s="585"/>
      <c r="BF12" s="585"/>
      <c r="BG12" s="585"/>
      <c r="BH12" s="585"/>
      <c r="BI12" s="585"/>
      <c r="BJ12" s="585"/>
      <c r="BK12" s="585"/>
      <c r="BL12" s="585"/>
      <c r="BM12" s="585"/>
      <c r="BN12" s="585"/>
      <c r="BO12" s="585"/>
      <c r="BP12" s="585"/>
      <c r="BQ12" s="585"/>
      <c r="BR12" s="585"/>
      <c r="BS12" s="585"/>
      <c r="BT12" s="585"/>
      <c r="BU12" s="585"/>
      <c r="BV12" s="585"/>
      <c r="BW12" s="585"/>
      <c r="BX12" s="585"/>
      <c r="BY12" s="585"/>
      <c r="BZ12" s="585"/>
      <c r="CA12" s="585"/>
      <c r="CB12" s="585"/>
      <c r="CC12" s="585"/>
      <c r="CD12" s="585"/>
      <c r="CE12" s="585"/>
      <c r="CF12" s="585"/>
      <c r="CG12" s="585"/>
      <c r="CH12" s="585"/>
      <c r="CI12" s="585"/>
      <c r="CJ12" s="585"/>
    </row>
    <row r="13" spans="2:88" s="51" customFormat="1" ht="12.75" customHeight="1">
      <c r="C13" s="1337"/>
      <c r="D13" s="1340"/>
      <c r="E13" s="1339"/>
      <c r="F13" s="1339"/>
      <c r="G13" s="1339"/>
      <c r="H13" s="1321" t="s">
        <v>5081</v>
      </c>
      <c r="I13" s="1364" t="s">
        <v>106</v>
      </c>
      <c r="J13" s="1321" t="s">
        <v>845</v>
      </c>
      <c r="K13" s="1321" t="s">
        <v>95</v>
      </c>
      <c r="L13" s="1321" t="s">
        <v>5393</v>
      </c>
      <c r="M13" s="1332" t="s">
        <v>858</v>
      </c>
      <c r="N13" s="1332" t="s">
        <v>95</v>
      </c>
      <c r="O13" s="1332" t="s">
        <v>152</v>
      </c>
      <c r="P13" s="1332" t="s">
        <v>125</v>
      </c>
      <c r="Q13" s="1332" t="s">
        <v>843</v>
      </c>
      <c r="R13" s="1332" t="s">
        <v>844</v>
      </c>
      <c r="S13" s="1368" t="s">
        <v>126</v>
      </c>
      <c r="T13" s="1369"/>
      <c r="U13" s="1370"/>
      <c r="V13" s="1332" t="s">
        <v>127</v>
      </c>
      <c r="W13" s="1332" t="s">
        <v>128</v>
      </c>
      <c r="X13" s="1321" t="s">
        <v>901</v>
      </c>
      <c r="Y13" s="1321" t="s">
        <v>129</v>
      </c>
      <c r="Z13" s="1321" t="s">
        <v>130</v>
      </c>
      <c r="AA13" s="1334"/>
      <c r="AB13" s="1325"/>
      <c r="AC13" s="1328"/>
      <c r="AD13" s="1356"/>
      <c r="AE13" s="1328"/>
      <c r="AF13" s="1354"/>
      <c r="AG13" s="1354"/>
      <c r="AH13" s="1354"/>
      <c r="AI13" s="230"/>
      <c r="AJ13" s="202"/>
      <c r="AK13" s="202"/>
      <c r="AL13" s="202"/>
      <c r="AM13" s="202"/>
      <c r="AN13" s="202"/>
      <c r="AO13" s="202"/>
      <c r="AP13" s="202"/>
      <c r="AQ13" s="202"/>
      <c r="AR13" s="202"/>
      <c r="AS13" s="202"/>
      <c r="AT13" s="202"/>
      <c r="BB13" s="585"/>
      <c r="BC13" s="585"/>
      <c r="BD13" s="585"/>
      <c r="BE13" s="585"/>
      <c r="BF13" s="585"/>
      <c r="BG13" s="585"/>
      <c r="BH13" s="585"/>
      <c r="BI13" s="585"/>
      <c r="BJ13" s="585"/>
      <c r="BK13" s="585"/>
      <c r="BL13" s="585"/>
      <c r="BM13" s="585"/>
      <c r="BN13" s="585"/>
      <c r="BO13" s="585"/>
      <c r="BP13" s="585"/>
      <c r="BQ13" s="585"/>
      <c r="BR13" s="585"/>
      <c r="BS13" s="585"/>
      <c r="BT13" s="585"/>
      <c r="BU13" s="585"/>
      <c r="BV13" s="585"/>
      <c r="BW13" s="585"/>
      <c r="BX13" s="585"/>
      <c r="BY13" s="585"/>
      <c r="BZ13" s="585"/>
      <c r="CA13" s="585"/>
      <c r="CB13" s="585"/>
      <c r="CC13" s="585"/>
      <c r="CD13" s="585"/>
      <c r="CE13" s="585"/>
      <c r="CF13" s="585"/>
      <c r="CG13" s="585"/>
      <c r="CH13" s="585"/>
      <c r="CI13" s="585"/>
      <c r="CJ13" s="585"/>
    </row>
    <row r="14" spans="2:88" s="51" customFormat="1" ht="21.75" customHeight="1">
      <c r="C14" s="1338"/>
      <c r="D14" s="1341"/>
      <c r="E14" s="1346"/>
      <c r="F14" s="1346"/>
      <c r="G14" s="1346"/>
      <c r="H14" s="1342"/>
      <c r="I14" s="1365"/>
      <c r="J14" s="1322"/>
      <c r="K14" s="1323"/>
      <c r="L14" s="1323"/>
      <c r="M14" s="1371"/>
      <c r="N14" s="1371"/>
      <c r="O14" s="1371"/>
      <c r="P14" s="1363"/>
      <c r="Q14" s="1363"/>
      <c r="R14" s="1363"/>
      <c r="S14" s="806" t="s">
        <v>248</v>
      </c>
      <c r="T14" s="806" t="s">
        <v>249</v>
      </c>
      <c r="U14" s="267" t="s">
        <v>250</v>
      </c>
      <c r="V14" s="1333"/>
      <c r="W14" s="1359"/>
      <c r="X14" s="1360"/>
      <c r="Y14" s="1322"/>
      <c r="Z14" s="1322"/>
      <c r="AA14" s="1335"/>
      <c r="AB14" s="1326"/>
      <c r="AC14" s="1329"/>
      <c r="AD14" s="1357"/>
      <c r="AE14" s="1329"/>
      <c r="AF14" s="1358"/>
      <c r="AG14" s="1358"/>
      <c r="AH14" s="1354"/>
      <c r="AI14" s="230"/>
      <c r="AJ14" s="202"/>
      <c r="AK14" s="202"/>
      <c r="AL14" s="202"/>
      <c r="AM14" s="202"/>
      <c r="AN14" s="202"/>
      <c r="AO14" s="202"/>
      <c r="AP14" s="202"/>
      <c r="AQ14" s="202"/>
      <c r="AR14" s="202"/>
      <c r="AS14" s="202"/>
      <c r="AT14" s="202"/>
      <c r="BB14" s="585"/>
      <c r="BC14" s="585"/>
      <c r="BD14" s="585"/>
      <c r="BE14" s="585"/>
      <c r="BF14" s="585"/>
      <c r="BG14" s="585"/>
      <c r="BH14" s="585"/>
      <c r="BI14" s="585"/>
      <c r="BJ14" s="585"/>
      <c r="BK14" s="585"/>
      <c r="BL14" s="585"/>
      <c r="BM14" s="585"/>
      <c r="BN14" s="585"/>
      <c r="BO14" s="585"/>
      <c r="BP14" s="585"/>
      <c r="BQ14" s="585"/>
      <c r="BR14" s="585"/>
      <c r="BS14" s="585"/>
      <c r="BT14" s="585"/>
      <c r="BU14" s="585"/>
      <c r="BV14" s="585"/>
      <c r="BW14" s="585"/>
      <c r="BX14" s="585"/>
      <c r="BY14" s="585"/>
      <c r="BZ14" s="585"/>
      <c r="CA14" s="585"/>
      <c r="CB14" s="585"/>
      <c r="CC14" s="585"/>
      <c r="CD14" s="585"/>
      <c r="CE14" s="585"/>
      <c r="CF14" s="585"/>
      <c r="CG14" s="585"/>
      <c r="CH14" s="585"/>
      <c r="CI14" s="585"/>
      <c r="CJ14" s="585"/>
    </row>
    <row r="15" spans="2:88" s="51" customFormat="1" ht="21.75" hidden="1" customHeight="1">
      <c r="C15" s="796" t="s">
        <v>728</v>
      </c>
      <c r="D15" s="797" t="s">
        <v>121</v>
      </c>
      <c r="E15" s="798" t="s">
        <v>251</v>
      </c>
      <c r="F15" s="798" t="s">
        <v>252</v>
      </c>
      <c r="G15" s="798" t="s">
        <v>727</v>
      </c>
      <c r="H15" s="799" t="s">
        <v>729</v>
      </c>
      <c r="I15" s="805" t="s">
        <v>730</v>
      </c>
      <c r="J15" s="805" t="s">
        <v>846</v>
      </c>
      <c r="K15" s="796" t="s">
        <v>733</v>
      </c>
      <c r="L15" s="796" t="s">
        <v>731</v>
      </c>
      <c r="M15" s="798" t="s">
        <v>732</v>
      </c>
      <c r="N15" s="798" t="s">
        <v>734</v>
      </c>
      <c r="O15" s="798" t="s">
        <v>735</v>
      </c>
      <c r="P15" s="798" t="s">
        <v>189</v>
      </c>
      <c r="Q15" s="798" t="s">
        <v>241</v>
      </c>
      <c r="R15" s="798" t="s">
        <v>736</v>
      </c>
      <c r="S15" s="811" t="s">
        <v>737</v>
      </c>
      <c r="T15" s="811" t="s">
        <v>738</v>
      </c>
      <c r="U15" s="799" t="s">
        <v>739</v>
      </c>
      <c r="V15" s="797" t="s">
        <v>740</v>
      </c>
      <c r="W15" s="797" t="s">
        <v>741</v>
      </c>
      <c r="X15" s="796" t="s">
        <v>742</v>
      </c>
      <c r="Y15" s="799" t="s">
        <v>743</v>
      </c>
      <c r="Z15" s="799" t="s">
        <v>744</v>
      </c>
      <c r="AA15" s="809" t="s">
        <v>158</v>
      </c>
      <c r="AB15" s="810" t="s">
        <v>745</v>
      </c>
      <c r="AC15" s="198" t="s">
        <v>746</v>
      </c>
      <c r="AD15" s="192" t="s">
        <v>123</v>
      </c>
      <c r="AE15" s="198" t="s">
        <v>747</v>
      </c>
      <c r="AF15" s="196" t="s">
        <v>749</v>
      </c>
      <c r="AG15" s="196" t="s">
        <v>847</v>
      </c>
      <c r="AH15" s="195" t="s">
        <v>750</v>
      </c>
      <c r="AI15" s="196" t="s">
        <v>748</v>
      </c>
      <c r="AJ15" s="202" t="s">
        <v>751</v>
      </c>
      <c r="AK15" s="202" t="s">
        <v>752</v>
      </c>
      <c r="AL15" s="202" t="s">
        <v>753</v>
      </c>
      <c r="AM15" s="202" t="s">
        <v>754</v>
      </c>
      <c r="AN15" s="202" t="s">
        <v>72</v>
      </c>
      <c r="AO15" s="202" t="s">
        <v>755</v>
      </c>
      <c r="AP15" s="202" t="s">
        <v>756</v>
      </c>
      <c r="AQ15" s="202" t="s">
        <v>757</v>
      </c>
      <c r="AR15" t="s">
        <v>77</v>
      </c>
      <c r="AS15" t="s">
        <v>677</v>
      </c>
      <c r="AT15" t="s">
        <v>331</v>
      </c>
      <c r="BB15" s="585"/>
      <c r="BC15" s="585"/>
      <c r="BD15" s="585"/>
      <c r="BE15" s="585"/>
      <c r="BF15" s="585"/>
      <c r="BG15" s="585"/>
      <c r="BH15" s="585"/>
      <c r="BI15" s="585"/>
      <c r="BJ15" s="585"/>
      <c r="BK15" s="585"/>
      <c r="BL15" s="585"/>
      <c r="BM15" s="585"/>
      <c r="BN15" s="585"/>
      <c r="BO15" s="585"/>
      <c r="BP15" s="585"/>
      <c r="BQ15" s="585"/>
      <c r="BR15" s="585"/>
      <c r="BS15" s="585"/>
      <c r="BT15" s="585"/>
      <c r="BU15" s="585"/>
      <c r="BV15" s="585"/>
      <c r="BW15" s="585"/>
      <c r="BX15" s="585"/>
      <c r="BY15" s="585"/>
      <c r="BZ15" s="585"/>
      <c r="CA15" s="585"/>
      <c r="CB15" s="585"/>
      <c r="CC15" s="585"/>
      <c r="CD15" s="585"/>
      <c r="CE15" s="585"/>
      <c r="CF15" s="585"/>
      <c r="CG15" s="585"/>
      <c r="CH15" s="585"/>
      <c r="CI15" s="585"/>
      <c r="CJ15" s="585"/>
    </row>
    <row r="16" spans="2:88" ht="15.75" customHeight="1">
      <c r="C16" s="386">
        <v>1</v>
      </c>
      <c r="D16" s="384" t="s">
        <v>5371</v>
      </c>
      <c r="E16" s="384" t="s">
        <v>224</v>
      </c>
      <c r="F16" s="384" t="s">
        <v>5079</v>
      </c>
      <c r="G16" s="384" t="s">
        <v>246</v>
      </c>
      <c r="H16" s="384" t="s">
        <v>108</v>
      </c>
      <c r="I16" s="381" t="str">
        <f t="shared" ref="I16:I49" ca="1" si="0">IF(H16="","",IF(OR($G16="choisir…",$G16="Aucun"),"",INDEX(OFFSET(INDIRECT($G16),,1),MATCH($H16,INDIRECT($G16),0))))</f>
        <v>m³</v>
      </c>
      <c r="J16" s="387"/>
      <c r="K16" s="388"/>
      <c r="L16" s="384"/>
      <c r="M16" s="389">
        <v>553.72950819672133</v>
      </c>
      <c r="N16" s="388"/>
      <c r="O16" s="390"/>
      <c r="P16" s="816">
        <f>N16*O16</f>
        <v>0</v>
      </c>
      <c r="Q16" s="382" t="str">
        <f t="shared" ref="Q16:Q49" ca="1" si="1">IF(N16="","",IF(OR(G16&lt;&gt;"Énergie",H16=""),0,INDEX(OFFSET(INDIRECT($G16),,2),MATCH($H16,INDIRECT($G16),0)))*N16/1000*IF(AND(G16="Énergie",H16&lt;&gt;""),IF(AND(INDEX(OFFSET(Énergie,,8,,),MATCH(H16,Énergie,0))=1,J16&lt;&gt;""),IF(J16=1,0,1-1.1676*J16),IF(AND(INDEX(OFFSET(Énergie,,8,,),MATCH(H16,Énergie,0))=2,J16&lt;&gt;""),1-J16,1)),1))</f>
        <v/>
      </c>
      <c r="R16" s="383" t="str">
        <f t="shared" ref="R16:R49" ca="1" si="2">IF(N16="","",IF(OR($G16="choisir…",$G16="Aucun",H16=""),0,INDEX(OFFSET(INDIRECT(IF($G16="fugitive","PRP",G16)),,3),MATCH($H16,INDIRECT(IF($G16="fugitive","PRP",G16)),0)))*N16/1000000*IF($G16="fugitive",1000,1)*IF(AND(G16="Énergie",H16&lt;&gt;""),IF(AND(INDEX(OFFSET(Énergie,,8,,),MATCH(H16,Énergie,0))=1,J16&lt;&gt;""),IF(J16=1,0,1-1.1676*J16),IF(AND(INDEX(OFFSET(Énergie,,8,,),MATCH(H16,Énergie,0))=2,J16&lt;&gt;""),1-J16,1)),1))</f>
        <v/>
      </c>
      <c r="S16" s="391"/>
      <c r="T16" s="391"/>
      <c r="U16" s="816">
        <f>SUM(S16:T16)</f>
        <v>0</v>
      </c>
      <c r="V16" s="391"/>
      <c r="W16" s="391" t="str">
        <f ca="1">IFERROR(MIN(0.8*U16-W18,R16*2500,3000000),"")</f>
        <v/>
      </c>
      <c r="X16" s="386" t="s">
        <v>886</v>
      </c>
      <c r="Y16" s="392"/>
      <c r="Z16" s="392"/>
      <c r="AA16" s="393"/>
      <c r="AB16" s="393"/>
      <c r="AC16" s="808" t="s">
        <v>666</v>
      </c>
      <c r="AD16" s="386"/>
      <c r="AE16" s="386" t="s">
        <v>20</v>
      </c>
      <c r="AF16" s="384"/>
      <c r="AG16" s="380" t="str">
        <f>IF(X16="MELCCFP","Oui","Non")</f>
        <v>Oui</v>
      </c>
      <c r="AH16" s="18"/>
      <c r="AI16" s="231" t="b">
        <f t="shared" ref="AI16:AI49" ca="1" si="3">INDEX(OFFSET(Aide_dem,,1,,),MATCH(AG16,Aide_dem,0))</f>
        <v>1</v>
      </c>
      <c r="AJ16" s="201">
        <f ca="1">IF(E16&lt;&gt;"Choisir…",INDEX(OFFSET(Volet,,-1,,),MATCH(E16,Volet,0)),"")</f>
        <v>4</v>
      </c>
      <c r="AK16" s="201" t="str">
        <f ca="1">IF(F16&lt;&gt;"",INDEX(OFFSET(INDIRECT(E16),,-1,,),MATCH(F16,INDIRECT(E16),0)),"")</f>
        <v>45</v>
      </c>
      <c r="AL16" s="201">
        <f t="shared" ref="AL16:AL49" ca="1" si="4">IF(G16&lt;&gt;"Choisir…",INDEX(OFFSET(Type_emission,,-1,,),MATCH(G16,Type_emission,0)),"")</f>
        <v>1</v>
      </c>
      <c r="AM16" s="201">
        <f t="shared" ref="AM16:AM49" ca="1" si="5">IF(H16="","",INDEX(OFFSET(IF(G16="Énergie",Énergie,IF(G16="Fugitive",PRP,"")),,-1,,),MATCH(H16,IF(G16="Énergie",Énergie,IF(G16="Fugitive",PRP,"")),0)))</f>
        <v>2</v>
      </c>
      <c r="AN16" s="201">
        <f t="shared" ref="AN16:AN49" ca="1" si="6">IF(AND(G16="Énergie",H16&lt;&gt;""),INDEX(OFFSET(Énergie,,22,,),MATCH(H16,Énergie,0)),0)*N16</f>
        <v>0</v>
      </c>
      <c r="AO16" s="201">
        <f t="shared" ref="AO16:AO49" ca="1" si="7">IF(X16&lt;&gt;"Choisir…",INDEX(OFFSET(Fin_Autre,,-1,,),MATCH(X16,Fin_Autre,0)),"")</f>
        <v>1</v>
      </c>
      <c r="AP16" s="201" t="str">
        <f t="shared" ref="AP16:AP49" ca="1" si="8">IF(AC16&lt;&gt;"Choisir…",INDEX(OFFSET(Recom,,-1,,),MATCH(AC16,Recom,0)),"")</f>
        <v>I</v>
      </c>
      <c r="AQ16" s="201">
        <f t="shared" ref="AQ16:AQ49" ca="1" si="9">IF(AE16&lt;&gt;"Choisir…",INDEX(OFFSET(Action,,-1,,),MATCH(AE16,Action,0)),"")</f>
        <v>3</v>
      </c>
      <c r="AR16" s="201" t="b">
        <f ca="1">CHOOSE(AJ16,FALSE,Data!DV$2,Data!DV$2,Data!DV$2,FALSE,FALSE,Data!DV$2)</f>
        <v>0</v>
      </c>
      <c r="AS16" s="201">
        <f ca="1">CHOOSE(AJ16,"Affaires",IF(Data!DP$2="agricole","Agricole","Affaires"),IF(Data!DP$2="Agricole","Industriel",Data!DP$2),IF(Data!DP$2="Agricole","Industriel",Data!DP$2),IF(Data!DP$2="Agricole","Agricole","Affaires"),IF(Data!DP$2="Transport","Transport","Affaires"),IF(Data!DP$2="Agricole","Industriel",Data!DP$2))</f>
        <v>0</v>
      </c>
      <c r="AT16" s="200" t="s">
        <v>5061</v>
      </c>
      <c r="AU16">
        <f>IF(G16="Fugitive",R16,0)</f>
        <v>0</v>
      </c>
      <c r="AV16">
        <f>IF(AND(IF(N16=0,FALSE,N16/ABS(N16)=1),H16="Électricité"),R16,0)</f>
        <v>0</v>
      </c>
      <c r="AW16" s="51" t="str">
        <f ca="1">IF(H16="","",IF(OR($G16="choisir…",$G16="Aucun",$H16="Gaz naturel",$H16="Électricité"),"",INDEX(OFFSET(INDIRECT($G16),,3),MATCH($H16,INDIRECT($G16),0))))</f>
        <v/>
      </c>
      <c r="AY16" t="str">
        <f ca="1">IF(G16="Énergie",R16,0)</f>
        <v/>
      </c>
      <c r="AZ16" t="str">
        <f ca="1">IF(X16="MELCCFP",W16,0)</f>
        <v/>
      </c>
    </row>
    <row r="17" spans="3:52" ht="15.75" customHeight="1">
      <c r="C17" s="386">
        <v>1</v>
      </c>
      <c r="D17" s="384" t="s">
        <v>5372</v>
      </c>
      <c r="E17" s="384" t="s">
        <v>224</v>
      </c>
      <c r="F17" s="384" t="s">
        <v>5079</v>
      </c>
      <c r="G17" s="384" t="s">
        <v>246</v>
      </c>
      <c r="H17" s="384" t="s">
        <v>279</v>
      </c>
      <c r="I17" s="381" t="str">
        <f t="shared" ca="1" si="0"/>
        <v>kWh</v>
      </c>
      <c r="J17" s="387"/>
      <c r="K17" s="388"/>
      <c r="L17" s="384"/>
      <c r="M17" s="389"/>
      <c r="N17" s="388"/>
      <c r="O17" s="390"/>
      <c r="P17" s="816">
        <f>N17*O17</f>
        <v>0</v>
      </c>
      <c r="Q17" s="382" t="str">
        <f t="shared" ca="1" si="1"/>
        <v/>
      </c>
      <c r="R17" s="383" t="str">
        <f t="shared" ca="1" si="2"/>
        <v/>
      </c>
      <c r="S17" s="391"/>
      <c r="T17" s="391"/>
      <c r="U17" s="816">
        <f t="shared" ref="U17:U49" si="10">SUM(S17:T17)</f>
        <v>0</v>
      </c>
      <c r="V17" s="391"/>
      <c r="W17" s="391">
        <f>'4. Calcul Énergir et HQ'!Q90</f>
        <v>0</v>
      </c>
      <c r="X17" s="386" t="s">
        <v>865</v>
      </c>
      <c r="Y17" s="392"/>
      <c r="Z17" s="392"/>
      <c r="AA17" s="393"/>
      <c r="AB17" s="393"/>
      <c r="AC17" s="808" t="s">
        <v>666</v>
      </c>
      <c r="AD17" s="386"/>
      <c r="AE17" s="386" t="s">
        <v>20</v>
      </c>
      <c r="AF17" s="384"/>
      <c r="AG17" s="380" t="str">
        <f t="shared" ref="AG17:AG49" si="11">IF(X17="MELCCFP","Oui","Non")</f>
        <v>Non</v>
      </c>
      <c r="AH17" s="18"/>
      <c r="AI17" s="231" t="b">
        <f t="shared" ca="1" si="3"/>
        <v>0</v>
      </c>
      <c r="AJ17" s="201">
        <f t="shared" ref="AJ17:AJ49" ca="1" si="12">IF(E17&lt;&gt;"Choisir…",INDEX(OFFSET(Volet,,-1,,),MATCH(E17,Volet,0)),"")</f>
        <v>4</v>
      </c>
      <c r="AK17" s="201" t="str">
        <f t="shared" ref="AK17:AK49" ca="1" si="13">IF(F17&lt;&gt;"",INDEX(OFFSET(INDIRECT(E17),,-1,,),MATCH(F17,INDIRECT(E17),0)),"")</f>
        <v>45</v>
      </c>
      <c r="AL17" s="201">
        <f t="shared" ca="1" si="4"/>
        <v>1</v>
      </c>
      <c r="AM17" s="201">
        <f t="shared" ca="1" si="5"/>
        <v>1</v>
      </c>
      <c r="AN17" s="201">
        <f t="shared" ca="1" si="6"/>
        <v>0</v>
      </c>
      <c r="AO17" s="201">
        <f t="shared" ca="1" si="7"/>
        <v>3</v>
      </c>
      <c r="AP17" s="201" t="str">
        <f t="shared" ca="1" si="8"/>
        <v>I</v>
      </c>
      <c r="AQ17" s="201">
        <f t="shared" ca="1" si="9"/>
        <v>3</v>
      </c>
      <c r="AR17" s="201" t="b">
        <f ca="1">CHOOSE(AJ17,FALSE,Data!DV$2,Data!DV$2,Data!DV$2,FALSE,FALSE,Data!DV$2)</f>
        <v>0</v>
      </c>
      <c r="AS17" s="201">
        <f ca="1">CHOOSE(AJ17,"Affaires",IF(Data!DP$2="agricole","Agricole","Affaires"),IF(Data!DP$2="Agricole","Industriel",Data!DP$2),IF(Data!DP$2="Agricole","Industriel",Data!DP$2),IF(Data!DP$2="Agricole","Agricole","Affaires"),IF(Data!DP$2="Transport","Transport","Affaires"),IF(Data!DP$2="Agricole","Industriel",Data!DP$2))</f>
        <v>0</v>
      </c>
      <c r="AT17" s="200" t="s">
        <v>5061</v>
      </c>
      <c r="AU17">
        <f t="shared" ref="AU17:AU49" si="14">IF(G17="Fugitive",R17,0)</f>
        <v>0</v>
      </c>
      <c r="AV17">
        <f t="shared" ref="AV17:AV49" si="15">IF(AND(IF(N17=0,FALSE,N17/ABS(N17)=1),H17="Électricité"),R17,0)</f>
        <v>0</v>
      </c>
      <c r="AW17" s="51" t="str">
        <f t="shared" ref="AW17:AW49" ca="1" si="16">IF(H17="","",IF(OR($G17="choisir…",$G17="Aucun",$H17="Gaz naturel",$H17="Électricité"),"",INDEX(OFFSET(INDIRECT($G17),,3),MATCH($H17,INDIRECT($G17),0))))</f>
        <v/>
      </c>
      <c r="AY17" t="str">
        <f t="shared" ref="AY17:AY49" ca="1" si="17">IF(G17="Énergie",R17,0)</f>
        <v/>
      </c>
      <c r="AZ17">
        <f t="shared" ref="AZ17:AZ49" si="18">IF(X17="MELCCFP",W17,0)</f>
        <v>0</v>
      </c>
    </row>
    <row r="18" spans="3:52" ht="15.75" customHeight="1">
      <c r="C18" s="386">
        <v>1</v>
      </c>
      <c r="D18" s="384" t="s">
        <v>5258</v>
      </c>
      <c r="E18" s="384" t="s">
        <v>224</v>
      </c>
      <c r="F18" s="384" t="s">
        <v>5079</v>
      </c>
      <c r="G18" s="384" t="s">
        <v>246</v>
      </c>
      <c r="H18" s="384" t="s">
        <v>279</v>
      </c>
      <c r="I18" s="381" t="str">
        <f t="shared" ca="1" si="0"/>
        <v>kWh</v>
      </c>
      <c r="J18" s="387"/>
      <c r="K18" s="388"/>
      <c r="L18" s="384"/>
      <c r="M18" s="389"/>
      <c r="N18" s="388"/>
      <c r="O18" s="390"/>
      <c r="P18" s="816">
        <f>N18*O18</f>
        <v>0</v>
      </c>
      <c r="Q18" s="382" t="str">
        <f t="shared" ca="1" si="1"/>
        <v/>
      </c>
      <c r="R18" s="383" t="str">
        <f t="shared" ca="1" si="2"/>
        <v/>
      </c>
      <c r="S18" s="391"/>
      <c r="T18" s="391"/>
      <c r="U18" s="816">
        <f t="shared" si="10"/>
        <v>0</v>
      </c>
      <c r="V18" s="391"/>
      <c r="W18" s="391">
        <f>'4. Calcul Énergir et HQ'!Q92</f>
        <v>0</v>
      </c>
      <c r="X18" s="386" t="s">
        <v>870</v>
      </c>
      <c r="Y18" s="392"/>
      <c r="Z18" s="392"/>
      <c r="AA18" s="393"/>
      <c r="AB18" s="393"/>
      <c r="AC18" s="808" t="s">
        <v>666</v>
      </c>
      <c r="AD18" s="386"/>
      <c r="AE18" s="386" t="s">
        <v>20</v>
      </c>
      <c r="AF18" s="384"/>
      <c r="AG18" s="380" t="str">
        <f t="shared" si="11"/>
        <v>Non</v>
      </c>
      <c r="AH18" s="18"/>
      <c r="AI18" s="231" t="b">
        <f t="shared" ca="1" si="3"/>
        <v>0</v>
      </c>
      <c r="AJ18" s="201">
        <f t="shared" ca="1" si="12"/>
        <v>4</v>
      </c>
      <c r="AK18" s="201" t="str">
        <f t="shared" ca="1" si="13"/>
        <v>45</v>
      </c>
      <c r="AL18" s="201">
        <f t="shared" ca="1" si="4"/>
        <v>1</v>
      </c>
      <c r="AM18" s="201">
        <f t="shared" ca="1" si="5"/>
        <v>1</v>
      </c>
      <c r="AN18" s="201">
        <f t="shared" ca="1" si="6"/>
        <v>0</v>
      </c>
      <c r="AO18" s="201">
        <f t="shared" ca="1" si="7"/>
        <v>2</v>
      </c>
      <c r="AP18" s="201" t="str">
        <f t="shared" ca="1" si="8"/>
        <v>I</v>
      </c>
      <c r="AQ18" s="201">
        <f t="shared" ca="1" si="9"/>
        <v>3</v>
      </c>
      <c r="AR18" s="201" t="b">
        <f ca="1">CHOOSE(AJ18,FALSE,Data!DV$2,Data!DV$2,Data!DV$2,FALSE,FALSE,Data!DV$2)</f>
        <v>0</v>
      </c>
      <c r="AS18" s="201">
        <f ca="1">CHOOSE(AJ18,"Affaires",IF(Data!DP$2="agricole","Agricole","Affaires"),IF(Data!DP$2="Agricole","Industriel",Data!DP$2),IF(Data!DP$2="Agricole","Industriel",Data!DP$2),IF(Data!DP$2="Agricole","Agricole","Affaires"),IF(Data!DP$2="Transport","Transport","Affaires"),IF(Data!DP$2="Agricole","Industriel",Data!DP$2))</f>
        <v>0</v>
      </c>
      <c r="AT18" s="200" t="s">
        <v>5061</v>
      </c>
      <c r="AU18">
        <f t="shared" si="14"/>
        <v>0</v>
      </c>
      <c r="AV18">
        <f t="shared" si="15"/>
        <v>0</v>
      </c>
      <c r="AW18" s="51" t="str">
        <f t="shared" ca="1" si="16"/>
        <v/>
      </c>
      <c r="AY18" t="str">
        <f t="shared" ca="1" si="17"/>
        <v/>
      </c>
      <c r="AZ18">
        <f t="shared" si="18"/>
        <v>0</v>
      </c>
    </row>
    <row r="19" spans="3:52" ht="15.75" customHeight="1">
      <c r="C19" s="386">
        <v>2</v>
      </c>
      <c r="D19" s="384" t="s">
        <v>5080</v>
      </c>
      <c r="E19" s="384" t="s">
        <v>912</v>
      </c>
      <c r="F19" s="384" t="s">
        <v>631</v>
      </c>
      <c r="G19" s="384" t="s">
        <v>840</v>
      </c>
      <c r="H19" s="384" t="s">
        <v>5447</v>
      </c>
      <c r="I19" s="381" t="str">
        <f t="shared" ca="1" si="0"/>
        <v>kg</v>
      </c>
      <c r="J19" s="387"/>
      <c r="K19" s="388"/>
      <c r="L19" s="384"/>
      <c r="M19" s="389"/>
      <c r="N19" s="388"/>
      <c r="O19" s="390"/>
      <c r="P19" s="816">
        <f>N19*O19</f>
        <v>0</v>
      </c>
      <c r="Q19" s="382" t="str">
        <f t="shared" ca="1" si="1"/>
        <v/>
      </c>
      <c r="R19" s="383" t="str">
        <f t="shared" ca="1" si="2"/>
        <v/>
      </c>
      <c r="S19" s="391"/>
      <c r="T19" s="391"/>
      <c r="U19" s="816">
        <f t="shared" si="10"/>
        <v>0</v>
      </c>
      <c r="V19" s="391"/>
      <c r="W19" s="391"/>
      <c r="X19" s="386" t="s">
        <v>173</v>
      </c>
      <c r="Y19" s="392"/>
      <c r="Z19" s="392"/>
      <c r="AA19" s="393"/>
      <c r="AB19" s="393"/>
      <c r="AC19" s="808" t="s">
        <v>666</v>
      </c>
      <c r="AD19" s="386"/>
      <c r="AE19" s="386" t="s">
        <v>20</v>
      </c>
      <c r="AF19" s="384"/>
      <c r="AG19" s="380" t="str">
        <f t="shared" si="11"/>
        <v>Non</v>
      </c>
      <c r="AH19" s="18"/>
      <c r="AI19" s="231" t="b">
        <f t="shared" ca="1" si="3"/>
        <v>0</v>
      </c>
      <c r="AJ19" s="201">
        <f t="shared" ca="1" si="12"/>
        <v>4</v>
      </c>
      <c r="AK19" s="201" t="str">
        <f t="shared" ca="1" si="13"/>
        <v>46</v>
      </c>
      <c r="AL19" s="201">
        <f t="shared" ca="1" si="4"/>
        <v>2</v>
      </c>
      <c r="AM19" s="201">
        <f t="shared" ca="1" si="5"/>
        <v>217</v>
      </c>
      <c r="AN19" s="201">
        <f t="shared" ca="1" si="6"/>
        <v>0</v>
      </c>
      <c r="AO19" s="201" t="str">
        <f t="shared" ca="1" si="7"/>
        <v/>
      </c>
      <c r="AP19" s="201" t="str">
        <f t="shared" ca="1" si="8"/>
        <v>I</v>
      </c>
      <c r="AQ19" s="201">
        <f t="shared" ca="1" si="9"/>
        <v>3</v>
      </c>
      <c r="AR19" s="201" t="b">
        <f ca="1">CHOOSE(AJ19,FALSE,Data!DV$2,Data!DV$2,Data!DV$2,FALSE,FALSE,Data!DV$2)</f>
        <v>0</v>
      </c>
      <c r="AS19" s="201">
        <f ca="1">CHOOSE(AJ19,"Affaires",IF(Data!DP$2="agricole","Agricole","Affaires"),IF(Data!DP$2="Agricole","Industriel",Data!DP$2),IF(Data!DP$2="Agricole","Industriel",Data!DP$2),IF(Data!DP$2="Agricole","Agricole","Affaires"),IF(Data!DP$2="Transport","Transport","Affaires"),IF(Data!DP$2="Agricole","Industriel",Data!DP$2))</f>
        <v>0</v>
      </c>
      <c r="AT19" s="200" t="s">
        <v>5061</v>
      </c>
      <c r="AU19" t="str">
        <f t="shared" ca="1" si="14"/>
        <v/>
      </c>
      <c r="AV19">
        <f t="shared" si="15"/>
        <v>0</v>
      </c>
      <c r="AW19" s="51">
        <f t="shared" ca="1" si="16"/>
        <v>1923.5</v>
      </c>
      <c r="AY19">
        <f t="shared" si="17"/>
        <v>0</v>
      </c>
      <c r="AZ19">
        <f t="shared" si="18"/>
        <v>0</v>
      </c>
    </row>
    <row r="20" spans="3:52" ht="15.75" customHeight="1">
      <c r="C20" s="386">
        <v>1</v>
      </c>
      <c r="D20" s="384" t="s">
        <v>5371</v>
      </c>
      <c r="E20" s="384" t="s">
        <v>224</v>
      </c>
      <c r="F20" s="384" t="s">
        <v>5079</v>
      </c>
      <c r="G20" s="384" t="s">
        <v>246</v>
      </c>
      <c r="H20" s="384" t="s">
        <v>5516</v>
      </c>
      <c r="I20" s="381" t="str">
        <f t="shared" ca="1" si="0"/>
        <v>m³</v>
      </c>
      <c r="J20" s="387"/>
      <c r="K20" s="388"/>
      <c r="L20" s="384"/>
      <c r="M20" s="389"/>
      <c r="N20" s="388"/>
      <c r="O20" s="390"/>
      <c r="P20" s="816">
        <f>N20*O20</f>
        <v>0</v>
      </c>
      <c r="Q20" s="382" t="str">
        <f t="shared" ca="1" si="1"/>
        <v/>
      </c>
      <c r="R20" s="383" t="str">
        <f t="shared" ca="1" si="2"/>
        <v/>
      </c>
      <c r="S20" s="391"/>
      <c r="T20" s="815"/>
      <c r="U20" s="816">
        <f t="shared" si="10"/>
        <v>0</v>
      </c>
      <c r="V20" s="391"/>
      <c r="W20" s="391"/>
      <c r="X20" s="386" t="s">
        <v>173</v>
      </c>
      <c r="Y20" s="392"/>
      <c r="Z20" s="392"/>
      <c r="AA20" s="393"/>
      <c r="AB20" s="393"/>
      <c r="AC20" s="808" t="s">
        <v>666</v>
      </c>
      <c r="AD20" s="386"/>
      <c r="AE20" s="386" t="s">
        <v>20</v>
      </c>
      <c r="AF20" s="384"/>
      <c r="AG20" s="380" t="str">
        <f t="shared" si="11"/>
        <v>Non</v>
      </c>
      <c r="AH20" s="18"/>
      <c r="AI20" s="231" t="b">
        <f t="shared" ca="1" si="3"/>
        <v>0</v>
      </c>
      <c r="AJ20" s="201">
        <f t="shared" ca="1" si="12"/>
        <v>4</v>
      </c>
      <c r="AK20" s="201" t="str">
        <f t="shared" ca="1" si="13"/>
        <v>45</v>
      </c>
      <c r="AL20" s="201">
        <f t="shared" ca="1" si="4"/>
        <v>1</v>
      </c>
      <c r="AM20" s="201">
        <f t="shared" ca="1" si="5"/>
        <v>65</v>
      </c>
      <c r="AN20" s="201">
        <f t="shared" ca="1" si="6"/>
        <v>0</v>
      </c>
      <c r="AO20" s="201" t="str">
        <f t="shared" ca="1" si="7"/>
        <v/>
      </c>
      <c r="AP20" s="201" t="str">
        <f t="shared" ca="1" si="8"/>
        <v>I</v>
      </c>
      <c r="AQ20" s="201">
        <f t="shared" ca="1" si="9"/>
        <v>3</v>
      </c>
      <c r="AR20" s="201" t="b">
        <f ca="1">CHOOSE(AJ20,FALSE,Data!DV$2,Data!DV$2,Data!DV$2,FALSE,FALSE,Data!DV$2)</f>
        <v>0</v>
      </c>
      <c r="AS20" s="201">
        <f ca="1">CHOOSE(AJ20,"Affaires",IF(Data!DP$2="agricole","Agricole","Affaires"),IF(Data!DP$2="Agricole","Industriel",Data!DP$2),IF(Data!DP$2="Agricole","Industriel",Data!DP$2),IF(Data!DP$2="Agricole","Agricole","Affaires"),IF(Data!DP$2="Transport","Transport","Affaires"),IF(Data!DP$2="Agricole","Industriel",Data!DP$2))</f>
        <v>0</v>
      </c>
      <c r="AT20" s="200" t="s">
        <v>5061</v>
      </c>
      <c r="AU20">
        <f t="shared" si="14"/>
        <v>0</v>
      </c>
      <c r="AV20">
        <f t="shared" si="15"/>
        <v>0</v>
      </c>
      <c r="AW20" s="51">
        <f t="shared" ca="1" si="16"/>
        <v>1889.32</v>
      </c>
      <c r="AY20" t="str">
        <f t="shared" ca="1" si="17"/>
        <v/>
      </c>
      <c r="AZ20">
        <f t="shared" si="18"/>
        <v>0</v>
      </c>
    </row>
    <row r="21" spans="3:52" ht="15.75" customHeight="1">
      <c r="C21" s="386"/>
      <c r="D21" s="384"/>
      <c r="E21" s="384" t="s">
        <v>224</v>
      </c>
      <c r="F21" s="384" t="s">
        <v>5079</v>
      </c>
      <c r="G21" s="384" t="s">
        <v>246</v>
      </c>
      <c r="H21" s="817"/>
      <c r="I21" s="381" t="str">
        <f t="shared" ca="1" si="0"/>
        <v/>
      </c>
      <c r="J21" s="387"/>
      <c r="K21" s="388"/>
      <c r="L21" s="384"/>
      <c r="M21" s="389"/>
      <c r="N21" s="388"/>
      <c r="O21" s="390"/>
      <c r="P21" s="816">
        <f t="shared" ref="P21:P49" si="19">N21*O21</f>
        <v>0</v>
      </c>
      <c r="Q21" s="382" t="str">
        <f t="shared" ca="1" si="1"/>
        <v/>
      </c>
      <c r="R21" s="383" t="str">
        <f t="shared" ca="1" si="2"/>
        <v/>
      </c>
      <c r="S21" s="391"/>
      <c r="T21" s="391"/>
      <c r="U21" s="816">
        <f t="shared" si="10"/>
        <v>0</v>
      </c>
      <c r="V21" s="391"/>
      <c r="W21" s="391"/>
      <c r="X21" s="386" t="s">
        <v>173</v>
      </c>
      <c r="Y21" s="392"/>
      <c r="Z21" s="392"/>
      <c r="AA21" s="393"/>
      <c r="AB21" s="393"/>
      <c r="AC21" s="808" t="s">
        <v>666</v>
      </c>
      <c r="AD21" s="386"/>
      <c r="AE21" s="386" t="s">
        <v>20</v>
      </c>
      <c r="AF21" s="384"/>
      <c r="AG21" s="380" t="str">
        <f t="shared" si="11"/>
        <v>Non</v>
      </c>
      <c r="AH21" s="18"/>
      <c r="AI21" s="231" t="b">
        <f t="shared" ca="1" si="3"/>
        <v>0</v>
      </c>
      <c r="AJ21" s="201">
        <f t="shared" ca="1" si="12"/>
        <v>4</v>
      </c>
      <c r="AK21" s="201" t="str">
        <f t="shared" ca="1" si="13"/>
        <v>45</v>
      </c>
      <c r="AL21" s="201">
        <f t="shared" ca="1" si="4"/>
        <v>1</v>
      </c>
      <c r="AM21" s="201" t="str">
        <f t="shared" ca="1" si="5"/>
        <v/>
      </c>
      <c r="AN21" s="201">
        <f t="shared" ca="1" si="6"/>
        <v>0</v>
      </c>
      <c r="AO21" s="201" t="str">
        <f t="shared" ca="1" si="7"/>
        <v/>
      </c>
      <c r="AP21" s="201" t="str">
        <f t="shared" ca="1" si="8"/>
        <v>I</v>
      </c>
      <c r="AQ21" s="201">
        <f t="shared" ca="1" si="9"/>
        <v>3</v>
      </c>
      <c r="AR21" s="201" t="b">
        <f ca="1">CHOOSE(AJ21,FALSE,Data!DV$2,Data!DV$2,Data!DV$2,FALSE,FALSE,Data!DV$2)</f>
        <v>0</v>
      </c>
      <c r="AS21" s="201">
        <f ca="1">CHOOSE(AJ21,"Affaires",IF(Data!DP$2="agricole","Agricole","Affaires"),IF(Data!DP$2="Agricole","Industriel",Data!DP$2),IF(Data!DP$2="Agricole","Industriel",Data!DP$2),IF(Data!DP$2="Agricole","Agricole","Affaires"),IF(Data!DP$2="Transport","Transport","Affaires"),IF(Data!DP$2="Agricole","Industriel",Data!DP$2))</f>
        <v>0</v>
      </c>
      <c r="AT21" s="200" t="s">
        <v>5061</v>
      </c>
      <c r="AU21">
        <f t="shared" si="14"/>
        <v>0</v>
      </c>
      <c r="AV21">
        <f t="shared" si="15"/>
        <v>0</v>
      </c>
      <c r="AW21" s="51" t="str">
        <f t="shared" ca="1" si="16"/>
        <v/>
      </c>
      <c r="AY21" t="str">
        <f t="shared" ca="1" si="17"/>
        <v/>
      </c>
      <c r="AZ21">
        <f t="shared" si="18"/>
        <v>0</v>
      </c>
    </row>
    <row r="22" spans="3:52" ht="15.75" customHeight="1">
      <c r="C22" s="386"/>
      <c r="D22" s="384"/>
      <c r="E22" s="384" t="s">
        <v>224</v>
      </c>
      <c r="F22" s="384" t="s">
        <v>5079</v>
      </c>
      <c r="G22" s="384" t="s">
        <v>246</v>
      </c>
      <c r="H22" s="817"/>
      <c r="I22" s="381" t="str">
        <f t="shared" ca="1" si="0"/>
        <v/>
      </c>
      <c r="J22" s="387"/>
      <c r="K22" s="388"/>
      <c r="L22" s="384"/>
      <c r="M22" s="389"/>
      <c r="N22" s="388"/>
      <c r="O22" s="390"/>
      <c r="P22" s="816">
        <f t="shared" si="19"/>
        <v>0</v>
      </c>
      <c r="Q22" s="382" t="str">
        <f t="shared" ca="1" si="1"/>
        <v/>
      </c>
      <c r="R22" s="383" t="str">
        <f t="shared" ca="1" si="2"/>
        <v/>
      </c>
      <c r="S22" s="391"/>
      <c r="T22" s="391"/>
      <c r="U22" s="816">
        <f t="shared" si="10"/>
        <v>0</v>
      </c>
      <c r="V22" s="391"/>
      <c r="W22" s="391"/>
      <c r="X22" s="386" t="s">
        <v>173</v>
      </c>
      <c r="Y22" s="392"/>
      <c r="Z22" s="392"/>
      <c r="AA22" s="393"/>
      <c r="AB22" s="393"/>
      <c r="AC22" s="808" t="s">
        <v>666</v>
      </c>
      <c r="AD22" s="386"/>
      <c r="AE22" s="386" t="s">
        <v>20</v>
      </c>
      <c r="AF22" s="384"/>
      <c r="AG22" s="380" t="str">
        <f t="shared" si="11"/>
        <v>Non</v>
      </c>
      <c r="AH22" s="18"/>
      <c r="AI22" s="231" t="b">
        <f t="shared" ca="1" si="3"/>
        <v>0</v>
      </c>
      <c r="AJ22" s="201">
        <f t="shared" ca="1" si="12"/>
        <v>4</v>
      </c>
      <c r="AK22" s="201" t="str">
        <f t="shared" ca="1" si="13"/>
        <v>45</v>
      </c>
      <c r="AL22" s="201">
        <f t="shared" ca="1" si="4"/>
        <v>1</v>
      </c>
      <c r="AM22" s="201" t="str">
        <f t="shared" ca="1" si="5"/>
        <v/>
      </c>
      <c r="AN22" s="201">
        <f t="shared" ca="1" si="6"/>
        <v>0</v>
      </c>
      <c r="AO22" s="201" t="str">
        <f t="shared" ca="1" si="7"/>
        <v/>
      </c>
      <c r="AP22" s="201" t="str">
        <f t="shared" ca="1" si="8"/>
        <v>I</v>
      </c>
      <c r="AQ22" s="201">
        <f t="shared" ca="1" si="9"/>
        <v>3</v>
      </c>
      <c r="AR22" s="201" t="b">
        <f ca="1">CHOOSE(AJ22,FALSE,Data!DV$2,Data!DV$2,Data!DV$2,FALSE,FALSE,Data!DV$2)</f>
        <v>0</v>
      </c>
      <c r="AS22" s="201">
        <f ca="1">CHOOSE(AJ22,"Affaires",IF(Data!DP$2="agricole","Agricole","Affaires"),IF(Data!DP$2="Agricole","Industriel",Data!DP$2),IF(Data!DP$2="Agricole","Industriel",Data!DP$2),IF(Data!DP$2="Agricole","Agricole","Affaires"),IF(Data!DP$2="Transport","Transport","Affaires"),IF(Data!DP$2="Agricole","Industriel",Data!DP$2))</f>
        <v>0</v>
      </c>
      <c r="AT22" s="200" t="s">
        <v>5061</v>
      </c>
      <c r="AU22">
        <f t="shared" si="14"/>
        <v>0</v>
      </c>
      <c r="AV22">
        <f t="shared" si="15"/>
        <v>0</v>
      </c>
      <c r="AW22" s="51" t="str">
        <f t="shared" ca="1" si="16"/>
        <v/>
      </c>
      <c r="AY22" t="str">
        <f t="shared" ca="1" si="17"/>
        <v/>
      </c>
      <c r="AZ22">
        <f t="shared" si="18"/>
        <v>0</v>
      </c>
    </row>
    <row r="23" spans="3:52" ht="15.75" customHeight="1">
      <c r="C23" s="386"/>
      <c r="D23" s="384"/>
      <c r="E23" s="384" t="s">
        <v>224</v>
      </c>
      <c r="F23" s="384" t="s">
        <v>5079</v>
      </c>
      <c r="G23" s="384" t="s">
        <v>246</v>
      </c>
      <c r="H23" s="817"/>
      <c r="I23" s="381" t="str">
        <f t="shared" ca="1" si="0"/>
        <v/>
      </c>
      <c r="J23" s="387"/>
      <c r="K23" s="388"/>
      <c r="L23" s="384"/>
      <c r="M23" s="389"/>
      <c r="N23" s="388"/>
      <c r="O23" s="390"/>
      <c r="P23" s="816">
        <f t="shared" si="19"/>
        <v>0</v>
      </c>
      <c r="Q23" s="382" t="str">
        <f t="shared" ca="1" si="1"/>
        <v/>
      </c>
      <c r="R23" s="383" t="str">
        <f t="shared" ca="1" si="2"/>
        <v/>
      </c>
      <c r="S23" s="391"/>
      <c r="T23" s="391"/>
      <c r="U23" s="816">
        <f t="shared" si="10"/>
        <v>0</v>
      </c>
      <c r="V23" s="391"/>
      <c r="W23" s="391"/>
      <c r="X23" s="386" t="s">
        <v>173</v>
      </c>
      <c r="Y23" s="392"/>
      <c r="Z23" s="392"/>
      <c r="AA23" s="393"/>
      <c r="AB23" s="393"/>
      <c r="AC23" s="808" t="s">
        <v>666</v>
      </c>
      <c r="AD23" s="386"/>
      <c r="AE23" s="386" t="s">
        <v>20</v>
      </c>
      <c r="AF23" s="384"/>
      <c r="AG23" s="380" t="str">
        <f t="shared" si="11"/>
        <v>Non</v>
      </c>
      <c r="AH23" s="18"/>
      <c r="AI23" s="231" t="b">
        <f t="shared" ca="1" si="3"/>
        <v>0</v>
      </c>
      <c r="AJ23" s="201">
        <f t="shared" ca="1" si="12"/>
        <v>4</v>
      </c>
      <c r="AK23" s="201" t="str">
        <f t="shared" ca="1" si="13"/>
        <v>45</v>
      </c>
      <c r="AL23" s="201">
        <f t="shared" ca="1" si="4"/>
        <v>1</v>
      </c>
      <c r="AM23" s="201" t="str">
        <f t="shared" ca="1" si="5"/>
        <v/>
      </c>
      <c r="AN23" s="201">
        <f t="shared" ca="1" si="6"/>
        <v>0</v>
      </c>
      <c r="AO23" s="201" t="str">
        <f t="shared" ca="1" si="7"/>
        <v/>
      </c>
      <c r="AP23" s="201" t="str">
        <f t="shared" ca="1" si="8"/>
        <v>I</v>
      </c>
      <c r="AQ23" s="201">
        <f t="shared" ca="1" si="9"/>
        <v>3</v>
      </c>
      <c r="AR23" s="201" t="b">
        <f ca="1">CHOOSE(AJ23,FALSE,Data!DV$2,Data!DV$2,Data!DV$2,FALSE,FALSE,Data!DV$2)</f>
        <v>0</v>
      </c>
      <c r="AS23" s="201">
        <f ca="1">CHOOSE(AJ23,"Affaires",IF(Data!DP$2="agricole","Agricole","Affaires"),IF(Data!DP$2="Agricole","Industriel",Data!DP$2),IF(Data!DP$2="Agricole","Industriel",Data!DP$2),IF(Data!DP$2="Agricole","Agricole","Affaires"),IF(Data!DP$2="Transport","Transport","Affaires"),IF(Data!DP$2="Agricole","Industriel",Data!DP$2))</f>
        <v>0</v>
      </c>
      <c r="AT23" s="200" t="s">
        <v>5061</v>
      </c>
      <c r="AU23">
        <f t="shared" si="14"/>
        <v>0</v>
      </c>
      <c r="AV23">
        <f t="shared" si="15"/>
        <v>0</v>
      </c>
      <c r="AW23" s="51" t="str">
        <f t="shared" ca="1" si="16"/>
        <v/>
      </c>
      <c r="AY23" t="str">
        <f t="shared" ca="1" si="17"/>
        <v/>
      </c>
      <c r="AZ23">
        <f t="shared" si="18"/>
        <v>0</v>
      </c>
    </row>
    <row r="24" spans="3:52" ht="15.75" customHeight="1">
      <c r="C24" s="386"/>
      <c r="D24" s="384"/>
      <c r="E24" s="384" t="s">
        <v>224</v>
      </c>
      <c r="F24" s="384" t="s">
        <v>5079</v>
      </c>
      <c r="G24" s="384" t="s">
        <v>246</v>
      </c>
      <c r="H24" s="817"/>
      <c r="I24" s="381" t="str">
        <f t="shared" ca="1" si="0"/>
        <v/>
      </c>
      <c r="J24" s="387"/>
      <c r="K24" s="388"/>
      <c r="L24" s="384"/>
      <c r="M24" s="389"/>
      <c r="N24" s="388"/>
      <c r="O24" s="390"/>
      <c r="P24" s="816">
        <f t="shared" si="19"/>
        <v>0</v>
      </c>
      <c r="Q24" s="382" t="str">
        <f t="shared" ca="1" si="1"/>
        <v/>
      </c>
      <c r="R24" s="383" t="str">
        <f t="shared" ca="1" si="2"/>
        <v/>
      </c>
      <c r="S24" s="391"/>
      <c r="T24" s="391"/>
      <c r="U24" s="816">
        <f t="shared" si="10"/>
        <v>0</v>
      </c>
      <c r="V24" s="391"/>
      <c r="W24" s="391"/>
      <c r="X24" s="386" t="s">
        <v>173</v>
      </c>
      <c r="Y24" s="392"/>
      <c r="Z24" s="392"/>
      <c r="AA24" s="393"/>
      <c r="AB24" s="393"/>
      <c r="AC24" s="808" t="s">
        <v>666</v>
      </c>
      <c r="AD24" s="386"/>
      <c r="AE24" s="386" t="s">
        <v>20</v>
      </c>
      <c r="AF24" s="384"/>
      <c r="AG24" s="380" t="str">
        <f t="shared" si="11"/>
        <v>Non</v>
      </c>
      <c r="AH24" s="18"/>
      <c r="AI24" s="231" t="b">
        <f t="shared" ca="1" si="3"/>
        <v>0</v>
      </c>
      <c r="AJ24" s="201">
        <f t="shared" ca="1" si="12"/>
        <v>4</v>
      </c>
      <c r="AK24" s="201" t="str">
        <f t="shared" ca="1" si="13"/>
        <v>45</v>
      </c>
      <c r="AL24" s="201">
        <f t="shared" ca="1" si="4"/>
        <v>1</v>
      </c>
      <c r="AM24" s="201" t="str">
        <f t="shared" ca="1" si="5"/>
        <v/>
      </c>
      <c r="AN24" s="201">
        <f t="shared" ca="1" si="6"/>
        <v>0</v>
      </c>
      <c r="AO24" s="201" t="str">
        <f t="shared" ca="1" si="7"/>
        <v/>
      </c>
      <c r="AP24" s="201" t="str">
        <f t="shared" ca="1" si="8"/>
        <v>I</v>
      </c>
      <c r="AQ24" s="201">
        <f t="shared" ca="1" si="9"/>
        <v>3</v>
      </c>
      <c r="AR24" s="201" t="b">
        <f ca="1">CHOOSE(AJ24,FALSE,Data!DV$2,Data!DV$2,Data!DV$2,FALSE,FALSE,Data!DV$2)</f>
        <v>0</v>
      </c>
      <c r="AS24" s="201">
        <f ca="1">CHOOSE(AJ24,"Affaires",IF(Data!DP$2="agricole","Agricole","Affaires"),IF(Data!DP$2="Agricole","Industriel",Data!DP$2),IF(Data!DP$2="Agricole","Industriel",Data!DP$2),IF(Data!DP$2="Agricole","Agricole","Affaires"),IF(Data!DP$2="Transport","Transport","Affaires"),IF(Data!DP$2="Agricole","Industriel",Data!DP$2))</f>
        <v>0</v>
      </c>
      <c r="AT24" s="200" t="s">
        <v>5061</v>
      </c>
      <c r="AU24">
        <f t="shared" si="14"/>
        <v>0</v>
      </c>
      <c r="AV24">
        <f t="shared" si="15"/>
        <v>0</v>
      </c>
      <c r="AW24" s="51" t="str">
        <f t="shared" ca="1" si="16"/>
        <v/>
      </c>
      <c r="AY24" t="str">
        <f t="shared" ca="1" si="17"/>
        <v/>
      </c>
      <c r="AZ24">
        <f t="shared" si="18"/>
        <v>0</v>
      </c>
    </row>
    <row r="25" spans="3:52" ht="15.75" customHeight="1">
      <c r="C25" s="386"/>
      <c r="D25" s="384"/>
      <c r="E25" s="384" t="s">
        <v>224</v>
      </c>
      <c r="F25" s="384" t="s">
        <v>5079</v>
      </c>
      <c r="G25" s="384" t="s">
        <v>246</v>
      </c>
      <c r="H25" s="817"/>
      <c r="I25" s="381" t="str">
        <f t="shared" ca="1" si="0"/>
        <v/>
      </c>
      <c r="J25" s="387"/>
      <c r="K25" s="388"/>
      <c r="L25" s="384"/>
      <c r="M25" s="389"/>
      <c r="N25" s="388"/>
      <c r="O25" s="390"/>
      <c r="P25" s="816">
        <f t="shared" si="19"/>
        <v>0</v>
      </c>
      <c r="Q25" s="382" t="str">
        <f t="shared" ca="1" si="1"/>
        <v/>
      </c>
      <c r="R25" s="383" t="str">
        <f t="shared" ca="1" si="2"/>
        <v/>
      </c>
      <c r="S25" s="391"/>
      <c r="T25" s="391"/>
      <c r="U25" s="816">
        <f t="shared" si="10"/>
        <v>0</v>
      </c>
      <c r="V25" s="391"/>
      <c r="W25" s="391"/>
      <c r="X25" s="386" t="s">
        <v>173</v>
      </c>
      <c r="Y25" s="392"/>
      <c r="Z25" s="392"/>
      <c r="AA25" s="393"/>
      <c r="AB25" s="393"/>
      <c r="AC25" s="808" t="s">
        <v>666</v>
      </c>
      <c r="AD25" s="386"/>
      <c r="AE25" s="386" t="s">
        <v>20</v>
      </c>
      <c r="AF25" s="384"/>
      <c r="AG25" s="380" t="str">
        <f t="shared" si="11"/>
        <v>Non</v>
      </c>
      <c r="AH25" s="18"/>
      <c r="AI25" s="231" t="b">
        <f t="shared" ca="1" si="3"/>
        <v>0</v>
      </c>
      <c r="AJ25" s="201">
        <f t="shared" ca="1" si="12"/>
        <v>4</v>
      </c>
      <c r="AK25" s="201" t="str">
        <f t="shared" ca="1" si="13"/>
        <v>45</v>
      </c>
      <c r="AL25" s="201">
        <f t="shared" ca="1" si="4"/>
        <v>1</v>
      </c>
      <c r="AM25" s="201" t="str">
        <f t="shared" ca="1" si="5"/>
        <v/>
      </c>
      <c r="AN25" s="201">
        <f t="shared" ca="1" si="6"/>
        <v>0</v>
      </c>
      <c r="AO25" s="201" t="str">
        <f t="shared" ca="1" si="7"/>
        <v/>
      </c>
      <c r="AP25" s="201" t="str">
        <f t="shared" ca="1" si="8"/>
        <v>I</v>
      </c>
      <c r="AQ25" s="201">
        <f t="shared" ca="1" si="9"/>
        <v>3</v>
      </c>
      <c r="AR25" s="201" t="b">
        <f ca="1">CHOOSE(AJ25,FALSE,Data!DV$2,Data!DV$2,Data!DV$2,FALSE,FALSE,Data!DV$2)</f>
        <v>0</v>
      </c>
      <c r="AS25" s="201">
        <f ca="1">CHOOSE(AJ25,"Affaires",IF(Data!DP$2="agricole","Agricole","Affaires"),IF(Data!DP$2="Agricole","Industriel",Data!DP$2),IF(Data!DP$2="Agricole","Industriel",Data!DP$2),IF(Data!DP$2="Agricole","Agricole","Affaires"),IF(Data!DP$2="Transport","Transport","Affaires"),IF(Data!DP$2="Agricole","Industriel",Data!DP$2))</f>
        <v>0</v>
      </c>
      <c r="AT25" s="200" t="s">
        <v>5061</v>
      </c>
      <c r="AU25">
        <f t="shared" si="14"/>
        <v>0</v>
      </c>
      <c r="AV25">
        <f t="shared" si="15"/>
        <v>0</v>
      </c>
      <c r="AW25" s="51" t="str">
        <f t="shared" ca="1" si="16"/>
        <v/>
      </c>
      <c r="AY25" t="str">
        <f t="shared" ca="1" si="17"/>
        <v/>
      </c>
      <c r="AZ25">
        <f t="shared" si="18"/>
        <v>0</v>
      </c>
    </row>
    <row r="26" spans="3:52" ht="15.75" customHeight="1">
      <c r="C26" s="386"/>
      <c r="D26" s="384"/>
      <c r="E26" s="384" t="s">
        <v>224</v>
      </c>
      <c r="F26" s="384" t="s">
        <v>5079</v>
      </c>
      <c r="G26" s="384" t="s">
        <v>246</v>
      </c>
      <c r="H26" s="817"/>
      <c r="I26" s="381" t="str">
        <f t="shared" ca="1" si="0"/>
        <v/>
      </c>
      <c r="J26" s="387"/>
      <c r="K26" s="388"/>
      <c r="L26" s="384"/>
      <c r="M26" s="389"/>
      <c r="N26" s="388"/>
      <c r="O26" s="390"/>
      <c r="P26" s="816">
        <f t="shared" si="19"/>
        <v>0</v>
      </c>
      <c r="Q26" s="382" t="str">
        <f t="shared" ca="1" si="1"/>
        <v/>
      </c>
      <c r="R26" s="383" t="str">
        <f t="shared" ca="1" si="2"/>
        <v/>
      </c>
      <c r="S26" s="391"/>
      <c r="T26" s="391"/>
      <c r="U26" s="816">
        <f t="shared" si="10"/>
        <v>0</v>
      </c>
      <c r="V26" s="391"/>
      <c r="W26" s="391"/>
      <c r="X26" s="386" t="s">
        <v>173</v>
      </c>
      <c r="Y26" s="392"/>
      <c r="Z26" s="392"/>
      <c r="AA26" s="393"/>
      <c r="AB26" s="393"/>
      <c r="AC26" s="808" t="s">
        <v>666</v>
      </c>
      <c r="AD26" s="386"/>
      <c r="AE26" s="386" t="s">
        <v>20</v>
      </c>
      <c r="AF26" s="384"/>
      <c r="AG26" s="380" t="str">
        <f t="shared" si="11"/>
        <v>Non</v>
      </c>
      <c r="AH26" s="18"/>
      <c r="AI26" s="231" t="b">
        <f t="shared" ca="1" si="3"/>
        <v>0</v>
      </c>
      <c r="AJ26" s="201">
        <f t="shared" ca="1" si="12"/>
        <v>4</v>
      </c>
      <c r="AK26" s="201" t="str">
        <f t="shared" ca="1" si="13"/>
        <v>45</v>
      </c>
      <c r="AL26" s="201">
        <f t="shared" ca="1" si="4"/>
        <v>1</v>
      </c>
      <c r="AM26" s="201" t="str">
        <f t="shared" ca="1" si="5"/>
        <v/>
      </c>
      <c r="AN26" s="201">
        <f t="shared" ca="1" si="6"/>
        <v>0</v>
      </c>
      <c r="AO26" s="201" t="str">
        <f t="shared" ca="1" si="7"/>
        <v/>
      </c>
      <c r="AP26" s="201" t="str">
        <f t="shared" ca="1" si="8"/>
        <v>I</v>
      </c>
      <c r="AQ26" s="201">
        <f t="shared" ca="1" si="9"/>
        <v>3</v>
      </c>
      <c r="AR26" s="201" t="b">
        <f ca="1">CHOOSE(AJ26,FALSE,Data!DV$2,Data!DV$2,Data!DV$2,FALSE,FALSE,Data!DV$2)</f>
        <v>0</v>
      </c>
      <c r="AS26" s="201">
        <f ca="1">CHOOSE(AJ26,"Affaires",IF(Data!DP$2="agricole","Agricole","Affaires"),IF(Data!DP$2="Agricole","Industriel",Data!DP$2),IF(Data!DP$2="Agricole","Industriel",Data!DP$2),IF(Data!DP$2="Agricole","Agricole","Affaires"),IF(Data!DP$2="Transport","Transport","Affaires"),IF(Data!DP$2="Agricole","Industriel",Data!DP$2))</f>
        <v>0</v>
      </c>
      <c r="AT26" s="200" t="s">
        <v>5061</v>
      </c>
      <c r="AU26">
        <f t="shared" si="14"/>
        <v>0</v>
      </c>
      <c r="AV26">
        <f t="shared" si="15"/>
        <v>0</v>
      </c>
      <c r="AW26" s="51" t="str">
        <f t="shared" ca="1" si="16"/>
        <v/>
      </c>
      <c r="AY26" t="str">
        <f t="shared" ca="1" si="17"/>
        <v/>
      </c>
      <c r="AZ26">
        <f t="shared" si="18"/>
        <v>0</v>
      </c>
    </row>
    <row r="27" spans="3:52" ht="15.75" customHeight="1">
      <c r="C27" s="386"/>
      <c r="D27" s="384"/>
      <c r="E27" s="384" t="s">
        <v>224</v>
      </c>
      <c r="F27" s="384" t="s">
        <v>5079</v>
      </c>
      <c r="G27" s="384" t="s">
        <v>246</v>
      </c>
      <c r="H27" s="817"/>
      <c r="I27" s="381" t="str">
        <f t="shared" ca="1" si="0"/>
        <v/>
      </c>
      <c r="J27" s="387"/>
      <c r="K27" s="388"/>
      <c r="L27" s="384"/>
      <c r="M27" s="389"/>
      <c r="N27" s="388"/>
      <c r="O27" s="390"/>
      <c r="P27" s="816">
        <f t="shared" si="19"/>
        <v>0</v>
      </c>
      <c r="Q27" s="382" t="str">
        <f t="shared" ca="1" si="1"/>
        <v/>
      </c>
      <c r="R27" s="383" t="str">
        <f t="shared" ca="1" si="2"/>
        <v/>
      </c>
      <c r="S27" s="391"/>
      <c r="T27" s="391"/>
      <c r="U27" s="816">
        <f t="shared" si="10"/>
        <v>0</v>
      </c>
      <c r="V27" s="391"/>
      <c r="W27" s="391"/>
      <c r="X27" s="386" t="s">
        <v>173</v>
      </c>
      <c r="Y27" s="392"/>
      <c r="Z27" s="392"/>
      <c r="AA27" s="393"/>
      <c r="AB27" s="393"/>
      <c r="AC27" s="808" t="s">
        <v>666</v>
      </c>
      <c r="AD27" s="386"/>
      <c r="AE27" s="386" t="s">
        <v>20</v>
      </c>
      <c r="AF27" s="384"/>
      <c r="AG27" s="380" t="str">
        <f t="shared" si="11"/>
        <v>Non</v>
      </c>
      <c r="AH27" s="18"/>
      <c r="AI27" s="231" t="b">
        <f t="shared" ca="1" si="3"/>
        <v>0</v>
      </c>
      <c r="AJ27" s="201">
        <f t="shared" ca="1" si="12"/>
        <v>4</v>
      </c>
      <c r="AK27" s="201" t="str">
        <f t="shared" ca="1" si="13"/>
        <v>45</v>
      </c>
      <c r="AL27" s="201">
        <f t="shared" ca="1" si="4"/>
        <v>1</v>
      </c>
      <c r="AM27" s="201" t="str">
        <f t="shared" ca="1" si="5"/>
        <v/>
      </c>
      <c r="AN27" s="201">
        <f t="shared" ca="1" si="6"/>
        <v>0</v>
      </c>
      <c r="AO27" s="201" t="str">
        <f t="shared" ca="1" si="7"/>
        <v/>
      </c>
      <c r="AP27" s="201" t="str">
        <f t="shared" ca="1" si="8"/>
        <v>I</v>
      </c>
      <c r="AQ27" s="201">
        <f t="shared" ca="1" si="9"/>
        <v>3</v>
      </c>
      <c r="AR27" s="201" t="b">
        <f ca="1">CHOOSE(AJ27,FALSE,Data!DV$2,Data!DV$2,Data!DV$2,FALSE,FALSE,Data!DV$2)</f>
        <v>0</v>
      </c>
      <c r="AS27" s="201">
        <f ca="1">CHOOSE(AJ27,"Affaires",IF(Data!DP$2="agricole","Agricole","Affaires"),IF(Data!DP$2="Agricole","Industriel",Data!DP$2),IF(Data!DP$2="Agricole","Industriel",Data!DP$2),IF(Data!DP$2="Agricole","Agricole","Affaires"),IF(Data!DP$2="Transport","Transport","Affaires"),IF(Data!DP$2="Agricole","Industriel",Data!DP$2))</f>
        <v>0</v>
      </c>
      <c r="AT27" s="200" t="s">
        <v>5061</v>
      </c>
      <c r="AU27">
        <f t="shared" si="14"/>
        <v>0</v>
      </c>
      <c r="AV27">
        <f t="shared" si="15"/>
        <v>0</v>
      </c>
      <c r="AW27" s="51" t="str">
        <f t="shared" ca="1" si="16"/>
        <v/>
      </c>
      <c r="AY27" t="str">
        <f t="shared" ca="1" si="17"/>
        <v/>
      </c>
      <c r="AZ27">
        <f t="shared" si="18"/>
        <v>0</v>
      </c>
    </row>
    <row r="28" spans="3:52" ht="15.75" customHeight="1">
      <c r="C28" s="386"/>
      <c r="D28" s="384"/>
      <c r="E28" s="384" t="s">
        <v>224</v>
      </c>
      <c r="F28" s="384" t="s">
        <v>5079</v>
      </c>
      <c r="G28" s="384" t="s">
        <v>246</v>
      </c>
      <c r="H28" s="817"/>
      <c r="I28" s="381" t="str">
        <f t="shared" ca="1" si="0"/>
        <v/>
      </c>
      <c r="J28" s="387"/>
      <c r="K28" s="388"/>
      <c r="L28" s="384"/>
      <c r="M28" s="389"/>
      <c r="N28" s="388"/>
      <c r="O28" s="390"/>
      <c r="P28" s="816">
        <f t="shared" si="19"/>
        <v>0</v>
      </c>
      <c r="Q28" s="382" t="str">
        <f t="shared" ca="1" si="1"/>
        <v/>
      </c>
      <c r="R28" s="383" t="str">
        <f t="shared" ca="1" si="2"/>
        <v/>
      </c>
      <c r="S28" s="391"/>
      <c r="T28" s="391"/>
      <c r="U28" s="816">
        <f t="shared" si="10"/>
        <v>0</v>
      </c>
      <c r="V28" s="391"/>
      <c r="W28" s="391"/>
      <c r="X28" s="386" t="s">
        <v>173</v>
      </c>
      <c r="Y28" s="392"/>
      <c r="Z28" s="392"/>
      <c r="AA28" s="393"/>
      <c r="AB28" s="393"/>
      <c r="AC28" s="808" t="s">
        <v>666</v>
      </c>
      <c r="AD28" s="386"/>
      <c r="AE28" s="386" t="s">
        <v>20</v>
      </c>
      <c r="AF28" s="384"/>
      <c r="AG28" s="380" t="str">
        <f t="shared" si="11"/>
        <v>Non</v>
      </c>
      <c r="AH28" s="18"/>
      <c r="AI28" s="231" t="b">
        <f t="shared" ca="1" si="3"/>
        <v>0</v>
      </c>
      <c r="AJ28" s="201">
        <f t="shared" ca="1" si="12"/>
        <v>4</v>
      </c>
      <c r="AK28" s="201" t="str">
        <f t="shared" ca="1" si="13"/>
        <v>45</v>
      </c>
      <c r="AL28" s="201">
        <f t="shared" ca="1" si="4"/>
        <v>1</v>
      </c>
      <c r="AM28" s="201" t="str">
        <f t="shared" ca="1" si="5"/>
        <v/>
      </c>
      <c r="AN28" s="201">
        <f t="shared" ca="1" si="6"/>
        <v>0</v>
      </c>
      <c r="AO28" s="201" t="str">
        <f t="shared" ca="1" si="7"/>
        <v/>
      </c>
      <c r="AP28" s="201" t="str">
        <f t="shared" ca="1" si="8"/>
        <v>I</v>
      </c>
      <c r="AQ28" s="201">
        <f t="shared" ca="1" si="9"/>
        <v>3</v>
      </c>
      <c r="AR28" s="201" t="b">
        <f ca="1">CHOOSE(AJ28,FALSE,Data!DV$2,Data!DV$2,Data!DV$2,FALSE,FALSE,Data!DV$2)</f>
        <v>0</v>
      </c>
      <c r="AS28" s="201">
        <f ca="1">CHOOSE(AJ28,"Affaires",IF(Data!DP$2="agricole","Agricole","Affaires"),IF(Data!DP$2="Agricole","Industriel",Data!DP$2),IF(Data!DP$2="Agricole","Industriel",Data!DP$2),IF(Data!DP$2="Agricole","Agricole","Affaires"),IF(Data!DP$2="Transport","Transport","Affaires"),IF(Data!DP$2="Agricole","Industriel",Data!DP$2))</f>
        <v>0</v>
      </c>
      <c r="AT28" s="200" t="s">
        <v>5061</v>
      </c>
      <c r="AU28">
        <f t="shared" si="14"/>
        <v>0</v>
      </c>
      <c r="AV28">
        <f t="shared" si="15"/>
        <v>0</v>
      </c>
      <c r="AW28" s="51" t="str">
        <f t="shared" ca="1" si="16"/>
        <v/>
      </c>
      <c r="AY28" t="str">
        <f t="shared" ca="1" si="17"/>
        <v/>
      </c>
      <c r="AZ28">
        <f t="shared" si="18"/>
        <v>0</v>
      </c>
    </row>
    <row r="29" spans="3:52" ht="15.75" customHeight="1">
      <c r="C29" s="386"/>
      <c r="D29" s="384"/>
      <c r="E29" s="384" t="s">
        <v>224</v>
      </c>
      <c r="F29" s="384" t="s">
        <v>5079</v>
      </c>
      <c r="G29" s="384" t="s">
        <v>246</v>
      </c>
      <c r="H29" s="817"/>
      <c r="I29" s="381" t="str">
        <f t="shared" ca="1" si="0"/>
        <v/>
      </c>
      <c r="J29" s="387"/>
      <c r="K29" s="388"/>
      <c r="L29" s="384"/>
      <c r="M29" s="389"/>
      <c r="N29" s="388"/>
      <c r="O29" s="390"/>
      <c r="P29" s="816">
        <f t="shared" si="19"/>
        <v>0</v>
      </c>
      <c r="Q29" s="382" t="str">
        <f t="shared" ca="1" si="1"/>
        <v/>
      </c>
      <c r="R29" s="383" t="str">
        <f t="shared" ca="1" si="2"/>
        <v/>
      </c>
      <c r="S29" s="391"/>
      <c r="T29" s="391"/>
      <c r="U29" s="816">
        <f t="shared" si="10"/>
        <v>0</v>
      </c>
      <c r="V29" s="391"/>
      <c r="W29" s="391"/>
      <c r="X29" s="386" t="s">
        <v>173</v>
      </c>
      <c r="Y29" s="392"/>
      <c r="Z29" s="392"/>
      <c r="AA29" s="393"/>
      <c r="AB29" s="393"/>
      <c r="AC29" s="808" t="s">
        <v>666</v>
      </c>
      <c r="AD29" s="386"/>
      <c r="AE29" s="386" t="s">
        <v>20</v>
      </c>
      <c r="AF29" s="384"/>
      <c r="AG29" s="380" t="str">
        <f t="shared" si="11"/>
        <v>Non</v>
      </c>
      <c r="AH29" s="18"/>
      <c r="AI29" s="231" t="b">
        <f t="shared" ca="1" si="3"/>
        <v>0</v>
      </c>
      <c r="AJ29" s="201">
        <f t="shared" ca="1" si="12"/>
        <v>4</v>
      </c>
      <c r="AK29" s="201" t="str">
        <f t="shared" ca="1" si="13"/>
        <v>45</v>
      </c>
      <c r="AL29" s="201">
        <f t="shared" ca="1" si="4"/>
        <v>1</v>
      </c>
      <c r="AM29" s="201" t="str">
        <f t="shared" ca="1" si="5"/>
        <v/>
      </c>
      <c r="AN29" s="201">
        <f t="shared" ca="1" si="6"/>
        <v>0</v>
      </c>
      <c r="AO29" s="201" t="str">
        <f t="shared" ca="1" si="7"/>
        <v/>
      </c>
      <c r="AP29" s="201" t="str">
        <f t="shared" ca="1" si="8"/>
        <v>I</v>
      </c>
      <c r="AQ29" s="201">
        <f t="shared" ca="1" si="9"/>
        <v>3</v>
      </c>
      <c r="AR29" s="201" t="b">
        <f ca="1">CHOOSE(AJ29,FALSE,Data!DV$2,Data!DV$2,Data!DV$2,FALSE,FALSE,Data!DV$2)</f>
        <v>0</v>
      </c>
      <c r="AS29" s="201">
        <f ca="1">CHOOSE(AJ29,"Affaires",IF(Data!DP$2="agricole","Agricole","Affaires"),IF(Data!DP$2="Agricole","Industriel",Data!DP$2),IF(Data!DP$2="Agricole","Industriel",Data!DP$2),IF(Data!DP$2="Agricole","Agricole","Affaires"),IF(Data!DP$2="Transport","Transport","Affaires"),IF(Data!DP$2="Agricole","Industriel",Data!DP$2))</f>
        <v>0</v>
      </c>
      <c r="AT29" s="200" t="s">
        <v>5061</v>
      </c>
      <c r="AU29">
        <f t="shared" si="14"/>
        <v>0</v>
      </c>
      <c r="AV29">
        <f t="shared" si="15"/>
        <v>0</v>
      </c>
      <c r="AW29" s="51" t="str">
        <f t="shared" ca="1" si="16"/>
        <v/>
      </c>
      <c r="AY29" t="str">
        <f t="shared" ca="1" si="17"/>
        <v/>
      </c>
      <c r="AZ29">
        <f t="shared" si="18"/>
        <v>0</v>
      </c>
    </row>
    <row r="30" spans="3:52" ht="15.75" customHeight="1">
      <c r="C30" s="386"/>
      <c r="D30" s="384"/>
      <c r="E30" s="384" t="s">
        <v>224</v>
      </c>
      <c r="F30" s="384" t="s">
        <v>5079</v>
      </c>
      <c r="G30" s="384" t="s">
        <v>246</v>
      </c>
      <c r="H30" s="817"/>
      <c r="I30" s="381" t="str">
        <f t="shared" ca="1" si="0"/>
        <v/>
      </c>
      <c r="J30" s="387"/>
      <c r="K30" s="388"/>
      <c r="L30" s="384"/>
      <c r="M30" s="389"/>
      <c r="N30" s="388"/>
      <c r="O30" s="390"/>
      <c r="P30" s="816">
        <f t="shared" si="19"/>
        <v>0</v>
      </c>
      <c r="Q30" s="382" t="str">
        <f t="shared" ca="1" si="1"/>
        <v/>
      </c>
      <c r="R30" s="383" t="str">
        <f t="shared" ca="1" si="2"/>
        <v/>
      </c>
      <c r="S30" s="391"/>
      <c r="T30" s="391"/>
      <c r="U30" s="816">
        <f t="shared" si="10"/>
        <v>0</v>
      </c>
      <c r="V30" s="391"/>
      <c r="W30" s="391"/>
      <c r="X30" s="386" t="s">
        <v>173</v>
      </c>
      <c r="Y30" s="392"/>
      <c r="Z30" s="392"/>
      <c r="AA30" s="393"/>
      <c r="AB30" s="393"/>
      <c r="AC30" s="808" t="s">
        <v>666</v>
      </c>
      <c r="AD30" s="386"/>
      <c r="AE30" s="386" t="s">
        <v>20</v>
      </c>
      <c r="AF30" s="384"/>
      <c r="AG30" s="380" t="str">
        <f t="shared" si="11"/>
        <v>Non</v>
      </c>
      <c r="AH30" s="18"/>
      <c r="AI30" s="231" t="b">
        <f t="shared" ca="1" si="3"/>
        <v>0</v>
      </c>
      <c r="AJ30" s="201">
        <f t="shared" ca="1" si="12"/>
        <v>4</v>
      </c>
      <c r="AK30" s="201" t="str">
        <f t="shared" ca="1" si="13"/>
        <v>45</v>
      </c>
      <c r="AL30" s="201">
        <f t="shared" ca="1" si="4"/>
        <v>1</v>
      </c>
      <c r="AM30" s="201" t="str">
        <f t="shared" ca="1" si="5"/>
        <v/>
      </c>
      <c r="AN30" s="201">
        <f t="shared" ca="1" si="6"/>
        <v>0</v>
      </c>
      <c r="AO30" s="201" t="str">
        <f t="shared" ca="1" si="7"/>
        <v/>
      </c>
      <c r="AP30" s="201" t="str">
        <f t="shared" ca="1" si="8"/>
        <v>I</v>
      </c>
      <c r="AQ30" s="201">
        <f t="shared" ca="1" si="9"/>
        <v>3</v>
      </c>
      <c r="AR30" s="201" t="b">
        <f ca="1">CHOOSE(AJ30,FALSE,Data!DV$2,Data!DV$2,Data!DV$2,FALSE,FALSE,Data!DV$2)</f>
        <v>0</v>
      </c>
      <c r="AS30" s="201">
        <f ca="1">CHOOSE(AJ30,"Affaires",IF(Data!DP$2="agricole","Agricole","Affaires"),IF(Data!DP$2="Agricole","Industriel",Data!DP$2),IF(Data!DP$2="Agricole","Industriel",Data!DP$2),IF(Data!DP$2="Agricole","Agricole","Affaires"),IF(Data!DP$2="Transport","Transport","Affaires"),IF(Data!DP$2="Agricole","Industriel",Data!DP$2))</f>
        <v>0</v>
      </c>
      <c r="AT30" s="200" t="s">
        <v>5061</v>
      </c>
      <c r="AU30">
        <f t="shared" si="14"/>
        <v>0</v>
      </c>
      <c r="AV30">
        <f t="shared" si="15"/>
        <v>0</v>
      </c>
      <c r="AW30" s="51" t="str">
        <f t="shared" ca="1" si="16"/>
        <v/>
      </c>
      <c r="AY30" t="str">
        <f t="shared" ca="1" si="17"/>
        <v/>
      </c>
      <c r="AZ30">
        <f t="shared" si="18"/>
        <v>0</v>
      </c>
    </row>
    <row r="31" spans="3:52" ht="15.75" customHeight="1">
      <c r="C31" s="386"/>
      <c r="D31" s="384"/>
      <c r="E31" s="384" t="s">
        <v>224</v>
      </c>
      <c r="F31" s="384" t="s">
        <v>5079</v>
      </c>
      <c r="G31" s="384" t="s">
        <v>246</v>
      </c>
      <c r="H31" s="817"/>
      <c r="I31" s="381" t="str">
        <f t="shared" ca="1" si="0"/>
        <v/>
      </c>
      <c r="J31" s="387"/>
      <c r="K31" s="388"/>
      <c r="L31" s="384"/>
      <c r="M31" s="389"/>
      <c r="N31" s="388"/>
      <c r="O31" s="390"/>
      <c r="P31" s="816">
        <f t="shared" si="19"/>
        <v>0</v>
      </c>
      <c r="Q31" s="382" t="str">
        <f t="shared" ca="1" si="1"/>
        <v/>
      </c>
      <c r="R31" s="383" t="str">
        <f t="shared" ca="1" si="2"/>
        <v/>
      </c>
      <c r="S31" s="391"/>
      <c r="T31" s="391"/>
      <c r="U31" s="816">
        <f t="shared" si="10"/>
        <v>0</v>
      </c>
      <c r="V31" s="391"/>
      <c r="W31" s="391"/>
      <c r="X31" s="386" t="s">
        <v>173</v>
      </c>
      <c r="Y31" s="392"/>
      <c r="Z31" s="392"/>
      <c r="AA31" s="393"/>
      <c r="AB31" s="393"/>
      <c r="AC31" s="808" t="s">
        <v>666</v>
      </c>
      <c r="AD31" s="386"/>
      <c r="AE31" s="386" t="s">
        <v>20</v>
      </c>
      <c r="AF31" s="384"/>
      <c r="AG31" s="380" t="str">
        <f t="shared" si="11"/>
        <v>Non</v>
      </c>
      <c r="AH31" s="18"/>
      <c r="AI31" s="231" t="b">
        <f t="shared" ca="1" si="3"/>
        <v>0</v>
      </c>
      <c r="AJ31" s="201">
        <f t="shared" ca="1" si="12"/>
        <v>4</v>
      </c>
      <c r="AK31" s="201" t="str">
        <f t="shared" ca="1" si="13"/>
        <v>45</v>
      </c>
      <c r="AL31" s="201">
        <f t="shared" ca="1" si="4"/>
        <v>1</v>
      </c>
      <c r="AM31" s="201" t="str">
        <f t="shared" ca="1" si="5"/>
        <v/>
      </c>
      <c r="AN31" s="201">
        <f t="shared" ca="1" si="6"/>
        <v>0</v>
      </c>
      <c r="AO31" s="201" t="str">
        <f t="shared" ca="1" si="7"/>
        <v/>
      </c>
      <c r="AP31" s="201" t="str">
        <f t="shared" ca="1" si="8"/>
        <v>I</v>
      </c>
      <c r="AQ31" s="201">
        <f t="shared" ca="1" si="9"/>
        <v>3</v>
      </c>
      <c r="AR31" s="201" t="b">
        <f ca="1">CHOOSE(AJ31,FALSE,Data!DV$2,Data!DV$2,Data!DV$2,FALSE,FALSE,Data!DV$2)</f>
        <v>0</v>
      </c>
      <c r="AS31" s="201">
        <f ca="1">CHOOSE(AJ31,"Affaires",IF(Data!DP$2="agricole","Agricole","Affaires"),IF(Data!DP$2="Agricole","Industriel",Data!DP$2),IF(Data!DP$2="Agricole","Industriel",Data!DP$2),IF(Data!DP$2="Agricole","Agricole","Affaires"),IF(Data!DP$2="Transport","Transport","Affaires"),IF(Data!DP$2="Agricole","Industriel",Data!DP$2))</f>
        <v>0</v>
      </c>
      <c r="AT31" s="200" t="s">
        <v>5061</v>
      </c>
      <c r="AU31">
        <f t="shared" si="14"/>
        <v>0</v>
      </c>
      <c r="AV31">
        <f t="shared" si="15"/>
        <v>0</v>
      </c>
      <c r="AW31" s="51" t="str">
        <f t="shared" ca="1" si="16"/>
        <v/>
      </c>
      <c r="AY31" t="str">
        <f t="shared" ca="1" si="17"/>
        <v/>
      </c>
      <c r="AZ31">
        <f t="shared" si="18"/>
        <v>0</v>
      </c>
    </row>
    <row r="32" spans="3:52" ht="15.75" customHeight="1">
      <c r="C32" s="386"/>
      <c r="D32" s="384"/>
      <c r="E32" s="384" t="s">
        <v>224</v>
      </c>
      <c r="F32" s="384" t="s">
        <v>5079</v>
      </c>
      <c r="G32" s="384" t="s">
        <v>246</v>
      </c>
      <c r="H32" s="817"/>
      <c r="I32" s="381" t="str">
        <f t="shared" ca="1" si="0"/>
        <v/>
      </c>
      <c r="J32" s="387"/>
      <c r="K32" s="388"/>
      <c r="L32" s="384"/>
      <c r="M32" s="389"/>
      <c r="N32" s="388"/>
      <c r="O32" s="390"/>
      <c r="P32" s="816">
        <f t="shared" si="19"/>
        <v>0</v>
      </c>
      <c r="Q32" s="382" t="str">
        <f t="shared" ca="1" si="1"/>
        <v/>
      </c>
      <c r="R32" s="383" t="str">
        <f t="shared" ca="1" si="2"/>
        <v/>
      </c>
      <c r="S32" s="391"/>
      <c r="T32" s="391"/>
      <c r="U32" s="816">
        <f t="shared" si="10"/>
        <v>0</v>
      </c>
      <c r="V32" s="391"/>
      <c r="W32" s="391"/>
      <c r="X32" s="386" t="s">
        <v>173</v>
      </c>
      <c r="Y32" s="392"/>
      <c r="Z32" s="392"/>
      <c r="AA32" s="393"/>
      <c r="AB32" s="393"/>
      <c r="AC32" s="808" t="s">
        <v>666</v>
      </c>
      <c r="AD32" s="386"/>
      <c r="AE32" s="386" t="s">
        <v>20</v>
      </c>
      <c r="AF32" s="384"/>
      <c r="AG32" s="380" t="str">
        <f t="shared" si="11"/>
        <v>Non</v>
      </c>
      <c r="AH32" s="18"/>
      <c r="AI32" s="231" t="b">
        <f t="shared" ca="1" si="3"/>
        <v>0</v>
      </c>
      <c r="AJ32" s="201">
        <f t="shared" ca="1" si="12"/>
        <v>4</v>
      </c>
      <c r="AK32" s="201" t="str">
        <f t="shared" ca="1" si="13"/>
        <v>45</v>
      </c>
      <c r="AL32" s="201">
        <f t="shared" ca="1" si="4"/>
        <v>1</v>
      </c>
      <c r="AM32" s="201" t="str">
        <f t="shared" ca="1" si="5"/>
        <v/>
      </c>
      <c r="AN32" s="201">
        <f t="shared" ca="1" si="6"/>
        <v>0</v>
      </c>
      <c r="AO32" s="201" t="str">
        <f t="shared" ca="1" si="7"/>
        <v/>
      </c>
      <c r="AP32" s="201" t="str">
        <f t="shared" ca="1" si="8"/>
        <v>I</v>
      </c>
      <c r="AQ32" s="201">
        <f t="shared" ca="1" si="9"/>
        <v>3</v>
      </c>
      <c r="AR32" s="201" t="b">
        <f ca="1">CHOOSE(AJ32,FALSE,Data!DV$2,Data!DV$2,Data!DV$2,FALSE,FALSE,Data!DV$2)</f>
        <v>0</v>
      </c>
      <c r="AS32" s="201">
        <f ca="1">CHOOSE(AJ32,"Affaires",IF(Data!DP$2="agricole","Agricole","Affaires"),IF(Data!DP$2="Agricole","Industriel",Data!DP$2),IF(Data!DP$2="Agricole","Industriel",Data!DP$2),IF(Data!DP$2="Agricole","Agricole","Affaires"),IF(Data!DP$2="Transport","Transport","Affaires"),IF(Data!DP$2="Agricole","Industriel",Data!DP$2))</f>
        <v>0</v>
      </c>
      <c r="AT32" s="200" t="s">
        <v>5061</v>
      </c>
      <c r="AU32">
        <f t="shared" si="14"/>
        <v>0</v>
      </c>
      <c r="AV32">
        <f t="shared" si="15"/>
        <v>0</v>
      </c>
      <c r="AW32" s="51" t="str">
        <f t="shared" ca="1" si="16"/>
        <v/>
      </c>
      <c r="AY32" t="str">
        <f t="shared" ca="1" si="17"/>
        <v/>
      </c>
      <c r="AZ32">
        <f t="shared" si="18"/>
        <v>0</v>
      </c>
    </row>
    <row r="33" spans="3:52" ht="15.75" customHeight="1">
      <c r="C33" s="386"/>
      <c r="D33" s="384"/>
      <c r="E33" s="384" t="s">
        <v>224</v>
      </c>
      <c r="F33" s="384" t="s">
        <v>5079</v>
      </c>
      <c r="G33" s="384" t="s">
        <v>246</v>
      </c>
      <c r="H33" s="817"/>
      <c r="I33" s="394" t="str">
        <f t="shared" ca="1" si="0"/>
        <v/>
      </c>
      <c r="J33" s="395"/>
      <c r="K33" s="396"/>
      <c r="L33" s="397"/>
      <c r="M33" s="389"/>
      <c r="N33" s="388"/>
      <c r="O33" s="390"/>
      <c r="P33" s="816">
        <f t="shared" si="19"/>
        <v>0</v>
      </c>
      <c r="Q33" s="382" t="str">
        <f t="shared" ca="1" si="1"/>
        <v/>
      </c>
      <c r="R33" s="383" t="str">
        <f t="shared" ca="1" si="2"/>
        <v/>
      </c>
      <c r="S33" s="391"/>
      <c r="T33" s="391"/>
      <c r="U33" s="816">
        <f t="shared" si="10"/>
        <v>0</v>
      </c>
      <c r="V33" s="391"/>
      <c r="W33" s="391"/>
      <c r="X33" s="386" t="s">
        <v>173</v>
      </c>
      <c r="Y33" s="392"/>
      <c r="Z33" s="392"/>
      <c r="AA33" s="393"/>
      <c r="AB33" s="393"/>
      <c r="AC33" s="808" t="s">
        <v>666</v>
      </c>
      <c r="AD33" s="386"/>
      <c r="AE33" s="386" t="s">
        <v>20</v>
      </c>
      <c r="AF33" s="384"/>
      <c r="AG33" s="380" t="str">
        <f t="shared" si="11"/>
        <v>Non</v>
      </c>
      <c r="AH33" s="18"/>
      <c r="AI33" s="231" t="b">
        <f t="shared" ca="1" si="3"/>
        <v>0</v>
      </c>
      <c r="AJ33" s="201">
        <f t="shared" ca="1" si="12"/>
        <v>4</v>
      </c>
      <c r="AK33" s="201" t="str">
        <f t="shared" ca="1" si="13"/>
        <v>45</v>
      </c>
      <c r="AL33" s="201">
        <f t="shared" ca="1" si="4"/>
        <v>1</v>
      </c>
      <c r="AM33" s="201" t="str">
        <f t="shared" ca="1" si="5"/>
        <v/>
      </c>
      <c r="AN33" s="201">
        <f t="shared" ca="1" si="6"/>
        <v>0</v>
      </c>
      <c r="AO33" s="201" t="str">
        <f t="shared" ca="1" si="7"/>
        <v/>
      </c>
      <c r="AP33" s="201" t="str">
        <f t="shared" ca="1" si="8"/>
        <v>I</v>
      </c>
      <c r="AQ33" s="201">
        <f t="shared" ca="1" si="9"/>
        <v>3</v>
      </c>
      <c r="AR33" s="201" t="b">
        <f ca="1">CHOOSE(AJ33,FALSE,Data!DV$2,Data!DV$2,Data!DV$2,FALSE,FALSE,Data!DV$2)</f>
        <v>0</v>
      </c>
      <c r="AS33" s="201">
        <f ca="1">CHOOSE(AJ33,"Affaires",IF(Data!DP$2="agricole","Agricole","Affaires"),IF(Data!DP$2="Agricole","Industriel",Data!DP$2),IF(Data!DP$2="Agricole","Industriel",Data!DP$2),IF(Data!DP$2="Agricole","Agricole","Affaires"),IF(Data!DP$2="Transport","Transport","Affaires"),IF(Data!DP$2="Agricole","Industriel",Data!DP$2))</f>
        <v>0</v>
      </c>
      <c r="AT33" s="200" t="s">
        <v>5061</v>
      </c>
      <c r="AU33">
        <f t="shared" si="14"/>
        <v>0</v>
      </c>
      <c r="AV33">
        <f t="shared" si="15"/>
        <v>0</v>
      </c>
      <c r="AW33" s="51" t="str">
        <f t="shared" ca="1" si="16"/>
        <v/>
      </c>
      <c r="AY33" t="str">
        <f t="shared" ca="1" si="17"/>
        <v/>
      </c>
      <c r="AZ33">
        <f t="shared" si="18"/>
        <v>0</v>
      </c>
    </row>
    <row r="34" spans="3:52" ht="15.75" customHeight="1">
      <c r="C34" s="386"/>
      <c r="D34" s="384"/>
      <c r="E34" s="384" t="s">
        <v>224</v>
      </c>
      <c r="F34" s="384" t="s">
        <v>5079</v>
      </c>
      <c r="G34" s="384" t="s">
        <v>246</v>
      </c>
      <c r="H34" s="817"/>
      <c r="I34" s="381" t="str">
        <f t="shared" ca="1" si="0"/>
        <v/>
      </c>
      <c r="J34" s="387"/>
      <c r="K34" s="388"/>
      <c r="L34" s="384"/>
      <c r="M34" s="389"/>
      <c r="N34" s="388"/>
      <c r="O34" s="390"/>
      <c r="P34" s="816">
        <f t="shared" si="19"/>
        <v>0</v>
      </c>
      <c r="Q34" s="382" t="str">
        <f t="shared" ca="1" si="1"/>
        <v/>
      </c>
      <c r="R34" s="383" t="str">
        <f t="shared" ca="1" si="2"/>
        <v/>
      </c>
      <c r="S34" s="391"/>
      <c r="T34" s="391"/>
      <c r="U34" s="816">
        <f t="shared" si="10"/>
        <v>0</v>
      </c>
      <c r="V34" s="391"/>
      <c r="W34" s="391"/>
      <c r="X34" s="386" t="s">
        <v>173</v>
      </c>
      <c r="Y34" s="392"/>
      <c r="Z34" s="392"/>
      <c r="AA34" s="393"/>
      <c r="AB34" s="393"/>
      <c r="AC34" s="808" t="s">
        <v>666</v>
      </c>
      <c r="AD34" s="386"/>
      <c r="AE34" s="386" t="s">
        <v>20</v>
      </c>
      <c r="AF34" s="384"/>
      <c r="AG34" s="380" t="str">
        <f t="shared" si="11"/>
        <v>Non</v>
      </c>
      <c r="AH34" s="18"/>
      <c r="AI34" s="231" t="b">
        <f t="shared" ca="1" si="3"/>
        <v>0</v>
      </c>
      <c r="AJ34" s="201">
        <f t="shared" ca="1" si="12"/>
        <v>4</v>
      </c>
      <c r="AK34" s="201" t="str">
        <f t="shared" ca="1" si="13"/>
        <v>45</v>
      </c>
      <c r="AL34" s="201">
        <f t="shared" ca="1" si="4"/>
        <v>1</v>
      </c>
      <c r="AM34" s="201" t="str">
        <f t="shared" ca="1" si="5"/>
        <v/>
      </c>
      <c r="AN34" s="201">
        <f t="shared" ca="1" si="6"/>
        <v>0</v>
      </c>
      <c r="AO34" s="201" t="str">
        <f t="shared" ca="1" si="7"/>
        <v/>
      </c>
      <c r="AP34" s="201" t="str">
        <f t="shared" ca="1" si="8"/>
        <v>I</v>
      </c>
      <c r="AQ34" s="201">
        <f t="shared" ca="1" si="9"/>
        <v>3</v>
      </c>
      <c r="AR34" s="201" t="b">
        <f ca="1">CHOOSE(AJ34,FALSE,Data!DV$2,Data!DV$2,Data!DV$2,FALSE,FALSE,Data!DV$2)</f>
        <v>0</v>
      </c>
      <c r="AS34" s="201">
        <f ca="1">CHOOSE(AJ34,"Affaires",IF(Data!DP$2="agricole","Agricole","Affaires"),IF(Data!DP$2="Agricole","Industriel",Data!DP$2),IF(Data!DP$2="Agricole","Industriel",Data!DP$2),IF(Data!DP$2="Agricole","Agricole","Affaires"),IF(Data!DP$2="Transport","Transport","Affaires"),IF(Data!DP$2="Agricole","Industriel",Data!DP$2))</f>
        <v>0</v>
      </c>
      <c r="AT34" s="200" t="s">
        <v>5061</v>
      </c>
      <c r="AU34">
        <f t="shared" si="14"/>
        <v>0</v>
      </c>
      <c r="AV34">
        <f t="shared" si="15"/>
        <v>0</v>
      </c>
      <c r="AW34" s="51" t="str">
        <f t="shared" ca="1" si="16"/>
        <v/>
      </c>
      <c r="AY34" t="str">
        <f t="shared" ca="1" si="17"/>
        <v/>
      </c>
      <c r="AZ34">
        <f t="shared" si="18"/>
        <v>0</v>
      </c>
    </row>
    <row r="35" spans="3:52" ht="15.75" customHeight="1">
      <c r="C35" s="386"/>
      <c r="D35" s="384"/>
      <c r="E35" s="384" t="s">
        <v>224</v>
      </c>
      <c r="F35" s="384" t="s">
        <v>5079</v>
      </c>
      <c r="G35" s="384" t="s">
        <v>246</v>
      </c>
      <c r="H35" s="817"/>
      <c r="I35" s="381" t="str">
        <f t="shared" ca="1" si="0"/>
        <v/>
      </c>
      <c r="J35" s="387"/>
      <c r="K35" s="388"/>
      <c r="L35" s="384"/>
      <c r="M35" s="389"/>
      <c r="N35" s="388"/>
      <c r="O35" s="390"/>
      <c r="P35" s="816">
        <f t="shared" si="19"/>
        <v>0</v>
      </c>
      <c r="Q35" s="382" t="str">
        <f t="shared" ca="1" si="1"/>
        <v/>
      </c>
      <c r="R35" s="383" t="str">
        <f t="shared" ca="1" si="2"/>
        <v/>
      </c>
      <c r="S35" s="391"/>
      <c r="T35" s="391"/>
      <c r="U35" s="816">
        <f t="shared" si="10"/>
        <v>0</v>
      </c>
      <c r="V35" s="391"/>
      <c r="W35" s="391"/>
      <c r="X35" s="386" t="s">
        <v>173</v>
      </c>
      <c r="Y35" s="392"/>
      <c r="Z35" s="392"/>
      <c r="AA35" s="393"/>
      <c r="AB35" s="393"/>
      <c r="AC35" s="808" t="s">
        <v>666</v>
      </c>
      <c r="AD35" s="386"/>
      <c r="AE35" s="386" t="s">
        <v>20</v>
      </c>
      <c r="AF35" s="384"/>
      <c r="AG35" s="380" t="str">
        <f t="shared" si="11"/>
        <v>Non</v>
      </c>
      <c r="AH35" s="18"/>
      <c r="AI35" s="231" t="b">
        <f t="shared" ca="1" si="3"/>
        <v>0</v>
      </c>
      <c r="AJ35" s="201">
        <f t="shared" ca="1" si="12"/>
        <v>4</v>
      </c>
      <c r="AK35" s="201" t="str">
        <f t="shared" ca="1" si="13"/>
        <v>45</v>
      </c>
      <c r="AL35" s="201">
        <f t="shared" ca="1" si="4"/>
        <v>1</v>
      </c>
      <c r="AM35" s="201" t="str">
        <f t="shared" ca="1" si="5"/>
        <v/>
      </c>
      <c r="AN35" s="201">
        <f t="shared" ca="1" si="6"/>
        <v>0</v>
      </c>
      <c r="AO35" s="201" t="str">
        <f t="shared" ca="1" si="7"/>
        <v/>
      </c>
      <c r="AP35" s="201" t="str">
        <f t="shared" ca="1" si="8"/>
        <v>I</v>
      </c>
      <c r="AQ35" s="201">
        <f t="shared" ca="1" si="9"/>
        <v>3</v>
      </c>
      <c r="AR35" s="201" t="b">
        <f ca="1">CHOOSE(AJ35,FALSE,Data!DV$2,Data!DV$2,Data!DV$2,FALSE,FALSE,Data!DV$2)</f>
        <v>0</v>
      </c>
      <c r="AS35" s="201">
        <f ca="1">CHOOSE(AJ35,"Affaires",IF(Data!DP$2="agricole","Agricole","Affaires"),IF(Data!DP$2="Agricole","Industriel",Data!DP$2),IF(Data!DP$2="Agricole","Industriel",Data!DP$2),IF(Data!DP$2="Agricole","Agricole","Affaires"),IF(Data!DP$2="Transport","Transport","Affaires"),IF(Data!DP$2="Agricole","Industriel",Data!DP$2))</f>
        <v>0</v>
      </c>
      <c r="AT35" s="200" t="s">
        <v>5061</v>
      </c>
      <c r="AU35">
        <f t="shared" si="14"/>
        <v>0</v>
      </c>
      <c r="AV35">
        <f t="shared" si="15"/>
        <v>0</v>
      </c>
      <c r="AW35" s="51" t="str">
        <f t="shared" ca="1" si="16"/>
        <v/>
      </c>
      <c r="AY35" t="str">
        <f t="shared" ca="1" si="17"/>
        <v/>
      </c>
      <c r="AZ35">
        <f t="shared" si="18"/>
        <v>0</v>
      </c>
    </row>
    <row r="36" spans="3:52" ht="15.75" customHeight="1">
      <c r="C36" s="386"/>
      <c r="D36" s="384"/>
      <c r="E36" s="384" t="s">
        <v>224</v>
      </c>
      <c r="F36" s="384" t="s">
        <v>5079</v>
      </c>
      <c r="G36" s="384" t="s">
        <v>246</v>
      </c>
      <c r="H36" s="817"/>
      <c r="I36" s="381" t="str">
        <f t="shared" ca="1" si="0"/>
        <v/>
      </c>
      <c r="J36" s="387"/>
      <c r="K36" s="388"/>
      <c r="L36" s="384"/>
      <c r="M36" s="389"/>
      <c r="N36" s="388"/>
      <c r="O36" s="390"/>
      <c r="P36" s="816">
        <f t="shared" si="19"/>
        <v>0</v>
      </c>
      <c r="Q36" s="382" t="str">
        <f t="shared" ca="1" si="1"/>
        <v/>
      </c>
      <c r="R36" s="383" t="str">
        <f t="shared" ca="1" si="2"/>
        <v/>
      </c>
      <c r="S36" s="391"/>
      <c r="T36" s="391"/>
      <c r="U36" s="816">
        <f t="shared" si="10"/>
        <v>0</v>
      </c>
      <c r="V36" s="391"/>
      <c r="W36" s="391"/>
      <c r="X36" s="386" t="s">
        <v>173</v>
      </c>
      <c r="Y36" s="392"/>
      <c r="Z36" s="392"/>
      <c r="AA36" s="393"/>
      <c r="AB36" s="393"/>
      <c r="AC36" s="808" t="s">
        <v>666</v>
      </c>
      <c r="AD36" s="386"/>
      <c r="AE36" s="386" t="s">
        <v>20</v>
      </c>
      <c r="AF36" s="384"/>
      <c r="AG36" s="380" t="str">
        <f t="shared" si="11"/>
        <v>Non</v>
      </c>
      <c r="AH36" s="18"/>
      <c r="AI36" s="231" t="b">
        <f t="shared" ca="1" si="3"/>
        <v>0</v>
      </c>
      <c r="AJ36" s="201">
        <f t="shared" ca="1" si="12"/>
        <v>4</v>
      </c>
      <c r="AK36" s="201" t="str">
        <f t="shared" ca="1" si="13"/>
        <v>45</v>
      </c>
      <c r="AL36" s="201">
        <f t="shared" ca="1" si="4"/>
        <v>1</v>
      </c>
      <c r="AM36" s="201" t="str">
        <f t="shared" ca="1" si="5"/>
        <v/>
      </c>
      <c r="AN36" s="201">
        <f t="shared" ca="1" si="6"/>
        <v>0</v>
      </c>
      <c r="AO36" s="201" t="str">
        <f t="shared" ca="1" si="7"/>
        <v/>
      </c>
      <c r="AP36" s="201" t="str">
        <f t="shared" ca="1" si="8"/>
        <v>I</v>
      </c>
      <c r="AQ36" s="201">
        <f t="shared" ca="1" si="9"/>
        <v>3</v>
      </c>
      <c r="AR36" s="201" t="b">
        <f ca="1">CHOOSE(AJ36,FALSE,Data!DV$2,Data!DV$2,Data!DV$2,FALSE,FALSE,Data!DV$2)</f>
        <v>0</v>
      </c>
      <c r="AS36" s="201">
        <f ca="1">CHOOSE(AJ36,"Affaires",IF(Data!DP$2="agricole","Agricole","Affaires"),IF(Data!DP$2="Agricole","Industriel",Data!DP$2),IF(Data!DP$2="Agricole","Industriel",Data!DP$2),IF(Data!DP$2="Agricole","Agricole","Affaires"),IF(Data!DP$2="Transport","Transport","Affaires"),IF(Data!DP$2="Agricole","Industriel",Data!DP$2))</f>
        <v>0</v>
      </c>
      <c r="AT36" s="200" t="s">
        <v>5061</v>
      </c>
      <c r="AU36">
        <f t="shared" si="14"/>
        <v>0</v>
      </c>
      <c r="AV36">
        <f t="shared" si="15"/>
        <v>0</v>
      </c>
      <c r="AW36" s="51" t="str">
        <f t="shared" ca="1" si="16"/>
        <v/>
      </c>
      <c r="AY36" t="str">
        <f t="shared" ca="1" si="17"/>
        <v/>
      </c>
      <c r="AZ36">
        <f t="shared" si="18"/>
        <v>0</v>
      </c>
    </row>
    <row r="37" spans="3:52" ht="15.75" customHeight="1">
      <c r="C37" s="386"/>
      <c r="D37" s="384"/>
      <c r="E37" s="384" t="s">
        <v>224</v>
      </c>
      <c r="F37" s="384" t="s">
        <v>5079</v>
      </c>
      <c r="G37" s="384" t="s">
        <v>246</v>
      </c>
      <c r="H37" s="817"/>
      <c r="I37" s="381" t="str">
        <f t="shared" ca="1" si="0"/>
        <v/>
      </c>
      <c r="J37" s="387"/>
      <c r="K37" s="388"/>
      <c r="L37" s="384"/>
      <c r="M37" s="389"/>
      <c r="N37" s="388"/>
      <c r="O37" s="390"/>
      <c r="P37" s="816">
        <f t="shared" si="19"/>
        <v>0</v>
      </c>
      <c r="Q37" s="382" t="str">
        <f t="shared" ca="1" si="1"/>
        <v/>
      </c>
      <c r="R37" s="383" t="str">
        <f t="shared" ca="1" si="2"/>
        <v/>
      </c>
      <c r="S37" s="391"/>
      <c r="T37" s="391"/>
      <c r="U37" s="816">
        <f t="shared" si="10"/>
        <v>0</v>
      </c>
      <c r="V37" s="391"/>
      <c r="W37" s="391"/>
      <c r="X37" s="386" t="s">
        <v>173</v>
      </c>
      <c r="Y37" s="392"/>
      <c r="Z37" s="392"/>
      <c r="AA37" s="393"/>
      <c r="AB37" s="393"/>
      <c r="AC37" s="808" t="s">
        <v>666</v>
      </c>
      <c r="AD37" s="386"/>
      <c r="AE37" s="386" t="s">
        <v>20</v>
      </c>
      <c r="AF37" s="384"/>
      <c r="AG37" s="380" t="str">
        <f t="shared" si="11"/>
        <v>Non</v>
      </c>
      <c r="AH37" s="18"/>
      <c r="AI37" s="231" t="b">
        <f t="shared" ca="1" si="3"/>
        <v>0</v>
      </c>
      <c r="AJ37" s="201">
        <f t="shared" ca="1" si="12"/>
        <v>4</v>
      </c>
      <c r="AK37" s="201" t="str">
        <f t="shared" ca="1" si="13"/>
        <v>45</v>
      </c>
      <c r="AL37" s="201">
        <f t="shared" ca="1" si="4"/>
        <v>1</v>
      </c>
      <c r="AM37" s="201" t="str">
        <f t="shared" ca="1" si="5"/>
        <v/>
      </c>
      <c r="AN37" s="201">
        <f t="shared" ca="1" si="6"/>
        <v>0</v>
      </c>
      <c r="AO37" s="201" t="str">
        <f t="shared" ca="1" si="7"/>
        <v/>
      </c>
      <c r="AP37" s="201" t="str">
        <f t="shared" ca="1" si="8"/>
        <v>I</v>
      </c>
      <c r="AQ37" s="201">
        <f t="shared" ca="1" si="9"/>
        <v>3</v>
      </c>
      <c r="AR37" s="201" t="b">
        <f ca="1">CHOOSE(AJ37,FALSE,Data!DV$2,Data!DV$2,Data!DV$2,FALSE,FALSE,Data!DV$2)</f>
        <v>0</v>
      </c>
      <c r="AS37" s="201">
        <f ca="1">CHOOSE(AJ37,"Affaires",IF(Data!DP$2="agricole","Agricole","Affaires"),IF(Data!DP$2="Agricole","Industriel",Data!DP$2),IF(Data!DP$2="Agricole","Industriel",Data!DP$2),IF(Data!DP$2="Agricole","Agricole","Affaires"),IF(Data!DP$2="Transport","Transport","Affaires"),IF(Data!DP$2="Agricole","Industriel",Data!DP$2))</f>
        <v>0</v>
      </c>
      <c r="AT37" s="200" t="s">
        <v>5061</v>
      </c>
      <c r="AU37">
        <f t="shared" si="14"/>
        <v>0</v>
      </c>
      <c r="AV37">
        <f t="shared" si="15"/>
        <v>0</v>
      </c>
      <c r="AW37" s="51" t="str">
        <f t="shared" ca="1" si="16"/>
        <v/>
      </c>
      <c r="AY37" t="str">
        <f t="shared" ca="1" si="17"/>
        <v/>
      </c>
      <c r="AZ37">
        <f t="shared" si="18"/>
        <v>0</v>
      </c>
    </row>
    <row r="38" spans="3:52" ht="15.75" customHeight="1">
      <c r="C38" s="386"/>
      <c r="D38" s="384"/>
      <c r="E38" s="384" t="s">
        <v>224</v>
      </c>
      <c r="F38" s="384" t="s">
        <v>5079</v>
      </c>
      <c r="G38" s="384" t="s">
        <v>246</v>
      </c>
      <c r="H38" s="817"/>
      <c r="I38" s="381" t="str">
        <f t="shared" ca="1" si="0"/>
        <v/>
      </c>
      <c r="J38" s="387"/>
      <c r="K38" s="388"/>
      <c r="L38" s="384"/>
      <c r="M38" s="389"/>
      <c r="N38" s="388"/>
      <c r="O38" s="390"/>
      <c r="P38" s="816">
        <f t="shared" si="19"/>
        <v>0</v>
      </c>
      <c r="Q38" s="382" t="str">
        <f t="shared" ca="1" si="1"/>
        <v/>
      </c>
      <c r="R38" s="383" t="str">
        <f t="shared" ca="1" si="2"/>
        <v/>
      </c>
      <c r="S38" s="391"/>
      <c r="T38" s="391"/>
      <c r="U38" s="816">
        <f t="shared" si="10"/>
        <v>0</v>
      </c>
      <c r="V38" s="391"/>
      <c r="W38" s="391"/>
      <c r="X38" s="386" t="s">
        <v>173</v>
      </c>
      <c r="Y38" s="392"/>
      <c r="Z38" s="392"/>
      <c r="AA38" s="393"/>
      <c r="AB38" s="393"/>
      <c r="AC38" s="808" t="s">
        <v>666</v>
      </c>
      <c r="AD38" s="386"/>
      <c r="AE38" s="386" t="s">
        <v>20</v>
      </c>
      <c r="AF38" s="384"/>
      <c r="AG38" s="380" t="str">
        <f t="shared" si="11"/>
        <v>Non</v>
      </c>
      <c r="AH38" s="18"/>
      <c r="AI38" s="231" t="b">
        <f t="shared" ca="1" si="3"/>
        <v>0</v>
      </c>
      <c r="AJ38" s="201">
        <f t="shared" ca="1" si="12"/>
        <v>4</v>
      </c>
      <c r="AK38" s="201" t="str">
        <f t="shared" ca="1" si="13"/>
        <v>45</v>
      </c>
      <c r="AL38" s="201">
        <f t="shared" ca="1" si="4"/>
        <v>1</v>
      </c>
      <c r="AM38" s="201" t="str">
        <f t="shared" ca="1" si="5"/>
        <v/>
      </c>
      <c r="AN38" s="201">
        <f t="shared" ca="1" si="6"/>
        <v>0</v>
      </c>
      <c r="AO38" s="201" t="str">
        <f t="shared" ca="1" si="7"/>
        <v/>
      </c>
      <c r="AP38" s="201" t="str">
        <f t="shared" ca="1" si="8"/>
        <v>I</v>
      </c>
      <c r="AQ38" s="201">
        <f t="shared" ca="1" si="9"/>
        <v>3</v>
      </c>
      <c r="AR38" s="201" t="b">
        <f ca="1">CHOOSE(AJ38,FALSE,Data!DV$2,Data!DV$2,Data!DV$2,FALSE,FALSE,Data!DV$2)</f>
        <v>0</v>
      </c>
      <c r="AS38" s="201">
        <f ca="1">CHOOSE(AJ38,"Affaires",IF(Data!DP$2="agricole","Agricole","Affaires"),IF(Data!DP$2="Agricole","Industriel",Data!DP$2),IF(Data!DP$2="Agricole","Industriel",Data!DP$2),IF(Data!DP$2="Agricole","Agricole","Affaires"),IF(Data!DP$2="Transport","Transport","Affaires"),IF(Data!DP$2="Agricole","Industriel",Data!DP$2))</f>
        <v>0</v>
      </c>
      <c r="AT38" s="200" t="s">
        <v>5061</v>
      </c>
      <c r="AU38">
        <f t="shared" si="14"/>
        <v>0</v>
      </c>
      <c r="AV38">
        <f t="shared" si="15"/>
        <v>0</v>
      </c>
      <c r="AW38" s="51" t="str">
        <f t="shared" ca="1" si="16"/>
        <v/>
      </c>
      <c r="AY38" t="str">
        <f t="shared" ca="1" si="17"/>
        <v/>
      </c>
      <c r="AZ38">
        <f t="shared" si="18"/>
        <v>0</v>
      </c>
    </row>
    <row r="39" spans="3:52" ht="15.75" customHeight="1">
      <c r="C39" s="386"/>
      <c r="D39" s="384"/>
      <c r="E39" s="384" t="s">
        <v>224</v>
      </c>
      <c r="F39" s="384" t="s">
        <v>5079</v>
      </c>
      <c r="G39" s="384" t="s">
        <v>246</v>
      </c>
      <c r="H39" s="817"/>
      <c r="I39" s="381" t="str">
        <f t="shared" ca="1" si="0"/>
        <v/>
      </c>
      <c r="J39" s="387"/>
      <c r="K39" s="388"/>
      <c r="L39" s="384"/>
      <c r="M39" s="389"/>
      <c r="N39" s="388"/>
      <c r="O39" s="390"/>
      <c r="P39" s="816">
        <f t="shared" si="19"/>
        <v>0</v>
      </c>
      <c r="Q39" s="382" t="str">
        <f t="shared" ca="1" si="1"/>
        <v/>
      </c>
      <c r="R39" s="383" t="str">
        <f t="shared" ca="1" si="2"/>
        <v/>
      </c>
      <c r="S39" s="391"/>
      <c r="T39" s="391"/>
      <c r="U39" s="816">
        <f t="shared" si="10"/>
        <v>0</v>
      </c>
      <c r="V39" s="391"/>
      <c r="W39" s="391"/>
      <c r="X39" s="386" t="s">
        <v>173</v>
      </c>
      <c r="Y39" s="392"/>
      <c r="Z39" s="392"/>
      <c r="AA39" s="393"/>
      <c r="AB39" s="393"/>
      <c r="AC39" s="808" t="s">
        <v>666</v>
      </c>
      <c r="AD39" s="386"/>
      <c r="AE39" s="386" t="s">
        <v>20</v>
      </c>
      <c r="AF39" s="384"/>
      <c r="AG39" s="380" t="str">
        <f t="shared" si="11"/>
        <v>Non</v>
      </c>
      <c r="AH39" s="18"/>
      <c r="AI39" s="231" t="b">
        <f t="shared" ca="1" si="3"/>
        <v>0</v>
      </c>
      <c r="AJ39" s="201">
        <f t="shared" ca="1" si="12"/>
        <v>4</v>
      </c>
      <c r="AK39" s="201" t="str">
        <f t="shared" ca="1" si="13"/>
        <v>45</v>
      </c>
      <c r="AL39" s="201">
        <f t="shared" ca="1" si="4"/>
        <v>1</v>
      </c>
      <c r="AM39" s="201" t="str">
        <f t="shared" ca="1" si="5"/>
        <v/>
      </c>
      <c r="AN39" s="201">
        <f t="shared" ca="1" si="6"/>
        <v>0</v>
      </c>
      <c r="AO39" s="201" t="str">
        <f t="shared" ca="1" si="7"/>
        <v/>
      </c>
      <c r="AP39" s="201" t="str">
        <f t="shared" ca="1" si="8"/>
        <v>I</v>
      </c>
      <c r="AQ39" s="201">
        <f t="shared" ca="1" si="9"/>
        <v>3</v>
      </c>
      <c r="AR39" s="201" t="b">
        <f ca="1">CHOOSE(AJ39,FALSE,Data!DV$2,Data!DV$2,Data!DV$2,FALSE,FALSE,Data!DV$2)</f>
        <v>0</v>
      </c>
      <c r="AS39" s="201">
        <f ca="1">CHOOSE(AJ39,"Affaires",IF(Data!DP$2="agricole","Agricole","Affaires"),IF(Data!DP$2="Agricole","Industriel",Data!DP$2),IF(Data!DP$2="Agricole","Industriel",Data!DP$2),IF(Data!DP$2="Agricole","Agricole","Affaires"),IF(Data!DP$2="Transport","Transport","Affaires"),IF(Data!DP$2="Agricole","Industriel",Data!DP$2))</f>
        <v>0</v>
      </c>
      <c r="AT39" s="200" t="s">
        <v>5061</v>
      </c>
      <c r="AU39">
        <f t="shared" si="14"/>
        <v>0</v>
      </c>
      <c r="AV39">
        <f t="shared" si="15"/>
        <v>0</v>
      </c>
      <c r="AW39" s="51" t="str">
        <f t="shared" ca="1" si="16"/>
        <v/>
      </c>
      <c r="AY39" t="str">
        <f t="shared" ca="1" si="17"/>
        <v/>
      </c>
      <c r="AZ39">
        <f t="shared" si="18"/>
        <v>0</v>
      </c>
    </row>
    <row r="40" spans="3:52" ht="15.75" customHeight="1">
      <c r="C40" s="386"/>
      <c r="D40" s="384"/>
      <c r="E40" s="384" t="s">
        <v>224</v>
      </c>
      <c r="F40" s="384" t="s">
        <v>5079</v>
      </c>
      <c r="G40" s="384" t="s">
        <v>246</v>
      </c>
      <c r="H40" s="817"/>
      <c r="I40" s="381" t="str">
        <f t="shared" ca="1" si="0"/>
        <v/>
      </c>
      <c r="J40" s="387"/>
      <c r="K40" s="388"/>
      <c r="L40" s="384"/>
      <c r="M40" s="389"/>
      <c r="N40" s="388"/>
      <c r="O40" s="390"/>
      <c r="P40" s="816">
        <f t="shared" si="19"/>
        <v>0</v>
      </c>
      <c r="Q40" s="382" t="str">
        <f t="shared" ca="1" si="1"/>
        <v/>
      </c>
      <c r="R40" s="383" t="str">
        <f t="shared" ca="1" si="2"/>
        <v/>
      </c>
      <c r="S40" s="391"/>
      <c r="T40" s="391"/>
      <c r="U40" s="816">
        <f t="shared" si="10"/>
        <v>0</v>
      </c>
      <c r="V40" s="391"/>
      <c r="W40" s="391"/>
      <c r="X40" s="386" t="s">
        <v>173</v>
      </c>
      <c r="Y40" s="392"/>
      <c r="Z40" s="392"/>
      <c r="AA40" s="393"/>
      <c r="AB40" s="393"/>
      <c r="AC40" s="808" t="s">
        <v>666</v>
      </c>
      <c r="AD40" s="386"/>
      <c r="AE40" s="386" t="s">
        <v>20</v>
      </c>
      <c r="AF40" s="384"/>
      <c r="AG40" s="380" t="str">
        <f t="shared" si="11"/>
        <v>Non</v>
      </c>
      <c r="AH40" s="18"/>
      <c r="AI40" s="231" t="b">
        <f t="shared" ca="1" si="3"/>
        <v>0</v>
      </c>
      <c r="AJ40" s="201">
        <f t="shared" ca="1" si="12"/>
        <v>4</v>
      </c>
      <c r="AK40" s="201" t="str">
        <f t="shared" ca="1" si="13"/>
        <v>45</v>
      </c>
      <c r="AL40" s="201">
        <f t="shared" ca="1" si="4"/>
        <v>1</v>
      </c>
      <c r="AM40" s="201" t="str">
        <f t="shared" ca="1" si="5"/>
        <v/>
      </c>
      <c r="AN40" s="201">
        <f t="shared" ca="1" si="6"/>
        <v>0</v>
      </c>
      <c r="AO40" s="201" t="str">
        <f t="shared" ca="1" si="7"/>
        <v/>
      </c>
      <c r="AP40" s="201" t="str">
        <f t="shared" ca="1" si="8"/>
        <v>I</v>
      </c>
      <c r="AQ40" s="201">
        <f t="shared" ca="1" si="9"/>
        <v>3</v>
      </c>
      <c r="AR40" s="201" t="b">
        <f ca="1">CHOOSE(AJ40,FALSE,Data!DV$2,Data!DV$2,Data!DV$2,FALSE,FALSE,Data!DV$2)</f>
        <v>0</v>
      </c>
      <c r="AS40" s="201">
        <f ca="1">CHOOSE(AJ40,"Affaires",IF(Data!DP$2="agricole","Agricole","Affaires"),IF(Data!DP$2="Agricole","Industriel",Data!DP$2),IF(Data!DP$2="Agricole","Industriel",Data!DP$2),IF(Data!DP$2="Agricole","Agricole","Affaires"),IF(Data!DP$2="Transport","Transport","Affaires"),IF(Data!DP$2="Agricole","Industriel",Data!DP$2))</f>
        <v>0</v>
      </c>
      <c r="AT40" s="200" t="s">
        <v>5061</v>
      </c>
      <c r="AU40">
        <f t="shared" si="14"/>
        <v>0</v>
      </c>
      <c r="AV40">
        <f t="shared" si="15"/>
        <v>0</v>
      </c>
      <c r="AW40" s="51" t="str">
        <f t="shared" ca="1" si="16"/>
        <v/>
      </c>
      <c r="AY40" t="str">
        <f t="shared" ca="1" si="17"/>
        <v/>
      </c>
      <c r="AZ40">
        <f t="shared" si="18"/>
        <v>0</v>
      </c>
    </row>
    <row r="41" spans="3:52" ht="15.75" customHeight="1">
      <c r="C41" s="386"/>
      <c r="D41" s="384"/>
      <c r="E41" s="384" t="s">
        <v>224</v>
      </c>
      <c r="F41" s="384" t="s">
        <v>5079</v>
      </c>
      <c r="G41" s="384" t="s">
        <v>246</v>
      </c>
      <c r="H41" s="817"/>
      <c r="I41" s="381" t="str">
        <f t="shared" ca="1" si="0"/>
        <v/>
      </c>
      <c r="J41" s="387"/>
      <c r="K41" s="388"/>
      <c r="L41" s="384"/>
      <c r="M41" s="389"/>
      <c r="N41" s="388"/>
      <c r="O41" s="390"/>
      <c r="P41" s="816">
        <f t="shared" si="19"/>
        <v>0</v>
      </c>
      <c r="Q41" s="382" t="str">
        <f t="shared" ca="1" si="1"/>
        <v/>
      </c>
      <c r="R41" s="383" t="str">
        <f t="shared" ca="1" si="2"/>
        <v/>
      </c>
      <c r="S41" s="391"/>
      <c r="T41" s="391"/>
      <c r="U41" s="816">
        <f t="shared" si="10"/>
        <v>0</v>
      </c>
      <c r="V41" s="391"/>
      <c r="W41" s="391"/>
      <c r="X41" s="386" t="s">
        <v>173</v>
      </c>
      <c r="Y41" s="392"/>
      <c r="Z41" s="392"/>
      <c r="AA41" s="393"/>
      <c r="AB41" s="393"/>
      <c r="AC41" s="808" t="s">
        <v>666</v>
      </c>
      <c r="AD41" s="386"/>
      <c r="AE41" s="386" t="s">
        <v>20</v>
      </c>
      <c r="AF41" s="384"/>
      <c r="AG41" s="380" t="str">
        <f t="shared" si="11"/>
        <v>Non</v>
      </c>
      <c r="AH41" s="18"/>
      <c r="AI41" s="231" t="b">
        <f t="shared" ca="1" si="3"/>
        <v>0</v>
      </c>
      <c r="AJ41" s="201">
        <f t="shared" ca="1" si="12"/>
        <v>4</v>
      </c>
      <c r="AK41" s="201" t="str">
        <f t="shared" ca="1" si="13"/>
        <v>45</v>
      </c>
      <c r="AL41" s="201">
        <f t="shared" ca="1" si="4"/>
        <v>1</v>
      </c>
      <c r="AM41" s="201" t="str">
        <f t="shared" ca="1" si="5"/>
        <v/>
      </c>
      <c r="AN41" s="201">
        <f t="shared" ca="1" si="6"/>
        <v>0</v>
      </c>
      <c r="AO41" s="201" t="str">
        <f t="shared" ca="1" si="7"/>
        <v/>
      </c>
      <c r="AP41" s="201" t="str">
        <f t="shared" ca="1" si="8"/>
        <v>I</v>
      </c>
      <c r="AQ41" s="201">
        <f t="shared" ca="1" si="9"/>
        <v>3</v>
      </c>
      <c r="AR41" s="201" t="b">
        <f ca="1">CHOOSE(AJ41,FALSE,Data!DV$2,Data!DV$2,Data!DV$2,FALSE,FALSE,Data!DV$2)</f>
        <v>0</v>
      </c>
      <c r="AS41" s="201">
        <f ca="1">CHOOSE(AJ41,"Affaires",IF(Data!DP$2="agricole","Agricole","Affaires"),IF(Data!DP$2="Agricole","Industriel",Data!DP$2),IF(Data!DP$2="Agricole","Industriel",Data!DP$2),IF(Data!DP$2="Agricole","Agricole","Affaires"),IF(Data!DP$2="Transport","Transport","Affaires"),IF(Data!DP$2="Agricole","Industriel",Data!DP$2))</f>
        <v>0</v>
      </c>
      <c r="AT41" s="200" t="s">
        <v>5061</v>
      </c>
      <c r="AU41">
        <f t="shared" si="14"/>
        <v>0</v>
      </c>
      <c r="AV41">
        <f t="shared" si="15"/>
        <v>0</v>
      </c>
      <c r="AW41" s="51" t="str">
        <f t="shared" ca="1" si="16"/>
        <v/>
      </c>
      <c r="AY41" t="str">
        <f t="shared" ca="1" si="17"/>
        <v/>
      </c>
      <c r="AZ41">
        <f t="shared" si="18"/>
        <v>0</v>
      </c>
    </row>
    <row r="42" spans="3:52" ht="15.75" customHeight="1">
      <c r="C42" s="386"/>
      <c r="D42" s="384"/>
      <c r="E42" s="384" t="s">
        <v>224</v>
      </c>
      <c r="F42" s="384" t="s">
        <v>5079</v>
      </c>
      <c r="G42" s="384" t="s">
        <v>246</v>
      </c>
      <c r="H42" s="817"/>
      <c r="I42" s="381" t="str">
        <f t="shared" ca="1" si="0"/>
        <v/>
      </c>
      <c r="J42" s="387"/>
      <c r="K42" s="388"/>
      <c r="L42" s="384"/>
      <c r="M42" s="389"/>
      <c r="N42" s="388"/>
      <c r="O42" s="390"/>
      <c r="P42" s="816">
        <f t="shared" si="19"/>
        <v>0</v>
      </c>
      <c r="Q42" s="382" t="str">
        <f t="shared" ca="1" si="1"/>
        <v/>
      </c>
      <c r="R42" s="383" t="str">
        <f t="shared" ca="1" si="2"/>
        <v/>
      </c>
      <c r="S42" s="391"/>
      <c r="T42" s="391"/>
      <c r="U42" s="816">
        <f t="shared" si="10"/>
        <v>0</v>
      </c>
      <c r="V42" s="391"/>
      <c r="W42" s="391"/>
      <c r="X42" s="386" t="s">
        <v>173</v>
      </c>
      <c r="Y42" s="392"/>
      <c r="Z42" s="392"/>
      <c r="AA42" s="393"/>
      <c r="AB42" s="393"/>
      <c r="AC42" s="808" t="s">
        <v>666</v>
      </c>
      <c r="AD42" s="386"/>
      <c r="AE42" s="386" t="s">
        <v>20</v>
      </c>
      <c r="AF42" s="384"/>
      <c r="AG42" s="380" t="str">
        <f t="shared" si="11"/>
        <v>Non</v>
      </c>
      <c r="AH42" s="18"/>
      <c r="AI42" s="231" t="b">
        <f t="shared" ca="1" si="3"/>
        <v>0</v>
      </c>
      <c r="AJ42" s="201">
        <f t="shared" ca="1" si="12"/>
        <v>4</v>
      </c>
      <c r="AK42" s="201" t="str">
        <f t="shared" ca="1" si="13"/>
        <v>45</v>
      </c>
      <c r="AL42" s="201">
        <f t="shared" ca="1" si="4"/>
        <v>1</v>
      </c>
      <c r="AM42" s="201" t="str">
        <f t="shared" ca="1" si="5"/>
        <v/>
      </c>
      <c r="AN42" s="201">
        <f t="shared" ca="1" si="6"/>
        <v>0</v>
      </c>
      <c r="AO42" s="201" t="str">
        <f t="shared" ca="1" si="7"/>
        <v/>
      </c>
      <c r="AP42" s="201" t="str">
        <f t="shared" ca="1" si="8"/>
        <v>I</v>
      </c>
      <c r="AQ42" s="201">
        <f t="shared" ca="1" si="9"/>
        <v>3</v>
      </c>
      <c r="AR42" s="201" t="b">
        <f ca="1">CHOOSE(AJ42,FALSE,Data!DV$2,Data!DV$2,Data!DV$2,FALSE,FALSE,Data!DV$2)</f>
        <v>0</v>
      </c>
      <c r="AS42" s="201">
        <f ca="1">CHOOSE(AJ42,"Affaires",IF(Data!DP$2="agricole","Agricole","Affaires"),IF(Data!DP$2="Agricole","Industriel",Data!DP$2),IF(Data!DP$2="Agricole","Industriel",Data!DP$2),IF(Data!DP$2="Agricole","Agricole","Affaires"),IF(Data!DP$2="Transport","Transport","Affaires"),IF(Data!DP$2="Agricole","Industriel",Data!DP$2))</f>
        <v>0</v>
      </c>
      <c r="AT42" s="200" t="s">
        <v>5061</v>
      </c>
      <c r="AU42">
        <f t="shared" si="14"/>
        <v>0</v>
      </c>
      <c r="AV42">
        <f t="shared" si="15"/>
        <v>0</v>
      </c>
      <c r="AW42" s="51" t="str">
        <f t="shared" ca="1" si="16"/>
        <v/>
      </c>
      <c r="AY42" t="str">
        <f t="shared" ca="1" si="17"/>
        <v/>
      </c>
      <c r="AZ42">
        <f t="shared" si="18"/>
        <v>0</v>
      </c>
    </row>
    <row r="43" spans="3:52" ht="15.75" customHeight="1">
      <c r="C43" s="386"/>
      <c r="D43" s="384"/>
      <c r="E43" s="384" t="s">
        <v>224</v>
      </c>
      <c r="F43" s="384" t="s">
        <v>5079</v>
      </c>
      <c r="G43" s="384" t="s">
        <v>246</v>
      </c>
      <c r="H43" s="817"/>
      <c r="I43" s="381" t="str">
        <f t="shared" ca="1" si="0"/>
        <v/>
      </c>
      <c r="J43" s="387"/>
      <c r="K43" s="388"/>
      <c r="L43" s="384"/>
      <c r="M43" s="389"/>
      <c r="N43" s="388"/>
      <c r="O43" s="390"/>
      <c r="P43" s="816">
        <f t="shared" si="19"/>
        <v>0</v>
      </c>
      <c r="Q43" s="382" t="str">
        <f t="shared" ca="1" si="1"/>
        <v/>
      </c>
      <c r="R43" s="383" t="str">
        <f t="shared" ca="1" si="2"/>
        <v/>
      </c>
      <c r="S43" s="391"/>
      <c r="T43" s="391"/>
      <c r="U43" s="816">
        <f t="shared" si="10"/>
        <v>0</v>
      </c>
      <c r="V43" s="391"/>
      <c r="W43" s="391"/>
      <c r="X43" s="386" t="s">
        <v>173</v>
      </c>
      <c r="Y43" s="392"/>
      <c r="Z43" s="392"/>
      <c r="AA43" s="393"/>
      <c r="AB43" s="393"/>
      <c r="AC43" s="808" t="s">
        <v>666</v>
      </c>
      <c r="AD43" s="386"/>
      <c r="AE43" s="386" t="s">
        <v>20</v>
      </c>
      <c r="AF43" s="384"/>
      <c r="AG43" s="380" t="str">
        <f t="shared" si="11"/>
        <v>Non</v>
      </c>
      <c r="AH43" s="18"/>
      <c r="AI43" s="231" t="b">
        <f t="shared" ca="1" si="3"/>
        <v>0</v>
      </c>
      <c r="AJ43" s="201">
        <f t="shared" ca="1" si="12"/>
        <v>4</v>
      </c>
      <c r="AK43" s="201" t="str">
        <f t="shared" ca="1" si="13"/>
        <v>45</v>
      </c>
      <c r="AL43" s="201">
        <f t="shared" ca="1" si="4"/>
        <v>1</v>
      </c>
      <c r="AM43" s="201" t="str">
        <f t="shared" ca="1" si="5"/>
        <v/>
      </c>
      <c r="AN43" s="201">
        <f t="shared" ca="1" si="6"/>
        <v>0</v>
      </c>
      <c r="AO43" s="201" t="str">
        <f t="shared" ca="1" si="7"/>
        <v/>
      </c>
      <c r="AP43" s="201" t="str">
        <f t="shared" ca="1" si="8"/>
        <v>I</v>
      </c>
      <c r="AQ43" s="201">
        <f t="shared" ca="1" si="9"/>
        <v>3</v>
      </c>
      <c r="AR43" s="201" t="b">
        <f ca="1">CHOOSE(AJ43,FALSE,Data!DV$2,Data!DV$2,Data!DV$2,FALSE,FALSE,Data!DV$2)</f>
        <v>0</v>
      </c>
      <c r="AS43" s="201">
        <f ca="1">CHOOSE(AJ43,"Affaires",IF(Data!DP$2="agricole","Agricole","Affaires"),IF(Data!DP$2="Agricole","Industriel",Data!DP$2),IF(Data!DP$2="Agricole","Industriel",Data!DP$2),IF(Data!DP$2="Agricole","Agricole","Affaires"),IF(Data!DP$2="Transport","Transport","Affaires"),IF(Data!DP$2="Agricole","Industriel",Data!DP$2))</f>
        <v>0</v>
      </c>
      <c r="AT43" s="200" t="s">
        <v>5061</v>
      </c>
      <c r="AU43">
        <f t="shared" si="14"/>
        <v>0</v>
      </c>
      <c r="AV43">
        <f t="shared" si="15"/>
        <v>0</v>
      </c>
      <c r="AW43" s="51" t="str">
        <f t="shared" ca="1" si="16"/>
        <v/>
      </c>
      <c r="AY43" t="str">
        <f t="shared" ca="1" si="17"/>
        <v/>
      </c>
      <c r="AZ43">
        <f t="shared" si="18"/>
        <v>0</v>
      </c>
    </row>
    <row r="44" spans="3:52" ht="15.75" customHeight="1">
      <c r="C44" s="386"/>
      <c r="D44" s="384"/>
      <c r="E44" s="384" t="s">
        <v>224</v>
      </c>
      <c r="F44" s="384" t="s">
        <v>5079</v>
      </c>
      <c r="G44" s="384" t="s">
        <v>246</v>
      </c>
      <c r="H44" s="817"/>
      <c r="I44" s="381" t="str">
        <f t="shared" ca="1" si="0"/>
        <v/>
      </c>
      <c r="J44" s="387"/>
      <c r="K44" s="388"/>
      <c r="L44" s="384"/>
      <c r="M44" s="389"/>
      <c r="N44" s="388"/>
      <c r="O44" s="390"/>
      <c r="P44" s="816">
        <f t="shared" si="19"/>
        <v>0</v>
      </c>
      <c r="Q44" s="382" t="str">
        <f t="shared" ca="1" si="1"/>
        <v/>
      </c>
      <c r="R44" s="383" t="str">
        <f t="shared" ca="1" si="2"/>
        <v/>
      </c>
      <c r="S44" s="391"/>
      <c r="T44" s="391"/>
      <c r="U44" s="816">
        <f t="shared" si="10"/>
        <v>0</v>
      </c>
      <c r="V44" s="391"/>
      <c r="W44" s="391"/>
      <c r="X44" s="386" t="s">
        <v>173</v>
      </c>
      <c r="Y44" s="392"/>
      <c r="Z44" s="392"/>
      <c r="AA44" s="393"/>
      <c r="AB44" s="393"/>
      <c r="AC44" s="808" t="s">
        <v>666</v>
      </c>
      <c r="AD44" s="386"/>
      <c r="AE44" s="386" t="s">
        <v>20</v>
      </c>
      <c r="AF44" s="384"/>
      <c r="AG44" s="380" t="str">
        <f t="shared" si="11"/>
        <v>Non</v>
      </c>
      <c r="AH44" s="18"/>
      <c r="AI44" s="231" t="b">
        <f t="shared" ca="1" si="3"/>
        <v>0</v>
      </c>
      <c r="AJ44" s="201">
        <f t="shared" ca="1" si="12"/>
        <v>4</v>
      </c>
      <c r="AK44" s="201" t="str">
        <f t="shared" ca="1" si="13"/>
        <v>45</v>
      </c>
      <c r="AL44" s="201">
        <f t="shared" ca="1" si="4"/>
        <v>1</v>
      </c>
      <c r="AM44" s="201" t="str">
        <f t="shared" ca="1" si="5"/>
        <v/>
      </c>
      <c r="AN44" s="201">
        <f t="shared" ca="1" si="6"/>
        <v>0</v>
      </c>
      <c r="AO44" s="201" t="str">
        <f t="shared" ca="1" si="7"/>
        <v/>
      </c>
      <c r="AP44" s="201" t="str">
        <f t="shared" ca="1" si="8"/>
        <v>I</v>
      </c>
      <c r="AQ44" s="201">
        <f t="shared" ca="1" si="9"/>
        <v>3</v>
      </c>
      <c r="AR44" s="201" t="b">
        <f ca="1">CHOOSE(AJ44,FALSE,Data!DV$2,Data!DV$2,Data!DV$2,FALSE,FALSE,Data!DV$2)</f>
        <v>0</v>
      </c>
      <c r="AS44" s="201">
        <f ca="1">CHOOSE(AJ44,"Affaires",IF(Data!DP$2="agricole","Agricole","Affaires"),IF(Data!DP$2="Agricole","Industriel",Data!DP$2),IF(Data!DP$2="Agricole","Industriel",Data!DP$2),IF(Data!DP$2="Agricole","Agricole","Affaires"),IF(Data!DP$2="Transport","Transport","Affaires"),IF(Data!DP$2="Agricole","Industriel",Data!DP$2))</f>
        <v>0</v>
      </c>
      <c r="AT44" s="200" t="s">
        <v>5061</v>
      </c>
      <c r="AU44">
        <f t="shared" si="14"/>
        <v>0</v>
      </c>
      <c r="AV44">
        <f t="shared" si="15"/>
        <v>0</v>
      </c>
      <c r="AW44" s="51" t="str">
        <f t="shared" ca="1" si="16"/>
        <v/>
      </c>
      <c r="AY44" t="str">
        <f t="shared" ca="1" si="17"/>
        <v/>
      </c>
      <c r="AZ44">
        <f t="shared" si="18"/>
        <v>0</v>
      </c>
    </row>
    <row r="45" spans="3:52" ht="15.75" customHeight="1">
      <c r="C45" s="386"/>
      <c r="D45" s="384"/>
      <c r="E45" s="384" t="s">
        <v>224</v>
      </c>
      <c r="F45" s="384" t="s">
        <v>5079</v>
      </c>
      <c r="G45" s="384" t="s">
        <v>246</v>
      </c>
      <c r="H45" s="817"/>
      <c r="I45" s="381" t="str">
        <f t="shared" ca="1" si="0"/>
        <v/>
      </c>
      <c r="J45" s="387"/>
      <c r="K45" s="388"/>
      <c r="L45" s="384"/>
      <c r="M45" s="389"/>
      <c r="N45" s="388"/>
      <c r="O45" s="390"/>
      <c r="P45" s="816">
        <f t="shared" si="19"/>
        <v>0</v>
      </c>
      <c r="Q45" s="382" t="str">
        <f t="shared" ca="1" si="1"/>
        <v/>
      </c>
      <c r="R45" s="383" t="str">
        <f t="shared" ca="1" si="2"/>
        <v/>
      </c>
      <c r="S45" s="391"/>
      <c r="T45" s="391"/>
      <c r="U45" s="816">
        <f t="shared" si="10"/>
        <v>0</v>
      </c>
      <c r="V45" s="391"/>
      <c r="W45" s="391"/>
      <c r="X45" s="386" t="s">
        <v>173</v>
      </c>
      <c r="Y45" s="392"/>
      <c r="Z45" s="392"/>
      <c r="AA45" s="393"/>
      <c r="AB45" s="393"/>
      <c r="AC45" s="808" t="s">
        <v>666</v>
      </c>
      <c r="AD45" s="386"/>
      <c r="AE45" s="386" t="s">
        <v>20</v>
      </c>
      <c r="AF45" s="384"/>
      <c r="AG45" s="380" t="str">
        <f t="shared" si="11"/>
        <v>Non</v>
      </c>
      <c r="AH45" s="18"/>
      <c r="AI45" s="231" t="b">
        <f t="shared" ca="1" si="3"/>
        <v>0</v>
      </c>
      <c r="AJ45" s="201">
        <f t="shared" ca="1" si="12"/>
        <v>4</v>
      </c>
      <c r="AK45" s="201" t="str">
        <f t="shared" ca="1" si="13"/>
        <v>45</v>
      </c>
      <c r="AL45" s="201">
        <f t="shared" ca="1" si="4"/>
        <v>1</v>
      </c>
      <c r="AM45" s="201" t="str">
        <f t="shared" ca="1" si="5"/>
        <v/>
      </c>
      <c r="AN45" s="201">
        <f t="shared" ca="1" si="6"/>
        <v>0</v>
      </c>
      <c r="AO45" s="201" t="str">
        <f t="shared" ca="1" si="7"/>
        <v/>
      </c>
      <c r="AP45" s="201" t="str">
        <f t="shared" ca="1" si="8"/>
        <v>I</v>
      </c>
      <c r="AQ45" s="201">
        <f t="shared" ca="1" si="9"/>
        <v>3</v>
      </c>
      <c r="AR45" s="201" t="b">
        <f ca="1">CHOOSE(AJ45,FALSE,Data!DV$2,Data!DV$2,Data!DV$2,FALSE,FALSE,Data!DV$2)</f>
        <v>0</v>
      </c>
      <c r="AS45" s="201">
        <f ca="1">CHOOSE(AJ45,"Affaires",IF(Data!DP$2="agricole","Agricole","Affaires"),IF(Data!DP$2="Agricole","Industriel",Data!DP$2),IF(Data!DP$2="Agricole","Industriel",Data!DP$2),IF(Data!DP$2="Agricole","Agricole","Affaires"),IF(Data!DP$2="Transport","Transport","Affaires"),IF(Data!DP$2="Agricole","Industriel",Data!DP$2))</f>
        <v>0</v>
      </c>
      <c r="AT45" s="200" t="s">
        <v>5061</v>
      </c>
      <c r="AU45">
        <f t="shared" si="14"/>
        <v>0</v>
      </c>
      <c r="AV45">
        <f t="shared" si="15"/>
        <v>0</v>
      </c>
      <c r="AW45" s="51" t="str">
        <f t="shared" ca="1" si="16"/>
        <v/>
      </c>
      <c r="AY45" t="str">
        <f t="shared" ca="1" si="17"/>
        <v/>
      </c>
      <c r="AZ45">
        <f t="shared" si="18"/>
        <v>0</v>
      </c>
    </row>
    <row r="46" spans="3:52" ht="15.75" customHeight="1">
      <c r="C46" s="386"/>
      <c r="D46" s="384"/>
      <c r="E46" s="384" t="s">
        <v>224</v>
      </c>
      <c r="F46" s="384" t="s">
        <v>5079</v>
      </c>
      <c r="G46" s="384" t="s">
        <v>246</v>
      </c>
      <c r="H46" s="817"/>
      <c r="I46" s="381" t="str">
        <f t="shared" ca="1" si="0"/>
        <v/>
      </c>
      <c r="J46" s="387"/>
      <c r="K46" s="388"/>
      <c r="L46" s="384"/>
      <c r="M46" s="389"/>
      <c r="N46" s="388"/>
      <c r="O46" s="390"/>
      <c r="P46" s="816">
        <f t="shared" si="19"/>
        <v>0</v>
      </c>
      <c r="Q46" s="382" t="str">
        <f t="shared" ca="1" si="1"/>
        <v/>
      </c>
      <c r="R46" s="383" t="str">
        <f t="shared" ca="1" si="2"/>
        <v/>
      </c>
      <c r="S46" s="391"/>
      <c r="T46" s="391"/>
      <c r="U46" s="816">
        <f t="shared" si="10"/>
        <v>0</v>
      </c>
      <c r="V46" s="391"/>
      <c r="W46" s="391"/>
      <c r="X46" s="386" t="s">
        <v>173</v>
      </c>
      <c r="Y46" s="392"/>
      <c r="Z46" s="392"/>
      <c r="AA46" s="393"/>
      <c r="AB46" s="393"/>
      <c r="AC46" s="808" t="s">
        <v>666</v>
      </c>
      <c r="AD46" s="386"/>
      <c r="AE46" s="386" t="s">
        <v>20</v>
      </c>
      <c r="AF46" s="384"/>
      <c r="AG46" s="380" t="str">
        <f t="shared" si="11"/>
        <v>Non</v>
      </c>
      <c r="AH46" s="18"/>
      <c r="AI46" s="231" t="b">
        <f t="shared" ca="1" si="3"/>
        <v>0</v>
      </c>
      <c r="AJ46" s="201">
        <f t="shared" ca="1" si="12"/>
        <v>4</v>
      </c>
      <c r="AK46" s="201" t="str">
        <f t="shared" ca="1" si="13"/>
        <v>45</v>
      </c>
      <c r="AL46" s="201">
        <f t="shared" ca="1" si="4"/>
        <v>1</v>
      </c>
      <c r="AM46" s="201" t="str">
        <f t="shared" ca="1" si="5"/>
        <v/>
      </c>
      <c r="AN46" s="201">
        <f t="shared" ca="1" si="6"/>
        <v>0</v>
      </c>
      <c r="AO46" s="201" t="str">
        <f t="shared" ca="1" si="7"/>
        <v/>
      </c>
      <c r="AP46" s="201" t="str">
        <f t="shared" ca="1" si="8"/>
        <v>I</v>
      </c>
      <c r="AQ46" s="201">
        <f t="shared" ca="1" si="9"/>
        <v>3</v>
      </c>
      <c r="AR46" s="201" t="b">
        <f ca="1">CHOOSE(AJ46,FALSE,Data!DV$2,Data!DV$2,Data!DV$2,FALSE,FALSE,Data!DV$2)</f>
        <v>0</v>
      </c>
      <c r="AS46" s="201">
        <f ca="1">CHOOSE(AJ46,"Affaires",IF(Data!DP$2="agricole","Agricole","Affaires"),IF(Data!DP$2="Agricole","Industriel",Data!DP$2),IF(Data!DP$2="Agricole","Industriel",Data!DP$2),IF(Data!DP$2="Agricole","Agricole","Affaires"),IF(Data!DP$2="Transport","Transport","Affaires"),IF(Data!DP$2="Agricole","Industriel",Data!DP$2))</f>
        <v>0</v>
      </c>
      <c r="AT46" s="200" t="s">
        <v>5061</v>
      </c>
      <c r="AU46">
        <f t="shared" si="14"/>
        <v>0</v>
      </c>
      <c r="AV46">
        <f t="shared" si="15"/>
        <v>0</v>
      </c>
      <c r="AW46" s="51" t="str">
        <f t="shared" ca="1" si="16"/>
        <v/>
      </c>
      <c r="AY46" t="str">
        <f t="shared" ca="1" si="17"/>
        <v/>
      </c>
      <c r="AZ46">
        <f t="shared" si="18"/>
        <v>0</v>
      </c>
    </row>
    <row r="47" spans="3:52" ht="15.75" customHeight="1">
      <c r="C47" s="386"/>
      <c r="D47" s="384"/>
      <c r="E47" s="384" t="s">
        <v>224</v>
      </c>
      <c r="F47" s="384" t="s">
        <v>5079</v>
      </c>
      <c r="G47" s="384" t="s">
        <v>246</v>
      </c>
      <c r="H47" s="817"/>
      <c r="I47" s="381" t="str">
        <f t="shared" ca="1" si="0"/>
        <v/>
      </c>
      <c r="J47" s="387"/>
      <c r="K47" s="388"/>
      <c r="L47" s="384"/>
      <c r="M47" s="389"/>
      <c r="N47" s="388"/>
      <c r="O47" s="390"/>
      <c r="P47" s="816">
        <f t="shared" si="19"/>
        <v>0</v>
      </c>
      <c r="Q47" s="382" t="str">
        <f t="shared" ca="1" si="1"/>
        <v/>
      </c>
      <c r="R47" s="383" t="str">
        <f t="shared" ca="1" si="2"/>
        <v/>
      </c>
      <c r="S47" s="391"/>
      <c r="T47" s="391"/>
      <c r="U47" s="816">
        <f t="shared" si="10"/>
        <v>0</v>
      </c>
      <c r="V47" s="391"/>
      <c r="W47" s="391"/>
      <c r="X47" s="386" t="s">
        <v>173</v>
      </c>
      <c r="Y47" s="392"/>
      <c r="Z47" s="392"/>
      <c r="AA47" s="393"/>
      <c r="AB47" s="393"/>
      <c r="AC47" s="808" t="s">
        <v>666</v>
      </c>
      <c r="AD47" s="386"/>
      <c r="AE47" s="386" t="s">
        <v>20</v>
      </c>
      <c r="AF47" s="384"/>
      <c r="AG47" s="380" t="str">
        <f t="shared" si="11"/>
        <v>Non</v>
      </c>
      <c r="AH47" s="31"/>
      <c r="AI47" s="231" t="b">
        <f t="shared" ca="1" si="3"/>
        <v>0</v>
      </c>
      <c r="AJ47" s="201">
        <f t="shared" ca="1" si="12"/>
        <v>4</v>
      </c>
      <c r="AK47" s="201" t="str">
        <f t="shared" ca="1" si="13"/>
        <v>45</v>
      </c>
      <c r="AL47" s="201">
        <f t="shared" ca="1" si="4"/>
        <v>1</v>
      </c>
      <c r="AM47" s="201" t="str">
        <f t="shared" ca="1" si="5"/>
        <v/>
      </c>
      <c r="AN47" s="201">
        <f t="shared" ca="1" si="6"/>
        <v>0</v>
      </c>
      <c r="AO47" s="201" t="str">
        <f t="shared" ca="1" si="7"/>
        <v/>
      </c>
      <c r="AP47" s="201" t="str">
        <f t="shared" ca="1" si="8"/>
        <v>I</v>
      </c>
      <c r="AQ47" s="201">
        <f t="shared" ca="1" si="9"/>
        <v>3</v>
      </c>
      <c r="AR47" s="201" t="b">
        <f ca="1">CHOOSE(AJ47,FALSE,Data!DV$2,Data!DV$2,Data!DV$2,FALSE,FALSE,Data!DV$2)</f>
        <v>0</v>
      </c>
      <c r="AS47" s="201">
        <f ca="1">CHOOSE(AJ47,"Affaires",IF(Data!DP$2="agricole","Agricole","Affaires"),IF(Data!DP$2="Agricole","Industriel",Data!DP$2),IF(Data!DP$2="Agricole","Industriel",Data!DP$2),IF(Data!DP$2="Agricole","Agricole","Affaires"),IF(Data!DP$2="Transport","Transport","Affaires"),IF(Data!DP$2="Agricole","Industriel",Data!DP$2))</f>
        <v>0</v>
      </c>
      <c r="AT47" s="200" t="s">
        <v>5061</v>
      </c>
      <c r="AU47">
        <f t="shared" si="14"/>
        <v>0</v>
      </c>
      <c r="AV47">
        <f t="shared" si="15"/>
        <v>0</v>
      </c>
      <c r="AW47" s="51" t="str">
        <f t="shared" ca="1" si="16"/>
        <v/>
      </c>
      <c r="AY47" t="str">
        <f t="shared" ca="1" si="17"/>
        <v/>
      </c>
      <c r="AZ47">
        <f t="shared" si="18"/>
        <v>0</v>
      </c>
    </row>
    <row r="48" spans="3:52" ht="15.75" customHeight="1">
      <c r="C48" s="386"/>
      <c r="D48" s="384"/>
      <c r="E48" s="384" t="s">
        <v>224</v>
      </c>
      <c r="F48" s="384" t="s">
        <v>5079</v>
      </c>
      <c r="G48" s="384" t="s">
        <v>246</v>
      </c>
      <c r="H48" s="817"/>
      <c r="I48" s="381" t="str">
        <f t="shared" ca="1" si="0"/>
        <v/>
      </c>
      <c r="J48" s="387"/>
      <c r="K48" s="388"/>
      <c r="L48" s="384"/>
      <c r="M48" s="389"/>
      <c r="N48" s="388"/>
      <c r="O48" s="390"/>
      <c r="P48" s="816">
        <f t="shared" si="19"/>
        <v>0</v>
      </c>
      <c r="Q48" s="382" t="str">
        <f t="shared" ca="1" si="1"/>
        <v/>
      </c>
      <c r="R48" s="383" t="str">
        <f t="shared" ca="1" si="2"/>
        <v/>
      </c>
      <c r="S48" s="391"/>
      <c r="T48" s="391"/>
      <c r="U48" s="816">
        <f t="shared" si="10"/>
        <v>0</v>
      </c>
      <c r="V48" s="391"/>
      <c r="W48" s="391"/>
      <c r="X48" s="386" t="s">
        <v>173</v>
      </c>
      <c r="Y48" s="392"/>
      <c r="Z48" s="392"/>
      <c r="AA48" s="393"/>
      <c r="AB48" s="393"/>
      <c r="AC48" s="808" t="s">
        <v>666</v>
      </c>
      <c r="AD48" s="386"/>
      <c r="AE48" s="386" t="s">
        <v>20</v>
      </c>
      <c r="AF48" s="384"/>
      <c r="AG48" s="380" t="str">
        <f t="shared" si="11"/>
        <v>Non</v>
      </c>
      <c r="AH48" s="18"/>
      <c r="AI48" s="231" t="b">
        <f t="shared" ca="1" si="3"/>
        <v>0</v>
      </c>
      <c r="AJ48" s="201">
        <f t="shared" ca="1" si="12"/>
        <v>4</v>
      </c>
      <c r="AK48" s="201" t="str">
        <f t="shared" ca="1" si="13"/>
        <v>45</v>
      </c>
      <c r="AL48" s="201">
        <f t="shared" ca="1" si="4"/>
        <v>1</v>
      </c>
      <c r="AM48" s="201" t="str">
        <f t="shared" ca="1" si="5"/>
        <v/>
      </c>
      <c r="AN48" s="201">
        <f t="shared" ca="1" si="6"/>
        <v>0</v>
      </c>
      <c r="AO48" s="201" t="str">
        <f t="shared" ca="1" si="7"/>
        <v/>
      </c>
      <c r="AP48" s="201" t="str">
        <f t="shared" ca="1" si="8"/>
        <v>I</v>
      </c>
      <c r="AQ48" s="201">
        <f t="shared" ca="1" si="9"/>
        <v>3</v>
      </c>
      <c r="AR48" s="201" t="b">
        <f ca="1">CHOOSE(AJ48,FALSE,Data!DV$2,Data!DV$2,Data!DV$2,FALSE,FALSE,Data!DV$2)</f>
        <v>0</v>
      </c>
      <c r="AS48" s="201">
        <f ca="1">CHOOSE(AJ48,"Affaires",IF(Data!DP$2="agricole","Agricole","Affaires"),IF(Data!DP$2="Agricole","Industriel",Data!DP$2),IF(Data!DP$2="Agricole","Industriel",Data!DP$2),IF(Data!DP$2="Agricole","Agricole","Affaires"),IF(Data!DP$2="Transport","Transport","Affaires"),IF(Data!DP$2="Agricole","Industriel",Data!DP$2))</f>
        <v>0</v>
      </c>
      <c r="AT48" s="200" t="s">
        <v>5061</v>
      </c>
      <c r="AU48">
        <f t="shared" si="14"/>
        <v>0</v>
      </c>
      <c r="AV48">
        <f t="shared" si="15"/>
        <v>0</v>
      </c>
      <c r="AW48" s="51" t="str">
        <f t="shared" ca="1" si="16"/>
        <v/>
      </c>
      <c r="AY48" t="str">
        <f t="shared" ca="1" si="17"/>
        <v/>
      </c>
      <c r="AZ48">
        <f t="shared" si="18"/>
        <v>0</v>
      </c>
    </row>
    <row r="49" spans="3:53" ht="15.75" customHeight="1" thickBot="1">
      <c r="C49" s="386"/>
      <c r="D49" s="384"/>
      <c r="E49" s="384" t="s">
        <v>224</v>
      </c>
      <c r="F49" s="384" t="s">
        <v>5079</v>
      </c>
      <c r="G49" s="384" t="s">
        <v>246</v>
      </c>
      <c r="H49" s="817"/>
      <c r="I49" s="381" t="str">
        <f t="shared" ca="1" si="0"/>
        <v/>
      </c>
      <c r="J49" s="387"/>
      <c r="K49" s="388"/>
      <c r="L49" s="384"/>
      <c r="M49" s="389"/>
      <c r="N49" s="388"/>
      <c r="O49" s="390"/>
      <c r="P49" s="816">
        <f t="shared" si="19"/>
        <v>0</v>
      </c>
      <c r="Q49" s="382" t="str">
        <f t="shared" ca="1" si="1"/>
        <v/>
      </c>
      <c r="R49" s="383" t="str">
        <f t="shared" ca="1" si="2"/>
        <v/>
      </c>
      <c r="S49" s="391"/>
      <c r="T49" s="391"/>
      <c r="U49" s="816">
        <f t="shared" si="10"/>
        <v>0</v>
      </c>
      <c r="V49" s="391"/>
      <c r="W49" s="391"/>
      <c r="X49" s="386" t="s">
        <v>173</v>
      </c>
      <c r="Y49" s="392"/>
      <c r="Z49" s="392"/>
      <c r="AA49" s="393"/>
      <c r="AB49" s="393"/>
      <c r="AC49" s="808" t="s">
        <v>666</v>
      </c>
      <c r="AD49" s="399"/>
      <c r="AE49" s="386" t="s">
        <v>20</v>
      </c>
      <c r="AF49" s="398"/>
      <c r="AG49" s="380" t="str">
        <f t="shared" si="11"/>
        <v>Non</v>
      </c>
      <c r="AH49" s="20"/>
      <c r="AI49" s="231" t="b">
        <f t="shared" ca="1" si="3"/>
        <v>0</v>
      </c>
      <c r="AJ49" s="201">
        <f t="shared" ca="1" si="12"/>
        <v>4</v>
      </c>
      <c r="AK49" s="201" t="str">
        <f t="shared" ca="1" si="13"/>
        <v>45</v>
      </c>
      <c r="AL49" s="201">
        <f t="shared" ca="1" si="4"/>
        <v>1</v>
      </c>
      <c r="AM49" s="201" t="str">
        <f t="shared" ca="1" si="5"/>
        <v/>
      </c>
      <c r="AN49" s="201">
        <f t="shared" ca="1" si="6"/>
        <v>0</v>
      </c>
      <c r="AO49" s="201" t="str">
        <f t="shared" ca="1" si="7"/>
        <v/>
      </c>
      <c r="AP49" s="201" t="str">
        <f t="shared" ca="1" si="8"/>
        <v>I</v>
      </c>
      <c r="AQ49" s="201">
        <f t="shared" ca="1" si="9"/>
        <v>3</v>
      </c>
      <c r="AR49" s="201" t="b">
        <f ca="1">CHOOSE(AJ49,FALSE,Data!DV$2,Data!DV$2,Data!DV$2,FALSE,FALSE,Data!DV$2)</f>
        <v>0</v>
      </c>
      <c r="AS49" s="201">
        <f ca="1">CHOOSE(AJ49,"Affaires",IF(Data!DP$2="agricole","Agricole","Affaires"),IF(Data!DP$2="Agricole","Industriel",Data!DP$2),IF(Data!DP$2="Agricole","Industriel",Data!DP$2),IF(Data!DP$2="Agricole","Agricole","Affaires"),IF(Data!DP$2="Transport","Transport","Affaires"),IF(Data!DP$2="Agricole","Industriel",Data!DP$2))</f>
        <v>0</v>
      </c>
      <c r="AT49" s="200" t="s">
        <v>5061</v>
      </c>
      <c r="AU49">
        <f t="shared" si="14"/>
        <v>0</v>
      </c>
      <c r="AV49">
        <f t="shared" si="15"/>
        <v>0</v>
      </c>
      <c r="AW49" s="51" t="str">
        <f t="shared" ca="1" si="16"/>
        <v/>
      </c>
      <c r="AY49" t="str">
        <f t="shared" ca="1" si="17"/>
        <v/>
      </c>
      <c r="AZ49">
        <f t="shared" si="18"/>
        <v>0</v>
      </c>
    </row>
    <row r="50" spans="3:53" ht="13" thickTop="1">
      <c r="C50" s="834"/>
      <c r="D50" s="800"/>
      <c r="E50" s="835" t="s">
        <v>113</v>
      </c>
      <c r="F50" s="834"/>
      <c r="G50" s="834"/>
      <c r="H50" s="800"/>
      <c r="I50" s="812"/>
      <c r="J50" s="800"/>
      <c r="K50" s="800"/>
      <c r="L50" s="800"/>
      <c r="M50" s="800"/>
      <c r="N50" s="800"/>
      <c r="O50" s="801"/>
      <c r="P50" s="807">
        <f t="shared" ref="P50:W50" si="20">SUM(P16:P49)</f>
        <v>0</v>
      </c>
      <c r="Q50" s="813">
        <f t="shared" ca="1" si="20"/>
        <v>0</v>
      </c>
      <c r="R50" s="814">
        <f t="shared" ca="1" si="20"/>
        <v>0</v>
      </c>
      <c r="S50" s="807">
        <f t="shared" si="20"/>
        <v>0</v>
      </c>
      <c r="T50" s="807">
        <f t="shared" si="20"/>
        <v>0</v>
      </c>
      <c r="U50" s="807">
        <f t="shared" si="20"/>
        <v>0</v>
      </c>
      <c r="V50" s="807">
        <f t="shared" si="20"/>
        <v>0</v>
      </c>
      <c r="W50" s="807">
        <f t="shared" ca="1" si="20"/>
        <v>0</v>
      </c>
      <c r="X50" s="800"/>
      <c r="Y50" s="800"/>
      <c r="Z50" s="800"/>
      <c r="AA50" s="800"/>
      <c r="AB50" s="800"/>
      <c r="AC50" s="836"/>
      <c r="AD50" s="836"/>
      <c r="AE50" s="836"/>
      <c r="AF50" s="837"/>
      <c r="AG50" s="838"/>
      <c r="AH50" s="837"/>
      <c r="AI50" s="839"/>
      <c r="AJ50" s="202"/>
      <c r="AK50" s="202"/>
      <c r="AL50" s="202"/>
      <c r="AM50" s="202"/>
      <c r="AN50" s="202"/>
      <c r="AO50" s="202"/>
      <c r="AP50" s="202"/>
      <c r="AQ50" s="202"/>
      <c r="AR50" s="202"/>
      <c r="AS50" s="202"/>
      <c r="AT50" s="202"/>
      <c r="AU50" s="51">
        <f ca="1">SUM(AU16:AU49)</f>
        <v>0</v>
      </c>
      <c r="AV50" s="51">
        <f>SUM(AV16:AV49)</f>
        <v>0</v>
      </c>
      <c r="AX50" s="51"/>
      <c r="AY50" s="51">
        <f ca="1">SUM(AY16:AY49)</f>
        <v>0</v>
      </c>
      <c r="AZ50" s="51">
        <f ca="1">SUM(AZ16:AZ49)</f>
        <v>0</v>
      </c>
      <c r="BA50" s="51"/>
    </row>
    <row r="51" spans="3:53">
      <c r="C51" s="840"/>
      <c r="D51" s="207"/>
      <c r="E51" s="840"/>
      <c r="F51" s="840"/>
      <c r="G51" s="840"/>
      <c r="H51" s="207"/>
      <c r="I51" s="207"/>
      <c r="J51" s="207"/>
      <c r="K51" s="207"/>
      <c r="L51" s="207"/>
      <c r="M51" s="207"/>
      <c r="N51" s="207"/>
      <c r="O51" s="165"/>
      <c r="P51" s="165"/>
      <c r="Q51" s="166"/>
      <c r="R51" s="167"/>
      <c r="S51" s="165"/>
      <c r="T51" s="165"/>
      <c r="U51" s="165"/>
      <c r="V51" s="165"/>
      <c r="W51" s="165"/>
      <c r="X51" s="207"/>
      <c r="Y51" s="207"/>
      <c r="Z51" s="207"/>
      <c r="AA51" s="207"/>
      <c r="AB51" s="207"/>
      <c r="AC51" s="841"/>
      <c r="AD51" s="841"/>
      <c r="AE51" s="841"/>
      <c r="AF51" s="207"/>
      <c r="AG51" s="842"/>
      <c r="AH51" s="207"/>
      <c r="AI51" s="207"/>
      <c r="AJ51" s="202"/>
      <c r="AK51" s="202"/>
      <c r="AL51" s="202"/>
      <c r="AM51" s="202"/>
      <c r="AN51" s="202"/>
      <c r="AO51" s="202"/>
      <c r="AP51" s="202"/>
      <c r="AQ51" s="202"/>
      <c r="AR51" s="202"/>
      <c r="AS51" s="202"/>
      <c r="AT51" s="202"/>
      <c r="AU51" s="51"/>
      <c r="AV51" s="51"/>
      <c r="AX51" s="51"/>
      <c r="AY51" s="51"/>
      <c r="AZ51" s="51"/>
      <c r="BA51" s="51"/>
    </row>
    <row r="52" spans="3:53">
      <c r="C52" s="843"/>
      <c r="D52" s="51"/>
      <c r="E52" s="51"/>
      <c r="F52" s="51"/>
      <c r="G52" s="51"/>
      <c r="H52" s="51"/>
      <c r="I52" s="51"/>
      <c r="J52" s="51"/>
      <c r="K52" s="51"/>
      <c r="L52" s="51"/>
      <c r="M52" s="51"/>
      <c r="N52" s="51"/>
      <c r="O52" s="51"/>
      <c r="P52" s="51"/>
      <c r="Q52" s="51"/>
      <c r="R52" s="51"/>
      <c r="S52" s="51"/>
      <c r="T52" s="844"/>
      <c r="U52" s="51"/>
      <c r="V52" s="51"/>
      <c r="W52" s="51"/>
      <c r="X52" s="844"/>
      <c r="Y52" s="845"/>
      <c r="Z52" s="845"/>
      <c r="AA52" s="845"/>
      <c r="AB52" s="845"/>
      <c r="AC52" s="845"/>
      <c r="AD52" s="845"/>
      <c r="AE52" s="846"/>
      <c r="AF52" s="845"/>
      <c r="AG52" s="845"/>
      <c r="AH52" s="845"/>
      <c r="AI52" s="845"/>
      <c r="AJ52" s="202"/>
      <c r="AK52" s="202"/>
      <c r="AL52" s="202"/>
      <c r="AM52" s="202"/>
      <c r="AN52" s="202"/>
      <c r="AO52" s="202"/>
      <c r="AP52" s="202"/>
      <c r="AQ52" s="202"/>
      <c r="AR52" s="202"/>
      <c r="AS52" s="202"/>
      <c r="AT52" s="202"/>
      <c r="AU52" s="51"/>
      <c r="AV52" s="51"/>
      <c r="AX52" s="51"/>
      <c r="AY52" s="51"/>
      <c r="AZ52" s="51"/>
      <c r="BA52" s="51"/>
    </row>
    <row r="53" spans="3:53" ht="18.5">
      <c r="C53" s="862" t="s">
        <v>5654</v>
      </c>
      <c r="D53" s="862"/>
      <c r="E53" s="862"/>
      <c r="F53" s="862"/>
      <c r="G53" s="862"/>
      <c r="H53" s="862"/>
      <c r="I53" s="862"/>
      <c r="J53" s="862"/>
      <c r="K53" s="862"/>
      <c r="L53" s="862"/>
      <c r="M53" s="862"/>
      <c r="N53" s="862"/>
      <c r="O53" s="862"/>
      <c r="P53" s="862"/>
      <c r="Q53" s="862"/>
      <c r="R53" s="862"/>
      <c r="S53" s="862"/>
      <c r="T53" s="862"/>
      <c r="U53" s="862"/>
      <c r="V53" s="862"/>
      <c r="W53" s="862"/>
      <c r="X53" s="862"/>
      <c r="Y53" s="862"/>
      <c r="Z53" s="862"/>
      <c r="AA53" s="862"/>
      <c r="AB53" s="862"/>
      <c r="AC53" s="862"/>
      <c r="AD53" s="51"/>
      <c r="AE53" s="51"/>
      <c r="AF53" s="51"/>
      <c r="AG53" s="51"/>
      <c r="AH53" s="51"/>
      <c r="AI53" s="51"/>
      <c r="AJ53" s="51"/>
      <c r="AK53" s="51"/>
      <c r="AL53" s="51"/>
      <c r="AM53" s="51"/>
      <c r="AN53" s="51"/>
      <c r="AO53" s="51"/>
      <c r="AP53" s="51"/>
      <c r="AQ53" s="51"/>
      <c r="AR53" s="51"/>
      <c r="AS53" s="51"/>
      <c r="AT53" s="202"/>
      <c r="AU53" s="51"/>
      <c r="AV53" s="51"/>
      <c r="AX53" s="51"/>
      <c r="AY53" s="51"/>
      <c r="AZ53" s="51"/>
      <c r="BA53" s="51"/>
    </row>
    <row r="54" spans="3:53" ht="13">
      <c r="C54" s="831"/>
      <c r="D54" s="831"/>
      <c r="E54" s="831"/>
      <c r="F54" s="831"/>
      <c r="G54" s="831"/>
      <c r="H54" s="831"/>
      <c r="I54" s="831"/>
      <c r="J54" s="831"/>
      <c r="K54" s="831"/>
      <c r="L54" s="83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202"/>
      <c r="AU54" s="51"/>
      <c r="AV54" s="51"/>
      <c r="AX54" s="51"/>
      <c r="AY54" s="51"/>
      <c r="AZ54" s="51"/>
      <c r="BA54" s="51"/>
    </row>
    <row r="55" spans="3:53" ht="30" customHeight="1">
      <c r="C55" s="1319" t="s">
        <v>5616</v>
      </c>
      <c r="D55" s="1320"/>
      <c r="E55" s="1320"/>
      <c r="F55" s="1320"/>
      <c r="G55" s="1320"/>
      <c r="H55" s="1320"/>
      <c r="I55" s="1320"/>
      <c r="J55" s="1320"/>
      <c r="K55" s="1320"/>
      <c r="L55" s="1320"/>
      <c r="M55" s="1320"/>
      <c r="N55" s="1320"/>
      <c r="O55" s="1320"/>
      <c r="P55" s="1320"/>
      <c r="Q55" s="1320"/>
      <c r="R55" s="1320"/>
      <c r="S55" s="1320"/>
      <c r="T55" s="1320"/>
      <c r="U55" s="1320"/>
      <c r="V55" s="1320"/>
      <c r="W55" s="1320"/>
      <c r="X55" s="1320"/>
      <c r="Y55" s="1320"/>
      <c r="Z55" s="1320"/>
      <c r="AA55" s="1320"/>
      <c r="AB55" s="1320"/>
      <c r="AC55" s="1320"/>
      <c r="AD55" s="1320"/>
      <c r="AE55" s="1320"/>
      <c r="AF55" s="1320"/>
      <c r="AG55" s="1320"/>
      <c r="AH55" s="1320"/>
      <c r="AI55" s="1320"/>
      <c r="AJ55" s="1320"/>
      <c r="AK55" s="1320"/>
      <c r="AL55" s="1320"/>
      <c r="AM55" s="1320"/>
      <c r="AN55" s="1320"/>
      <c r="AO55" s="1320"/>
      <c r="AP55" s="1320"/>
      <c r="AQ55" s="1320"/>
      <c r="AR55" s="1320"/>
      <c r="AS55" s="1320"/>
      <c r="AT55" s="202"/>
      <c r="AU55" s="51"/>
      <c r="AV55" s="51"/>
      <c r="AX55" s="51"/>
      <c r="AY55" s="51"/>
      <c r="AZ55" s="51"/>
      <c r="BA55" s="51"/>
    </row>
    <row r="56" spans="3:53">
      <c r="C56" s="843"/>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847"/>
      <c r="AE56" s="847"/>
      <c r="AF56" s="847"/>
      <c r="AG56" s="51"/>
      <c r="AH56" s="51"/>
      <c r="AI56" s="51"/>
      <c r="AJ56" s="202"/>
      <c r="AK56" s="202"/>
      <c r="AL56" s="202"/>
      <c r="AM56" s="202"/>
      <c r="AN56" s="202"/>
      <c r="AO56" s="202"/>
      <c r="AP56" s="202"/>
      <c r="AQ56" s="202"/>
      <c r="AR56" s="202"/>
      <c r="AS56" s="202"/>
      <c r="AT56" s="202"/>
      <c r="AU56" s="51"/>
      <c r="AV56" s="51"/>
      <c r="AX56" s="51"/>
      <c r="AY56" s="51"/>
      <c r="AZ56" s="51"/>
      <c r="BA56" s="51"/>
    </row>
    <row r="57" spans="3:53" s="476" customFormat="1">
      <c r="L57" s="586"/>
      <c r="AD57" s="587"/>
      <c r="AE57" s="587"/>
      <c r="AF57" s="587"/>
      <c r="AJ57" s="588"/>
      <c r="AK57" s="588"/>
      <c r="AL57" s="588"/>
      <c r="AM57" s="588"/>
      <c r="AN57" s="588"/>
      <c r="AO57" s="588"/>
      <c r="AP57" s="588"/>
      <c r="AQ57" s="588"/>
      <c r="AR57" s="588"/>
      <c r="AS57" s="588"/>
      <c r="AT57" s="588"/>
      <c r="AW57" s="585"/>
    </row>
    <row r="58" spans="3:53" s="476" customFormat="1">
      <c r="AJ58" s="588"/>
      <c r="AK58" s="588"/>
      <c r="AL58" s="588"/>
      <c r="AM58" s="588"/>
      <c r="AN58" s="588"/>
      <c r="AO58" s="588"/>
      <c r="AP58" s="588"/>
      <c r="AQ58" s="588"/>
      <c r="AR58" s="588"/>
      <c r="AS58" s="588"/>
      <c r="AT58" s="588"/>
      <c r="AW58" s="585"/>
    </row>
    <row r="59" spans="3:53" s="476" customFormat="1">
      <c r="AJ59" s="588"/>
      <c r="AK59" s="588"/>
      <c r="AL59" s="588"/>
      <c r="AM59" s="588"/>
      <c r="AN59" s="588"/>
      <c r="AO59" s="588"/>
      <c r="AP59" s="588"/>
      <c r="AQ59" s="588"/>
      <c r="AR59" s="588"/>
      <c r="AS59" s="588"/>
      <c r="AT59" s="588"/>
      <c r="AW59" s="585"/>
    </row>
    <row r="60" spans="3:53" s="476" customFormat="1">
      <c r="AJ60" s="588"/>
      <c r="AK60" s="588"/>
      <c r="AL60" s="588"/>
      <c r="AM60" s="588"/>
      <c r="AN60" s="588"/>
      <c r="AO60" s="588"/>
      <c r="AP60" s="588"/>
      <c r="AQ60" s="588"/>
      <c r="AR60" s="588"/>
      <c r="AS60" s="588"/>
      <c r="AT60" s="588"/>
      <c r="AW60" s="585"/>
    </row>
    <row r="61" spans="3:53" s="476" customFormat="1">
      <c r="AJ61" s="588"/>
      <c r="AK61" s="588"/>
      <c r="AL61" s="588"/>
      <c r="AM61" s="588"/>
      <c r="AN61" s="588"/>
      <c r="AO61" s="588"/>
      <c r="AP61" s="588"/>
      <c r="AQ61" s="588"/>
      <c r="AR61" s="588"/>
      <c r="AS61" s="588"/>
      <c r="AT61" s="588"/>
      <c r="AW61" s="585"/>
    </row>
    <row r="62" spans="3:53" s="476" customFormat="1">
      <c r="AJ62" s="588"/>
      <c r="AK62" s="588"/>
      <c r="AL62" s="588"/>
      <c r="AM62" s="588"/>
      <c r="AN62" s="588"/>
      <c r="AO62" s="588"/>
      <c r="AP62" s="588"/>
      <c r="AQ62" s="588"/>
      <c r="AR62" s="588"/>
      <c r="AS62" s="588"/>
      <c r="AT62" s="588"/>
      <c r="AW62" s="585"/>
    </row>
    <row r="63" spans="3:53" s="476" customFormat="1">
      <c r="AJ63" s="588"/>
      <c r="AK63" s="588"/>
      <c r="AL63" s="588"/>
      <c r="AM63" s="588"/>
      <c r="AN63" s="588"/>
      <c r="AO63" s="588"/>
      <c r="AP63" s="588"/>
      <c r="AQ63" s="588"/>
      <c r="AR63" s="588"/>
      <c r="AS63" s="588"/>
      <c r="AT63" s="588"/>
      <c r="AW63" s="585"/>
    </row>
    <row r="64" spans="3:53" s="476" customFormat="1">
      <c r="AJ64" s="588"/>
      <c r="AK64" s="588"/>
      <c r="AL64" s="588"/>
      <c r="AM64" s="588"/>
      <c r="AN64" s="588"/>
      <c r="AO64" s="588"/>
      <c r="AP64" s="588"/>
      <c r="AQ64" s="588"/>
      <c r="AR64" s="588"/>
      <c r="AS64" s="588"/>
      <c r="AT64" s="588"/>
      <c r="AW64" s="585"/>
    </row>
    <row r="65" spans="36:49" s="476" customFormat="1">
      <c r="AJ65" s="588"/>
      <c r="AK65" s="588"/>
      <c r="AL65" s="588"/>
      <c r="AM65" s="588"/>
      <c r="AN65" s="588"/>
      <c r="AO65" s="588"/>
      <c r="AP65" s="588"/>
      <c r="AQ65" s="588"/>
      <c r="AR65" s="588"/>
      <c r="AS65" s="588"/>
      <c r="AT65" s="588"/>
      <c r="AW65" s="585"/>
    </row>
    <row r="66" spans="36:49" s="476" customFormat="1">
      <c r="AJ66" s="588"/>
      <c r="AK66" s="588"/>
      <c r="AL66" s="588"/>
      <c r="AM66" s="588"/>
      <c r="AN66" s="588"/>
      <c r="AO66" s="588"/>
      <c r="AP66" s="588"/>
      <c r="AQ66" s="588"/>
      <c r="AR66" s="588"/>
      <c r="AS66" s="588"/>
      <c r="AT66" s="588"/>
      <c r="AW66" s="585"/>
    </row>
    <row r="67" spans="36:49" s="476" customFormat="1">
      <c r="AJ67" s="588"/>
      <c r="AK67" s="588"/>
      <c r="AL67" s="588"/>
      <c r="AM67" s="588"/>
      <c r="AN67" s="588"/>
      <c r="AO67" s="588"/>
      <c r="AP67" s="588"/>
      <c r="AQ67" s="588"/>
      <c r="AR67" s="588"/>
      <c r="AS67" s="588"/>
      <c r="AT67" s="588"/>
      <c r="AW67" s="585"/>
    </row>
    <row r="68" spans="36:49" s="476" customFormat="1">
      <c r="AJ68" s="588"/>
      <c r="AK68" s="588"/>
      <c r="AL68" s="588"/>
      <c r="AM68" s="588"/>
      <c r="AN68" s="588"/>
      <c r="AO68" s="588"/>
      <c r="AP68" s="588"/>
      <c r="AQ68" s="588"/>
      <c r="AR68" s="588"/>
      <c r="AS68" s="588"/>
      <c r="AT68" s="588"/>
      <c r="AW68" s="585"/>
    </row>
    <row r="69" spans="36:49" s="476" customFormat="1">
      <c r="AJ69" s="588"/>
      <c r="AK69" s="588"/>
      <c r="AL69" s="588"/>
      <c r="AM69" s="588"/>
      <c r="AN69" s="588"/>
      <c r="AO69" s="588"/>
      <c r="AP69" s="588"/>
      <c r="AQ69" s="588"/>
      <c r="AR69" s="588"/>
      <c r="AS69" s="588"/>
      <c r="AT69" s="588"/>
      <c r="AW69" s="585"/>
    </row>
    <row r="70" spans="36:49" s="476" customFormat="1">
      <c r="AJ70" s="588"/>
      <c r="AK70" s="588"/>
      <c r="AL70" s="588"/>
      <c r="AM70" s="588"/>
      <c r="AN70" s="588"/>
      <c r="AO70" s="588"/>
      <c r="AP70" s="588"/>
      <c r="AQ70" s="588"/>
      <c r="AR70" s="588"/>
      <c r="AS70" s="588"/>
      <c r="AT70" s="588"/>
      <c r="AW70" s="585"/>
    </row>
    <row r="71" spans="36:49" s="476" customFormat="1">
      <c r="AJ71" s="588"/>
      <c r="AK71" s="588"/>
      <c r="AL71" s="588"/>
      <c r="AM71" s="588"/>
      <c r="AN71" s="588"/>
      <c r="AO71" s="588"/>
      <c r="AP71" s="588"/>
      <c r="AQ71" s="588"/>
      <c r="AR71" s="588"/>
      <c r="AS71" s="588"/>
      <c r="AT71" s="588"/>
      <c r="AW71" s="585"/>
    </row>
    <row r="72" spans="36:49" s="476" customFormat="1">
      <c r="AJ72" s="588"/>
      <c r="AK72" s="588"/>
      <c r="AL72" s="588"/>
      <c r="AM72" s="588"/>
      <c r="AN72" s="588"/>
      <c r="AO72" s="588"/>
      <c r="AP72" s="588"/>
      <c r="AQ72" s="588"/>
      <c r="AR72" s="588"/>
      <c r="AS72" s="588"/>
      <c r="AT72" s="588"/>
      <c r="AW72" s="585"/>
    </row>
    <row r="73" spans="36:49" s="476" customFormat="1">
      <c r="AJ73" s="588"/>
      <c r="AK73" s="588"/>
      <c r="AL73" s="588"/>
      <c r="AM73" s="588"/>
      <c r="AN73" s="588"/>
      <c r="AO73" s="588"/>
      <c r="AP73" s="588"/>
      <c r="AQ73" s="588"/>
      <c r="AR73" s="588"/>
      <c r="AS73" s="588"/>
      <c r="AT73" s="588"/>
      <c r="AW73" s="585"/>
    </row>
    <row r="74" spans="36:49" s="476" customFormat="1">
      <c r="AJ74" s="588"/>
      <c r="AK74" s="588"/>
      <c r="AL74" s="588"/>
      <c r="AM74" s="588"/>
      <c r="AN74" s="588"/>
      <c r="AO74" s="588"/>
      <c r="AP74" s="588"/>
      <c r="AQ74" s="588"/>
      <c r="AR74" s="588"/>
      <c r="AS74" s="588"/>
      <c r="AT74" s="588"/>
      <c r="AW74" s="585"/>
    </row>
    <row r="75" spans="36:49" s="476" customFormat="1">
      <c r="AJ75" s="588"/>
      <c r="AK75" s="588"/>
      <c r="AL75" s="588"/>
      <c r="AM75" s="588"/>
      <c r="AN75" s="588"/>
      <c r="AO75" s="588"/>
      <c r="AP75" s="588"/>
      <c r="AQ75" s="588"/>
      <c r="AR75" s="588"/>
      <c r="AS75" s="588"/>
      <c r="AT75" s="588"/>
      <c r="AW75" s="585"/>
    </row>
    <row r="76" spans="36:49" s="476" customFormat="1">
      <c r="AJ76" s="588"/>
      <c r="AK76" s="588"/>
      <c r="AL76" s="588"/>
      <c r="AM76" s="588"/>
      <c r="AN76" s="588"/>
      <c r="AO76" s="588"/>
      <c r="AP76" s="588"/>
      <c r="AQ76" s="588"/>
      <c r="AR76" s="588"/>
      <c r="AS76" s="588"/>
      <c r="AT76" s="588"/>
      <c r="AW76" s="585"/>
    </row>
    <row r="77" spans="36:49" s="476" customFormat="1">
      <c r="AJ77" s="588"/>
      <c r="AK77" s="588"/>
      <c r="AL77" s="588"/>
      <c r="AM77" s="588"/>
      <c r="AN77" s="588"/>
      <c r="AO77" s="588"/>
      <c r="AP77" s="588"/>
      <c r="AQ77" s="588"/>
      <c r="AR77" s="588"/>
      <c r="AS77" s="588"/>
      <c r="AT77" s="588"/>
      <c r="AW77" s="585"/>
    </row>
    <row r="78" spans="36:49" s="476" customFormat="1">
      <c r="AJ78" s="588"/>
      <c r="AK78" s="588"/>
      <c r="AL78" s="588"/>
      <c r="AM78" s="588"/>
      <c r="AN78" s="588"/>
      <c r="AO78" s="588"/>
      <c r="AP78" s="588"/>
      <c r="AQ78" s="588"/>
      <c r="AR78" s="588"/>
      <c r="AS78" s="588"/>
      <c r="AT78" s="588"/>
      <c r="AW78" s="585"/>
    </row>
    <row r="79" spans="36:49" s="476" customFormat="1">
      <c r="AJ79" s="588"/>
      <c r="AK79" s="588"/>
      <c r="AL79" s="588"/>
      <c r="AM79" s="588"/>
      <c r="AN79" s="588"/>
      <c r="AO79" s="588"/>
      <c r="AP79" s="588"/>
      <c r="AQ79" s="588"/>
      <c r="AR79" s="588"/>
      <c r="AS79" s="588"/>
      <c r="AT79" s="588"/>
      <c r="AW79" s="585"/>
    </row>
    <row r="80" spans="36:49" s="476" customFormat="1">
      <c r="AJ80" s="588"/>
      <c r="AK80" s="588"/>
      <c r="AL80" s="588"/>
      <c r="AM80" s="588"/>
      <c r="AN80" s="588"/>
      <c r="AO80" s="588"/>
      <c r="AP80" s="588"/>
      <c r="AQ80" s="588"/>
      <c r="AR80" s="588"/>
      <c r="AS80" s="588"/>
      <c r="AT80" s="588"/>
      <c r="AW80" s="585"/>
    </row>
    <row r="81" spans="36:49" s="476" customFormat="1">
      <c r="AJ81" s="588"/>
      <c r="AK81" s="588"/>
      <c r="AL81" s="588"/>
      <c r="AM81" s="588"/>
      <c r="AN81" s="588"/>
      <c r="AO81" s="588"/>
      <c r="AP81" s="588"/>
      <c r="AQ81" s="588"/>
      <c r="AR81" s="588"/>
      <c r="AS81" s="588"/>
      <c r="AT81" s="588"/>
      <c r="AW81" s="585"/>
    </row>
    <row r="82" spans="36:49" s="476" customFormat="1">
      <c r="AJ82" s="588"/>
      <c r="AK82" s="588"/>
      <c r="AL82" s="588"/>
      <c r="AM82" s="588"/>
      <c r="AN82" s="588"/>
      <c r="AO82" s="588"/>
      <c r="AP82" s="588"/>
      <c r="AQ82" s="588"/>
      <c r="AR82" s="588"/>
      <c r="AS82" s="588"/>
      <c r="AT82" s="588"/>
      <c r="AW82" s="585"/>
    </row>
    <row r="83" spans="36:49" s="476" customFormat="1">
      <c r="AJ83" s="588"/>
      <c r="AK83" s="588"/>
      <c r="AL83" s="588"/>
      <c r="AM83" s="588"/>
      <c r="AN83" s="588"/>
      <c r="AO83" s="588"/>
      <c r="AP83" s="588"/>
      <c r="AQ83" s="588"/>
      <c r="AR83" s="588"/>
      <c r="AS83" s="588"/>
      <c r="AT83" s="588"/>
      <c r="AW83" s="585"/>
    </row>
    <row r="84" spans="36:49" s="476" customFormat="1">
      <c r="AJ84" s="588"/>
      <c r="AK84" s="588"/>
      <c r="AL84" s="588"/>
      <c r="AM84" s="588"/>
      <c r="AN84" s="588"/>
      <c r="AO84" s="588"/>
      <c r="AP84" s="588"/>
      <c r="AQ84" s="588"/>
      <c r="AR84" s="588"/>
      <c r="AS84" s="588"/>
      <c r="AT84" s="588"/>
      <c r="AW84" s="585"/>
    </row>
    <row r="85" spans="36:49" s="476" customFormat="1">
      <c r="AJ85" s="588"/>
      <c r="AK85" s="588"/>
      <c r="AL85" s="588"/>
      <c r="AM85" s="588"/>
      <c r="AN85" s="588"/>
      <c r="AO85" s="588"/>
      <c r="AP85" s="588"/>
      <c r="AQ85" s="588"/>
      <c r="AR85" s="588"/>
      <c r="AS85" s="588"/>
      <c r="AT85" s="588"/>
      <c r="AW85" s="585"/>
    </row>
    <row r="86" spans="36:49" s="476" customFormat="1">
      <c r="AJ86" s="588"/>
      <c r="AK86" s="588"/>
      <c r="AL86" s="588"/>
      <c r="AM86" s="588"/>
      <c r="AN86" s="588"/>
      <c r="AO86" s="588"/>
      <c r="AP86" s="588"/>
      <c r="AQ86" s="588"/>
      <c r="AR86" s="588"/>
      <c r="AS86" s="588"/>
      <c r="AT86" s="588"/>
      <c r="AW86" s="585"/>
    </row>
    <row r="87" spans="36:49" s="476" customFormat="1">
      <c r="AJ87" s="588"/>
      <c r="AK87" s="588"/>
      <c r="AL87" s="588"/>
      <c r="AM87" s="588"/>
      <c r="AN87" s="588"/>
      <c r="AO87" s="588"/>
      <c r="AP87" s="588"/>
      <c r="AQ87" s="588"/>
      <c r="AR87" s="588"/>
      <c r="AS87" s="588"/>
      <c r="AT87" s="588"/>
      <c r="AW87" s="585"/>
    </row>
    <row r="88" spans="36:49" s="476" customFormat="1">
      <c r="AJ88" s="588"/>
      <c r="AK88" s="588"/>
      <c r="AL88" s="588"/>
      <c r="AM88" s="588"/>
      <c r="AN88" s="588"/>
      <c r="AO88" s="588"/>
      <c r="AP88" s="588"/>
      <c r="AQ88" s="588"/>
      <c r="AR88" s="588"/>
      <c r="AS88" s="588"/>
      <c r="AT88" s="588"/>
      <c r="AW88" s="585"/>
    </row>
    <row r="89" spans="36:49" s="476" customFormat="1">
      <c r="AJ89" s="588"/>
      <c r="AK89" s="588"/>
      <c r="AL89" s="588"/>
      <c r="AM89" s="588"/>
      <c r="AN89" s="588"/>
      <c r="AO89" s="588"/>
      <c r="AP89" s="588"/>
      <c r="AQ89" s="588"/>
      <c r="AR89" s="588"/>
      <c r="AS89" s="588"/>
      <c r="AT89" s="588"/>
      <c r="AW89" s="585"/>
    </row>
    <row r="90" spans="36:49" s="476" customFormat="1">
      <c r="AJ90" s="588"/>
      <c r="AK90" s="588"/>
      <c r="AL90" s="588"/>
      <c r="AM90" s="588"/>
      <c r="AN90" s="588"/>
      <c r="AO90" s="588"/>
      <c r="AP90" s="588"/>
      <c r="AQ90" s="588"/>
      <c r="AR90" s="588"/>
      <c r="AS90" s="588"/>
      <c r="AT90" s="588"/>
      <c r="AW90" s="585"/>
    </row>
    <row r="91" spans="36:49" s="476" customFormat="1">
      <c r="AJ91" s="588"/>
      <c r="AK91" s="588"/>
      <c r="AL91" s="588"/>
      <c r="AM91" s="588"/>
      <c r="AN91" s="588"/>
      <c r="AO91" s="588"/>
      <c r="AP91" s="588"/>
      <c r="AQ91" s="588"/>
      <c r="AR91" s="588"/>
      <c r="AS91" s="588"/>
      <c r="AT91" s="588"/>
      <c r="AW91" s="585"/>
    </row>
    <row r="92" spans="36:49" s="476" customFormat="1">
      <c r="AJ92" s="588"/>
      <c r="AK92" s="588"/>
      <c r="AL92" s="588"/>
      <c r="AM92" s="588"/>
      <c r="AN92" s="588"/>
      <c r="AO92" s="588"/>
      <c r="AP92" s="588"/>
      <c r="AQ92" s="588"/>
      <c r="AR92" s="588"/>
      <c r="AS92" s="588"/>
      <c r="AT92" s="588"/>
      <c r="AW92" s="585"/>
    </row>
    <row r="93" spans="36:49" s="476" customFormat="1">
      <c r="AJ93" s="588"/>
      <c r="AK93" s="588"/>
      <c r="AL93" s="588"/>
      <c r="AM93" s="588"/>
      <c r="AN93" s="588"/>
      <c r="AO93" s="588"/>
      <c r="AP93" s="588"/>
      <c r="AQ93" s="588"/>
      <c r="AR93" s="588"/>
      <c r="AS93" s="588"/>
      <c r="AT93" s="588"/>
      <c r="AW93" s="585"/>
    </row>
    <row r="94" spans="36:49" s="476" customFormat="1">
      <c r="AJ94" s="588"/>
      <c r="AK94" s="588"/>
      <c r="AL94" s="588"/>
      <c r="AM94" s="588"/>
      <c r="AN94" s="588"/>
      <c r="AO94" s="588"/>
      <c r="AP94" s="588"/>
      <c r="AQ94" s="588"/>
      <c r="AR94" s="588"/>
      <c r="AS94" s="588"/>
      <c r="AT94" s="588"/>
      <c r="AW94" s="585"/>
    </row>
    <row r="95" spans="36:49" s="476" customFormat="1">
      <c r="AJ95" s="588"/>
      <c r="AK95" s="588"/>
      <c r="AL95" s="588"/>
      <c r="AM95" s="588"/>
      <c r="AN95" s="588"/>
      <c r="AO95" s="588"/>
      <c r="AP95" s="588"/>
      <c r="AQ95" s="588"/>
      <c r="AR95" s="588"/>
      <c r="AS95" s="588"/>
      <c r="AT95" s="588"/>
      <c r="AW95" s="585"/>
    </row>
    <row r="96" spans="36:49" s="476" customFormat="1">
      <c r="AJ96" s="588"/>
      <c r="AK96" s="588"/>
      <c r="AL96" s="588"/>
      <c r="AM96" s="588"/>
      <c r="AN96" s="588"/>
      <c r="AO96" s="588"/>
      <c r="AP96" s="588"/>
      <c r="AQ96" s="588"/>
      <c r="AR96" s="588"/>
      <c r="AS96" s="588"/>
      <c r="AT96" s="588"/>
      <c r="AW96" s="585"/>
    </row>
    <row r="97" spans="36:49" s="476" customFormat="1">
      <c r="AJ97" s="588"/>
      <c r="AK97" s="588"/>
      <c r="AL97" s="588"/>
      <c r="AM97" s="588"/>
      <c r="AN97" s="588"/>
      <c r="AO97" s="588"/>
      <c r="AP97" s="588"/>
      <c r="AQ97" s="588"/>
      <c r="AR97" s="588"/>
      <c r="AS97" s="588"/>
      <c r="AT97" s="588"/>
      <c r="AW97" s="585"/>
    </row>
    <row r="98" spans="36:49" s="476" customFormat="1">
      <c r="AJ98" s="588"/>
      <c r="AK98" s="588"/>
      <c r="AL98" s="588"/>
      <c r="AM98" s="588"/>
      <c r="AN98" s="588"/>
      <c r="AO98" s="588"/>
      <c r="AP98" s="588"/>
      <c r="AQ98" s="588"/>
      <c r="AR98" s="588"/>
      <c r="AS98" s="588"/>
      <c r="AT98" s="588"/>
      <c r="AW98" s="585"/>
    </row>
    <row r="99" spans="36:49" s="476" customFormat="1">
      <c r="AJ99" s="588"/>
      <c r="AK99" s="588"/>
      <c r="AL99" s="588"/>
      <c r="AM99" s="588"/>
      <c r="AN99" s="588"/>
      <c r="AO99" s="588"/>
      <c r="AP99" s="588"/>
      <c r="AQ99" s="588"/>
      <c r="AR99" s="588"/>
      <c r="AS99" s="588"/>
      <c r="AT99" s="588"/>
      <c r="AW99" s="585"/>
    </row>
    <row r="100" spans="36:49" s="476" customFormat="1">
      <c r="AJ100" s="588"/>
      <c r="AK100" s="588"/>
      <c r="AL100" s="588"/>
      <c r="AM100" s="588"/>
      <c r="AN100" s="588"/>
      <c r="AO100" s="588"/>
      <c r="AP100" s="588"/>
      <c r="AQ100" s="588"/>
      <c r="AR100" s="588"/>
      <c r="AS100" s="588"/>
      <c r="AT100" s="588"/>
      <c r="AW100" s="585"/>
    </row>
    <row r="101" spans="36:49" s="476" customFormat="1">
      <c r="AJ101" s="588"/>
      <c r="AK101" s="588"/>
      <c r="AL101" s="588"/>
      <c r="AM101" s="588"/>
      <c r="AN101" s="588"/>
      <c r="AO101" s="588"/>
      <c r="AP101" s="588"/>
      <c r="AQ101" s="588"/>
      <c r="AR101" s="588"/>
      <c r="AS101" s="588"/>
      <c r="AT101" s="588"/>
      <c r="AW101" s="585"/>
    </row>
    <row r="102" spans="36:49" s="476" customFormat="1">
      <c r="AJ102" s="588"/>
      <c r="AK102" s="588"/>
      <c r="AL102" s="588"/>
      <c r="AM102" s="588"/>
      <c r="AN102" s="588"/>
      <c r="AO102" s="588"/>
      <c r="AP102" s="588"/>
      <c r="AQ102" s="588"/>
      <c r="AR102" s="588"/>
      <c r="AS102" s="588"/>
      <c r="AT102" s="588"/>
      <c r="AW102" s="585"/>
    </row>
    <row r="103" spans="36:49" s="476" customFormat="1">
      <c r="AJ103" s="588"/>
      <c r="AK103" s="588"/>
      <c r="AL103" s="588"/>
      <c r="AM103" s="588"/>
      <c r="AN103" s="588"/>
      <c r="AO103" s="588"/>
      <c r="AP103" s="588"/>
      <c r="AQ103" s="588"/>
      <c r="AR103" s="588"/>
      <c r="AS103" s="588"/>
      <c r="AT103" s="588"/>
      <c r="AW103" s="585"/>
    </row>
    <row r="104" spans="36:49" s="476" customFormat="1">
      <c r="AJ104" s="588"/>
      <c r="AK104" s="588"/>
      <c r="AL104" s="588"/>
      <c r="AM104" s="588"/>
      <c r="AN104" s="588"/>
      <c r="AO104" s="588"/>
      <c r="AP104" s="588"/>
      <c r="AQ104" s="588"/>
      <c r="AR104" s="588"/>
      <c r="AS104" s="588"/>
      <c r="AT104" s="588"/>
      <c r="AW104" s="585"/>
    </row>
    <row r="105" spans="36:49" s="476" customFormat="1">
      <c r="AJ105" s="588"/>
      <c r="AK105" s="588"/>
      <c r="AL105" s="588"/>
      <c r="AM105" s="588"/>
      <c r="AN105" s="588"/>
      <c r="AO105" s="588"/>
      <c r="AP105" s="588"/>
      <c r="AQ105" s="588"/>
      <c r="AR105" s="588"/>
      <c r="AS105" s="588"/>
      <c r="AT105" s="588"/>
      <c r="AW105" s="585"/>
    </row>
    <row r="106" spans="36:49" s="476" customFormat="1">
      <c r="AJ106" s="588"/>
      <c r="AK106" s="588"/>
      <c r="AL106" s="588"/>
      <c r="AM106" s="588"/>
      <c r="AN106" s="588"/>
      <c r="AO106" s="588"/>
      <c r="AP106" s="588"/>
      <c r="AQ106" s="588"/>
      <c r="AR106" s="588"/>
      <c r="AS106" s="588"/>
      <c r="AT106" s="588"/>
      <c r="AW106" s="585"/>
    </row>
    <row r="107" spans="36:49" s="476" customFormat="1">
      <c r="AJ107" s="588"/>
      <c r="AK107" s="588"/>
      <c r="AL107" s="588"/>
      <c r="AM107" s="588"/>
      <c r="AN107" s="588"/>
      <c r="AO107" s="588"/>
      <c r="AP107" s="588"/>
      <c r="AQ107" s="588"/>
      <c r="AR107" s="588"/>
      <c r="AS107" s="588"/>
      <c r="AT107" s="588"/>
      <c r="AW107" s="585"/>
    </row>
    <row r="108" spans="36:49" s="476" customFormat="1">
      <c r="AJ108" s="588"/>
      <c r="AK108" s="588"/>
      <c r="AL108" s="588"/>
      <c r="AM108" s="588"/>
      <c r="AN108" s="588"/>
      <c r="AO108" s="588"/>
      <c r="AP108" s="588"/>
      <c r="AQ108" s="588"/>
      <c r="AR108" s="588"/>
      <c r="AS108" s="588"/>
      <c r="AT108" s="588"/>
      <c r="AW108" s="585"/>
    </row>
    <row r="109" spans="36:49" s="476" customFormat="1">
      <c r="AJ109" s="588"/>
      <c r="AK109" s="588"/>
      <c r="AL109" s="588"/>
      <c r="AM109" s="588"/>
      <c r="AN109" s="588"/>
      <c r="AO109" s="588"/>
      <c r="AP109" s="588"/>
      <c r="AQ109" s="588"/>
      <c r="AR109" s="588"/>
      <c r="AS109" s="588"/>
      <c r="AT109" s="588"/>
      <c r="AW109" s="585"/>
    </row>
    <row r="110" spans="36:49" s="476" customFormat="1">
      <c r="AJ110" s="588"/>
      <c r="AK110" s="588"/>
      <c r="AL110" s="588"/>
      <c r="AM110" s="588"/>
      <c r="AN110" s="588"/>
      <c r="AO110" s="588"/>
      <c r="AP110" s="588"/>
      <c r="AQ110" s="588"/>
      <c r="AR110" s="588"/>
      <c r="AS110" s="588"/>
      <c r="AT110" s="588"/>
      <c r="AW110" s="585"/>
    </row>
    <row r="111" spans="36:49" s="476" customFormat="1">
      <c r="AJ111" s="588"/>
      <c r="AK111" s="588"/>
      <c r="AL111" s="588"/>
      <c r="AM111" s="588"/>
      <c r="AN111" s="588"/>
      <c r="AO111" s="588"/>
      <c r="AP111" s="588"/>
      <c r="AQ111" s="588"/>
      <c r="AR111" s="588"/>
      <c r="AS111" s="588"/>
      <c r="AT111" s="588"/>
      <c r="AW111" s="585"/>
    </row>
    <row r="112" spans="36:49" s="476" customFormat="1">
      <c r="AJ112" s="588"/>
      <c r="AK112" s="588"/>
      <c r="AL112" s="588"/>
      <c r="AM112" s="588"/>
      <c r="AN112" s="588"/>
      <c r="AO112" s="588"/>
      <c r="AP112" s="588"/>
      <c r="AQ112" s="588"/>
      <c r="AR112" s="588"/>
      <c r="AS112" s="588"/>
      <c r="AT112" s="588"/>
      <c r="AW112" s="585"/>
    </row>
    <row r="113" spans="36:49" s="476" customFormat="1">
      <c r="AJ113" s="588"/>
      <c r="AK113" s="588"/>
      <c r="AL113" s="588"/>
      <c r="AM113" s="588"/>
      <c r="AN113" s="588"/>
      <c r="AO113" s="588"/>
      <c r="AP113" s="588"/>
      <c r="AQ113" s="588"/>
      <c r="AR113" s="588"/>
      <c r="AS113" s="588"/>
      <c r="AT113" s="588"/>
      <c r="AW113" s="585"/>
    </row>
    <row r="114" spans="36:49" s="476" customFormat="1">
      <c r="AJ114" s="588"/>
      <c r="AK114" s="588"/>
      <c r="AL114" s="588"/>
      <c r="AM114" s="588"/>
      <c r="AN114" s="588"/>
      <c r="AO114" s="588"/>
      <c r="AP114" s="588"/>
      <c r="AQ114" s="588"/>
      <c r="AR114" s="588"/>
      <c r="AS114" s="588"/>
      <c r="AT114" s="588"/>
      <c r="AW114" s="585"/>
    </row>
    <row r="115" spans="36:49" s="476" customFormat="1">
      <c r="AJ115" s="588"/>
      <c r="AK115" s="588"/>
      <c r="AL115" s="588"/>
      <c r="AM115" s="588"/>
      <c r="AN115" s="588"/>
      <c r="AO115" s="588"/>
      <c r="AP115" s="588"/>
      <c r="AQ115" s="588"/>
      <c r="AR115" s="588"/>
      <c r="AS115" s="588"/>
      <c r="AT115" s="588"/>
      <c r="AW115" s="585"/>
    </row>
    <row r="116" spans="36:49" s="476" customFormat="1">
      <c r="AJ116" s="588"/>
      <c r="AK116" s="588"/>
      <c r="AL116" s="588"/>
      <c r="AM116" s="588"/>
      <c r="AN116" s="588"/>
      <c r="AO116" s="588"/>
      <c r="AP116" s="588"/>
      <c r="AQ116" s="588"/>
      <c r="AR116" s="588"/>
      <c r="AS116" s="588"/>
      <c r="AT116" s="588"/>
      <c r="AW116" s="585"/>
    </row>
    <row r="117" spans="36:49" s="476" customFormat="1">
      <c r="AJ117" s="588"/>
      <c r="AK117" s="588"/>
      <c r="AL117" s="588"/>
      <c r="AM117" s="588"/>
      <c r="AN117" s="588"/>
      <c r="AO117" s="588"/>
      <c r="AP117" s="588"/>
      <c r="AQ117" s="588"/>
      <c r="AR117" s="588"/>
      <c r="AS117" s="588"/>
      <c r="AT117" s="588"/>
      <c r="AW117" s="585"/>
    </row>
    <row r="118" spans="36:49" s="476" customFormat="1">
      <c r="AJ118" s="588"/>
      <c r="AK118" s="588"/>
      <c r="AL118" s="588"/>
      <c r="AM118" s="588"/>
      <c r="AN118" s="588"/>
      <c r="AO118" s="588"/>
      <c r="AP118" s="588"/>
      <c r="AQ118" s="588"/>
      <c r="AR118" s="588"/>
      <c r="AS118" s="588"/>
      <c r="AT118" s="588"/>
      <c r="AW118" s="585"/>
    </row>
    <row r="119" spans="36:49" s="476" customFormat="1">
      <c r="AJ119" s="588"/>
      <c r="AK119" s="588"/>
      <c r="AL119" s="588"/>
      <c r="AM119" s="588"/>
      <c r="AN119" s="588"/>
      <c r="AO119" s="588"/>
      <c r="AP119" s="588"/>
      <c r="AQ119" s="588"/>
      <c r="AR119" s="588"/>
      <c r="AS119" s="588"/>
      <c r="AT119" s="588"/>
      <c r="AW119" s="585"/>
    </row>
    <row r="120" spans="36:49" s="476" customFormat="1">
      <c r="AJ120" s="588"/>
      <c r="AK120" s="588"/>
      <c r="AL120" s="588"/>
      <c r="AM120" s="588"/>
      <c r="AN120" s="588"/>
      <c r="AO120" s="588"/>
      <c r="AP120" s="588"/>
      <c r="AQ120" s="588"/>
      <c r="AR120" s="588"/>
      <c r="AS120" s="588"/>
      <c r="AT120" s="588"/>
      <c r="AW120" s="585"/>
    </row>
    <row r="121" spans="36:49" s="476" customFormat="1">
      <c r="AJ121" s="588"/>
      <c r="AK121" s="588"/>
      <c r="AL121" s="588"/>
      <c r="AM121" s="588"/>
      <c r="AN121" s="588"/>
      <c r="AO121" s="588"/>
      <c r="AP121" s="588"/>
      <c r="AQ121" s="588"/>
      <c r="AR121" s="588"/>
      <c r="AS121" s="588"/>
      <c r="AT121" s="588"/>
      <c r="AW121" s="585"/>
    </row>
    <row r="122" spans="36:49" s="476" customFormat="1">
      <c r="AJ122" s="588"/>
      <c r="AK122" s="588"/>
      <c r="AL122" s="588"/>
      <c r="AM122" s="588"/>
      <c r="AN122" s="588"/>
      <c r="AO122" s="588"/>
      <c r="AP122" s="588"/>
      <c r="AQ122" s="588"/>
      <c r="AR122" s="588"/>
      <c r="AS122" s="588"/>
      <c r="AT122" s="588"/>
      <c r="AW122" s="585"/>
    </row>
    <row r="123" spans="36:49" s="476" customFormat="1">
      <c r="AJ123" s="588"/>
      <c r="AK123" s="588"/>
      <c r="AL123" s="588"/>
      <c r="AM123" s="588"/>
      <c r="AN123" s="588"/>
      <c r="AO123" s="588"/>
      <c r="AP123" s="588"/>
      <c r="AQ123" s="588"/>
      <c r="AR123" s="588"/>
      <c r="AS123" s="588"/>
      <c r="AT123" s="588"/>
      <c r="AW123" s="585"/>
    </row>
    <row r="124" spans="36:49" s="476" customFormat="1">
      <c r="AJ124" s="588"/>
      <c r="AK124" s="588"/>
      <c r="AL124" s="588"/>
      <c r="AM124" s="588"/>
      <c r="AN124" s="588"/>
      <c r="AO124" s="588"/>
      <c r="AP124" s="588"/>
      <c r="AQ124" s="588"/>
      <c r="AR124" s="588"/>
      <c r="AS124" s="588"/>
      <c r="AT124" s="588"/>
      <c r="AW124" s="585"/>
    </row>
    <row r="125" spans="36:49" s="476" customFormat="1">
      <c r="AJ125" s="588"/>
      <c r="AK125" s="588"/>
      <c r="AL125" s="588"/>
      <c r="AM125" s="588"/>
      <c r="AN125" s="588"/>
      <c r="AO125" s="588"/>
      <c r="AP125" s="588"/>
      <c r="AQ125" s="588"/>
      <c r="AR125" s="588"/>
      <c r="AS125" s="588"/>
      <c r="AT125" s="588"/>
      <c r="AW125" s="585"/>
    </row>
    <row r="126" spans="36:49" s="476" customFormat="1">
      <c r="AJ126" s="588"/>
      <c r="AK126" s="588"/>
      <c r="AL126" s="588"/>
      <c r="AM126" s="588"/>
      <c r="AN126" s="588"/>
      <c r="AO126" s="588"/>
      <c r="AP126" s="588"/>
      <c r="AQ126" s="588"/>
      <c r="AR126" s="588"/>
      <c r="AS126" s="588"/>
      <c r="AT126" s="588"/>
      <c r="AW126" s="585"/>
    </row>
    <row r="127" spans="36:49" s="476" customFormat="1">
      <c r="AJ127" s="588"/>
      <c r="AK127" s="588"/>
      <c r="AL127" s="588"/>
      <c r="AM127" s="588"/>
      <c r="AN127" s="588"/>
      <c r="AO127" s="588"/>
      <c r="AP127" s="588"/>
      <c r="AQ127" s="588"/>
      <c r="AR127" s="588"/>
      <c r="AS127" s="588"/>
      <c r="AT127" s="588"/>
      <c r="AW127" s="585"/>
    </row>
    <row r="128" spans="36:49" s="476" customFormat="1">
      <c r="AJ128" s="588"/>
      <c r="AK128" s="588"/>
      <c r="AL128" s="588"/>
      <c r="AM128" s="588"/>
      <c r="AN128" s="588"/>
      <c r="AO128" s="588"/>
      <c r="AP128" s="588"/>
      <c r="AQ128" s="588"/>
      <c r="AR128" s="588"/>
      <c r="AS128" s="588"/>
      <c r="AT128" s="588"/>
      <c r="AW128" s="585"/>
    </row>
    <row r="129" spans="36:49" s="476" customFormat="1">
      <c r="AJ129" s="588"/>
      <c r="AK129" s="588"/>
      <c r="AL129" s="588"/>
      <c r="AM129" s="588"/>
      <c r="AN129" s="588"/>
      <c r="AO129" s="588"/>
      <c r="AP129" s="588"/>
      <c r="AQ129" s="588"/>
      <c r="AR129" s="588"/>
      <c r="AS129" s="588"/>
      <c r="AT129" s="588"/>
      <c r="AW129" s="585"/>
    </row>
    <row r="130" spans="36:49" s="476" customFormat="1">
      <c r="AJ130" s="588"/>
      <c r="AK130" s="588"/>
      <c r="AL130" s="588"/>
      <c r="AM130" s="588"/>
      <c r="AN130" s="588"/>
      <c r="AO130" s="588"/>
      <c r="AP130" s="588"/>
      <c r="AQ130" s="588"/>
      <c r="AR130" s="588"/>
      <c r="AS130" s="588"/>
      <c r="AT130" s="588"/>
      <c r="AW130" s="585"/>
    </row>
    <row r="131" spans="36:49" s="476" customFormat="1">
      <c r="AJ131" s="588"/>
      <c r="AK131" s="588"/>
      <c r="AL131" s="588"/>
      <c r="AM131" s="588"/>
      <c r="AN131" s="588"/>
      <c r="AO131" s="588"/>
      <c r="AP131" s="588"/>
      <c r="AQ131" s="588"/>
      <c r="AR131" s="588"/>
      <c r="AS131" s="588"/>
      <c r="AT131" s="588"/>
      <c r="AW131" s="585"/>
    </row>
    <row r="132" spans="36:49" s="476" customFormat="1">
      <c r="AJ132" s="588"/>
      <c r="AK132" s="588"/>
      <c r="AL132" s="588"/>
      <c r="AM132" s="588"/>
      <c r="AN132" s="588"/>
      <c r="AO132" s="588"/>
      <c r="AP132" s="588"/>
      <c r="AQ132" s="588"/>
      <c r="AR132" s="588"/>
      <c r="AS132" s="588"/>
      <c r="AT132" s="588"/>
      <c r="AW132" s="585"/>
    </row>
    <row r="133" spans="36:49" s="476" customFormat="1">
      <c r="AJ133" s="588"/>
      <c r="AK133" s="588"/>
      <c r="AL133" s="588"/>
      <c r="AM133" s="588"/>
      <c r="AN133" s="588"/>
      <c r="AO133" s="588"/>
      <c r="AP133" s="588"/>
      <c r="AQ133" s="588"/>
      <c r="AR133" s="588"/>
      <c r="AS133" s="588"/>
      <c r="AT133" s="588"/>
      <c r="AW133" s="585"/>
    </row>
    <row r="134" spans="36:49" s="476" customFormat="1">
      <c r="AJ134" s="588"/>
      <c r="AK134" s="588"/>
      <c r="AL134" s="588"/>
      <c r="AM134" s="588"/>
      <c r="AN134" s="588"/>
      <c r="AO134" s="588"/>
      <c r="AP134" s="588"/>
      <c r="AQ134" s="588"/>
      <c r="AR134" s="588"/>
      <c r="AS134" s="588"/>
      <c r="AT134" s="588"/>
      <c r="AW134" s="585"/>
    </row>
    <row r="135" spans="36:49" s="476" customFormat="1">
      <c r="AJ135" s="588"/>
      <c r="AK135" s="588"/>
      <c r="AL135" s="588"/>
      <c r="AM135" s="588"/>
      <c r="AN135" s="588"/>
      <c r="AO135" s="588"/>
      <c r="AP135" s="588"/>
      <c r="AQ135" s="588"/>
      <c r="AR135" s="588"/>
      <c r="AS135" s="588"/>
      <c r="AT135" s="588"/>
      <c r="AW135" s="585"/>
    </row>
    <row r="136" spans="36:49" s="476" customFormat="1">
      <c r="AJ136" s="588"/>
      <c r="AK136" s="588"/>
      <c r="AL136" s="588"/>
      <c r="AM136" s="588"/>
      <c r="AN136" s="588"/>
      <c r="AO136" s="588"/>
      <c r="AP136" s="588"/>
      <c r="AQ136" s="588"/>
      <c r="AR136" s="588"/>
      <c r="AS136" s="588"/>
      <c r="AT136" s="588"/>
      <c r="AW136" s="585"/>
    </row>
    <row r="137" spans="36:49" s="476" customFormat="1">
      <c r="AJ137" s="588"/>
      <c r="AK137" s="588"/>
      <c r="AL137" s="588"/>
      <c r="AM137" s="588"/>
      <c r="AN137" s="588"/>
      <c r="AO137" s="588"/>
      <c r="AP137" s="588"/>
      <c r="AQ137" s="588"/>
      <c r="AR137" s="588"/>
      <c r="AS137" s="588"/>
      <c r="AT137" s="588"/>
      <c r="AW137" s="585"/>
    </row>
    <row r="138" spans="36:49" s="476" customFormat="1">
      <c r="AJ138" s="588"/>
      <c r="AK138" s="588"/>
      <c r="AL138" s="588"/>
      <c r="AM138" s="588"/>
      <c r="AN138" s="588"/>
      <c r="AO138" s="588"/>
      <c r="AP138" s="588"/>
      <c r="AQ138" s="588"/>
      <c r="AR138" s="588"/>
      <c r="AS138" s="588"/>
      <c r="AT138" s="588"/>
      <c r="AW138" s="585"/>
    </row>
    <row r="139" spans="36:49" s="476" customFormat="1">
      <c r="AJ139" s="588"/>
      <c r="AK139" s="588"/>
      <c r="AL139" s="588"/>
      <c r="AM139" s="588"/>
      <c r="AN139" s="588"/>
      <c r="AO139" s="588"/>
      <c r="AP139" s="588"/>
      <c r="AQ139" s="588"/>
      <c r="AR139" s="588"/>
      <c r="AS139" s="588"/>
      <c r="AT139" s="588"/>
      <c r="AW139" s="585"/>
    </row>
    <row r="140" spans="36:49" s="476" customFormat="1">
      <c r="AJ140" s="588"/>
      <c r="AK140" s="588"/>
      <c r="AL140" s="588"/>
      <c r="AM140" s="588"/>
      <c r="AN140" s="588"/>
      <c r="AO140" s="588"/>
      <c r="AP140" s="588"/>
      <c r="AQ140" s="588"/>
      <c r="AR140" s="588"/>
      <c r="AS140" s="588"/>
      <c r="AT140" s="588"/>
      <c r="AW140" s="585"/>
    </row>
    <row r="141" spans="36:49" s="476" customFormat="1">
      <c r="AJ141" s="588"/>
      <c r="AK141" s="588"/>
      <c r="AL141" s="588"/>
      <c r="AM141" s="588"/>
      <c r="AN141" s="588"/>
      <c r="AO141" s="588"/>
      <c r="AP141" s="588"/>
      <c r="AQ141" s="588"/>
      <c r="AR141" s="588"/>
      <c r="AS141" s="588"/>
      <c r="AT141" s="588"/>
      <c r="AW141" s="585"/>
    </row>
    <row r="142" spans="36:49" s="476" customFormat="1">
      <c r="AJ142" s="588"/>
      <c r="AK142" s="588"/>
      <c r="AL142" s="588"/>
      <c r="AM142" s="588"/>
      <c r="AN142" s="588"/>
      <c r="AO142" s="588"/>
      <c r="AP142" s="588"/>
      <c r="AQ142" s="588"/>
      <c r="AR142" s="588"/>
      <c r="AS142" s="588"/>
      <c r="AT142" s="588"/>
      <c r="AW142" s="585"/>
    </row>
    <row r="143" spans="36:49" s="476" customFormat="1">
      <c r="AJ143" s="588"/>
      <c r="AK143" s="588"/>
      <c r="AL143" s="588"/>
      <c r="AM143" s="588"/>
      <c r="AN143" s="588"/>
      <c r="AO143" s="588"/>
      <c r="AP143" s="588"/>
      <c r="AQ143" s="588"/>
      <c r="AR143" s="588"/>
      <c r="AS143" s="588"/>
      <c r="AT143" s="588"/>
      <c r="AW143" s="585"/>
    </row>
    <row r="144" spans="36:49" s="476" customFormat="1">
      <c r="AJ144" s="588"/>
      <c r="AK144" s="588"/>
      <c r="AL144" s="588"/>
      <c r="AM144" s="588"/>
      <c r="AN144" s="588"/>
      <c r="AO144" s="588"/>
      <c r="AP144" s="588"/>
      <c r="AQ144" s="588"/>
      <c r="AR144" s="588"/>
      <c r="AS144" s="588"/>
      <c r="AT144" s="588"/>
      <c r="AW144" s="585"/>
    </row>
    <row r="145" spans="36:49" s="476" customFormat="1">
      <c r="AJ145" s="588"/>
      <c r="AK145" s="588"/>
      <c r="AL145" s="588"/>
      <c r="AM145" s="588"/>
      <c r="AN145" s="588"/>
      <c r="AO145" s="588"/>
      <c r="AP145" s="588"/>
      <c r="AQ145" s="588"/>
      <c r="AR145" s="588"/>
      <c r="AS145" s="588"/>
      <c r="AT145" s="588"/>
      <c r="AW145" s="585"/>
    </row>
    <row r="146" spans="36:49" s="476" customFormat="1">
      <c r="AJ146" s="588"/>
      <c r="AK146" s="588"/>
      <c r="AL146" s="588"/>
      <c r="AM146" s="588"/>
      <c r="AN146" s="588"/>
      <c r="AO146" s="588"/>
      <c r="AP146" s="588"/>
      <c r="AQ146" s="588"/>
      <c r="AR146" s="588"/>
      <c r="AS146" s="588"/>
      <c r="AT146" s="588"/>
      <c r="AW146" s="585"/>
    </row>
    <row r="147" spans="36:49" s="476" customFormat="1">
      <c r="AJ147" s="588"/>
      <c r="AK147" s="588"/>
      <c r="AL147" s="588"/>
      <c r="AM147" s="588"/>
      <c r="AN147" s="588"/>
      <c r="AO147" s="588"/>
      <c r="AP147" s="588"/>
      <c r="AQ147" s="588"/>
      <c r="AR147" s="588"/>
      <c r="AS147" s="588"/>
      <c r="AT147" s="588"/>
      <c r="AW147" s="585"/>
    </row>
    <row r="148" spans="36:49" s="476" customFormat="1">
      <c r="AJ148" s="588"/>
      <c r="AK148" s="588"/>
      <c r="AL148" s="588"/>
      <c r="AM148" s="588"/>
      <c r="AN148" s="588"/>
      <c r="AO148" s="588"/>
      <c r="AP148" s="588"/>
      <c r="AQ148" s="588"/>
      <c r="AR148" s="588"/>
      <c r="AS148" s="588"/>
      <c r="AT148" s="588"/>
      <c r="AW148" s="585"/>
    </row>
    <row r="149" spans="36:49" s="476" customFormat="1">
      <c r="AJ149" s="588"/>
      <c r="AK149" s="588"/>
      <c r="AL149" s="588"/>
      <c r="AM149" s="588"/>
      <c r="AN149" s="588"/>
      <c r="AO149" s="588"/>
      <c r="AP149" s="588"/>
      <c r="AQ149" s="588"/>
      <c r="AR149" s="588"/>
      <c r="AS149" s="588"/>
      <c r="AT149" s="588"/>
      <c r="AW149" s="585"/>
    </row>
    <row r="150" spans="36:49" s="476" customFormat="1">
      <c r="AJ150" s="588"/>
      <c r="AK150" s="588"/>
      <c r="AL150" s="588"/>
      <c r="AM150" s="588"/>
      <c r="AN150" s="588"/>
      <c r="AO150" s="588"/>
      <c r="AP150" s="588"/>
      <c r="AQ150" s="588"/>
      <c r="AR150" s="588"/>
      <c r="AS150" s="588"/>
      <c r="AT150" s="588"/>
      <c r="AW150" s="585"/>
    </row>
    <row r="151" spans="36:49" s="476" customFormat="1">
      <c r="AJ151" s="588"/>
      <c r="AK151" s="588"/>
      <c r="AL151" s="588"/>
      <c r="AM151" s="588"/>
      <c r="AN151" s="588"/>
      <c r="AO151" s="588"/>
      <c r="AP151" s="588"/>
      <c r="AQ151" s="588"/>
      <c r="AR151" s="588"/>
      <c r="AS151" s="588"/>
      <c r="AT151" s="588"/>
      <c r="AW151" s="585"/>
    </row>
    <row r="152" spans="36:49" s="476" customFormat="1">
      <c r="AJ152" s="588"/>
      <c r="AK152" s="588"/>
      <c r="AL152" s="588"/>
      <c r="AM152" s="588"/>
      <c r="AN152" s="588"/>
      <c r="AO152" s="588"/>
      <c r="AP152" s="588"/>
      <c r="AQ152" s="588"/>
      <c r="AR152" s="588"/>
      <c r="AS152" s="588"/>
      <c r="AT152" s="588"/>
      <c r="AW152" s="585"/>
    </row>
    <row r="153" spans="36:49" s="476" customFormat="1">
      <c r="AJ153" s="588"/>
      <c r="AK153" s="588"/>
      <c r="AL153" s="588"/>
      <c r="AM153" s="588"/>
      <c r="AN153" s="588"/>
      <c r="AO153" s="588"/>
      <c r="AP153" s="588"/>
      <c r="AQ153" s="588"/>
      <c r="AR153" s="588"/>
      <c r="AS153" s="588"/>
      <c r="AT153" s="588"/>
      <c r="AW153" s="585"/>
    </row>
    <row r="154" spans="36:49" s="476" customFormat="1">
      <c r="AJ154" s="588"/>
      <c r="AK154" s="588"/>
      <c r="AL154" s="588"/>
      <c r="AM154" s="588"/>
      <c r="AN154" s="588"/>
      <c r="AO154" s="588"/>
      <c r="AP154" s="588"/>
      <c r="AQ154" s="588"/>
      <c r="AR154" s="588"/>
      <c r="AS154" s="588"/>
      <c r="AT154" s="588"/>
      <c r="AW154" s="585"/>
    </row>
    <row r="155" spans="36:49" s="476" customFormat="1">
      <c r="AJ155" s="588"/>
      <c r="AK155" s="588"/>
      <c r="AL155" s="588"/>
      <c r="AM155" s="588"/>
      <c r="AN155" s="588"/>
      <c r="AO155" s="588"/>
      <c r="AP155" s="588"/>
      <c r="AQ155" s="588"/>
      <c r="AR155" s="588"/>
      <c r="AS155" s="588"/>
      <c r="AT155" s="588"/>
      <c r="AW155" s="585"/>
    </row>
    <row r="156" spans="36:49" s="476" customFormat="1">
      <c r="AJ156" s="588"/>
      <c r="AK156" s="588"/>
      <c r="AL156" s="588"/>
      <c r="AM156" s="588"/>
      <c r="AN156" s="588"/>
      <c r="AO156" s="588"/>
      <c r="AP156" s="588"/>
      <c r="AQ156" s="588"/>
      <c r="AR156" s="588"/>
      <c r="AS156" s="588"/>
      <c r="AT156" s="588"/>
      <c r="AW156" s="585"/>
    </row>
    <row r="157" spans="36:49" s="476" customFormat="1">
      <c r="AJ157" s="588"/>
      <c r="AK157" s="588"/>
      <c r="AL157" s="588"/>
      <c r="AM157" s="588"/>
      <c r="AN157" s="588"/>
      <c r="AO157" s="588"/>
      <c r="AP157" s="588"/>
      <c r="AQ157" s="588"/>
      <c r="AR157" s="588"/>
      <c r="AS157" s="588"/>
      <c r="AT157" s="588"/>
      <c r="AW157" s="585"/>
    </row>
    <row r="158" spans="36:49" s="476" customFormat="1">
      <c r="AJ158" s="588"/>
      <c r="AK158" s="588"/>
      <c r="AL158" s="588"/>
      <c r="AM158" s="588"/>
      <c r="AN158" s="588"/>
      <c r="AO158" s="588"/>
      <c r="AP158" s="588"/>
      <c r="AQ158" s="588"/>
      <c r="AR158" s="588"/>
      <c r="AS158" s="588"/>
      <c r="AT158" s="588"/>
      <c r="AW158" s="585"/>
    </row>
    <row r="159" spans="36:49" s="476" customFormat="1">
      <c r="AJ159" s="588"/>
      <c r="AK159" s="588"/>
      <c r="AL159" s="588"/>
      <c r="AM159" s="588"/>
      <c r="AN159" s="588"/>
      <c r="AO159" s="588"/>
      <c r="AP159" s="588"/>
      <c r="AQ159" s="588"/>
      <c r="AR159" s="588"/>
      <c r="AS159" s="588"/>
      <c r="AT159" s="588"/>
      <c r="AW159" s="585"/>
    </row>
    <row r="160" spans="36:49" s="476" customFormat="1">
      <c r="AJ160" s="588"/>
      <c r="AK160" s="588"/>
      <c r="AL160" s="588"/>
      <c r="AM160" s="588"/>
      <c r="AN160" s="588"/>
      <c r="AO160" s="588"/>
      <c r="AP160" s="588"/>
      <c r="AQ160" s="588"/>
      <c r="AR160" s="588"/>
      <c r="AS160" s="588"/>
      <c r="AT160" s="588"/>
      <c r="AW160" s="585"/>
    </row>
    <row r="161" spans="36:49" s="476" customFormat="1">
      <c r="AJ161" s="588"/>
      <c r="AK161" s="588"/>
      <c r="AL161" s="588"/>
      <c r="AM161" s="588"/>
      <c r="AN161" s="588"/>
      <c r="AO161" s="588"/>
      <c r="AP161" s="588"/>
      <c r="AQ161" s="588"/>
      <c r="AR161" s="588"/>
      <c r="AS161" s="588"/>
      <c r="AT161" s="588"/>
      <c r="AW161" s="585"/>
    </row>
    <row r="162" spans="36:49" s="476" customFormat="1">
      <c r="AJ162" s="588"/>
      <c r="AK162" s="588"/>
      <c r="AL162" s="588"/>
      <c r="AM162" s="588"/>
      <c r="AN162" s="588"/>
      <c r="AO162" s="588"/>
      <c r="AP162" s="588"/>
      <c r="AQ162" s="588"/>
      <c r="AR162" s="588"/>
      <c r="AS162" s="588"/>
      <c r="AT162" s="588"/>
      <c r="AW162" s="585"/>
    </row>
    <row r="163" spans="36:49" s="476" customFormat="1">
      <c r="AJ163" s="588"/>
      <c r="AK163" s="588"/>
      <c r="AL163" s="588"/>
      <c r="AM163" s="588"/>
      <c r="AN163" s="588"/>
      <c r="AO163" s="588"/>
      <c r="AP163" s="588"/>
      <c r="AQ163" s="588"/>
      <c r="AR163" s="588"/>
      <c r="AS163" s="588"/>
      <c r="AT163" s="588"/>
      <c r="AW163" s="585"/>
    </row>
    <row r="164" spans="36:49" s="476" customFormat="1">
      <c r="AJ164" s="588"/>
      <c r="AK164" s="588"/>
      <c r="AL164" s="588"/>
      <c r="AM164" s="588"/>
      <c r="AN164" s="588"/>
      <c r="AO164" s="588"/>
      <c r="AP164" s="588"/>
      <c r="AQ164" s="588"/>
      <c r="AR164" s="588"/>
      <c r="AS164" s="588"/>
      <c r="AT164" s="588"/>
      <c r="AW164" s="585"/>
    </row>
    <row r="165" spans="36:49" s="476" customFormat="1">
      <c r="AJ165" s="588"/>
      <c r="AK165" s="588"/>
      <c r="AL165" s="588"/>
      <c r="AM165" s="588"/>
      <c r="AN165" s="588"/>
      <c r="AO165" s="588"/>
      <c r="AP165" s="588"/>
      <c r="AQ165" s="588"/>
      <c r="AR165" s="588"/>
      <c r="AS165" s="588"/>
      <c r="AT165" s="588"/>
      <c r="AW165" s="585"/>
    </row>
    <row r="166" spans="36:49" s="476" customFormat="1">
      <c r="AJ166" s="588"/>
      <c r="AK166" s="588"/>
      <c r="AL166" s="588"/>
      <c r="AM166" s="588"/>
      <c r="AN166" s="588"/>
      <c r="AO166" s="588"/>
      <c r="AP166" s="588"/>
      <c r="AQ166" s="588"/>
      <c r="AR166" s="588"/>
      <c r="AS166" s="588"/>
      <c r="AT166" s="588"/>
      <c r="AW166" s="585"/>
    </row>
    <row r="167" spans="36:49" s="476" customFormat="1">
      <c r="AJ167" s="588"/>
      <c r="AK167" s="588"/>
      <c r="AL167" s="588"/>
      <c r="AM167" s="588"/>
      <c r="AN167" s="588"/>
      <c r="AO167" s="588"/>
      <c r="AP167" s="588"/>
      <c r="AQ167" s="588"/>
      <c r="AR167" s="588"/>
      <c r="AS167" s="588"/>
      <c r="AT167" s="588"/>
      <c r="AW167" s="585"/>
    </row>
    <row r="168" spans="36:49" s="476" customFormat="1">
      <c r="AJ168" s="588"/>
      <c r="AK168" s="588"/>
      <c r="AL168" s="588"/>
      <c r="AM168" s="588"/>
      <c r="AN168" s="588"/>
      <c r="AO168" s="588"/>
      <c r="AP168" s="588"/>
      <c r="AQ168" s="588"/>
      <c r="AR168" s="588"/>
      <c r="AS168" s="588"/>
      <c r="AT168" s="588"/>
      <c r="AW168" s="585"/>
    </row>
    <row r="169" spans="36:49" s="476" customFormat="1">
      <c r="AJ169" s="588"/>
      <c r="AK169" s="588"/>
      <c r="AL169" s="588"/>
      <c r="AM169" s="588"/>
      <c r="AN169" s="588"/>
      <c r="AO169" s="588"/>
      <c r="AP169" s="588"/>
      <c r="AQ169" s="588"/>
      <c r="AR169" s="588"/>
      <c r="AS169" s="588"/>
      <c r="AT169" s="588"/>
      <c r="AW169" s="585"/>
    </row>
    <row r="170" spans="36:49" s="476" customFormat="1">
      <c r="AJ170" s="588"/>
      <c r="AK170" s="588"/>
      <c r="AL170" s="588"/>
      <c r="AM170" s="588"/>
      <c r="AN170" s="588"/>
      <c r="AO170" s="588"/>
      <c r="AP170" s="588"/>
      <c r="AQ170" s="588"/>
      <c r="AR170" s="588"/>
      <c r="AS170" s="588"/>
      <c r="AT170" s="588"/>
      <c r="AW170" s="585"/>
    </row>
    <row r="171" spans="36:49" s="476" customFormat="1">
      <c r="AJ171" s="588"/>
      <c r="AK171" s="588"/>
      <c r="AL171" s="588"/>
      <c r="AM171" s="588"/>
      <c r="AN171" s="588"/>
      <c r="AO171" s="588"/>
      <c r="AP171" s="588"/>
      <c r="AQ171" s="588"/>
      <c r="AR171" s="588"/>
      <c r="AS171" s="588"/>
      <c r="AT171" s="588"/>
      <c r="AW171" s="585"/>
    </row>
    <row r="172" spans="36:49" s="476" customFormat="1">
      <c r="AJ172" s="588"/>
      <c r="AK172" s="588"/>
      <c r="AL172" s="588"/>
      <c r="AM172" s="588"/>
      <c r="AN172" s="588"/>
      <c r="AO172" s="588"/>
      <c r="AP172" s="588"/>
      <c r="AQ172" s="588"/>
      <c r="AR172" s="588"/>
      <c r="AS172" s="588"/>
      <c r="AT172" s="588"/>
      <c r="AW172" s="585"/>
    </row>
    <row r="173" spans="36:49" s="476" customFormat="1">
      <c r="AJ173" s="588"/>
      <c r="AK173" s="588"/>
      <c r="AL173" s="588"/>
      <c r="AM173" s="588"/>
      <c r="AN173" s="588"/>
      <c r="AO173" s="588"/>
      <c r="AP173" s="588"/>
      <c r="AQ173" s="588"/>
      <c r="AR173" s="588"/>
      <c r="AS173" s="588"/>
      <c r="AT173" s="588"/>
      <c r="AW173" s="585"/>
    </row>
    <row r="174" spans="36:49" s="476" customFormat="1">
      <c r="AJ174" s="588"/>
      <c r="AK174" s="588"/>
      <c r="AL174" s="588"/>
      <c r="AM174" s="588"/>
      <c r="AN174" s="588"/>
      <c r="AO174" s="588"/>
      <c r="AP174" s="588"/>
      <c r="AQ174" s="588"/>
      <c r="AR174" s="588"/>
      <c r="AS174" s="588"/>
      <c r="AT174" s="588"/>
      <c r="AW174" s="585"/>
    </row>
    <row r="175" spans="36:49" s="476" customFormat="1">
      <c r="AJ175" s="588"/>
      <c r="AK175" s="588"/>
      <c r="AL175" s="588"/>
      <c r="AM175" s="588"/>
      <c r="AN175" s="588"/>
      <c r="AO175" s="588"/>
      <c r="AP175" s="588"/>
      <c r="AQ175" s="588"/>
      <c r="AR175" s="588"/>
      <c r="AS175" s="588"/>
      <c r="AT175" s="588"/>
      <c r="AW175" s="585"/>
    </row>
    <row r="176" spans="36:49" s="476" customFormat="1">
      <c r="AJ176" s="588"/>
      <c r="AK176" s="588"/>
      <c r="AL176" s="588"/>
      <c r="AM176" s="588"/>
      <c r="AN176" s="588"/>
      <c r="AO176" s="588"/>
      <c r="AP176" s="588"/>
      <c r="AQ176" s="588"/>
      <c r="AR176" s="588"/>
      <c r="AS176" s="588"/>
      <c r="AT176" s="588"/>
      <c r="AW176" s="585"/>
    </row>
    <row r="177" spans="36:49" s="476" customFormat="1">
      <c r="AJ177" s="588"/>
      <c r="AK177" s="588"/>
      <c r="AL177" s="588"/>
      <c r="AM177" s="588"/>
      <c r="AN177" s="588"/>
      <c r="AO177" s="588"/>
      <c r="AP177" s="588"/>
      <c r="AQ177" s="588"/>
      <c r="AR177" s="588"/>
      <c r="AS177" s="588"/>
      <c r="AT177" s="588"/>
      <c r="AW177" s="585"/>
    </row>
    <row r="178" spans="36:49" s="476" customFormat="1">
      <c r="AJ178" s="588"/>
      <c r="AK178" s="588"/>
      <c r="AL178" s="588"/>
      <c r="AM178" s="588"/>
      <c r="AN178" s="588"/>
      <c r="AO178" s="588"/>
      <c r="AP178" s="588"/>
      <c r="AQ178" s="588"/>
      <c r="AR178" s="588"/>
      <c r="AS178" s="588"/>
      <c r="AT178" s="588"/>
      <c r="AW178" s="585"/>
    </row>
    <row r="179" spans="36:49" s="476" customFormat="1">
      <c r="AJ179" s="588"/>
      <c r="AK179" s="588"/>
      <c r="AL179" s="588"/>
      <c r="AM179" s="588"/>
      <c r="AN179" s="588"/>
      <c r="AO179" s="588"/>
      <c r="AP179" s="588"/>
      <c r="AQ179" s="588"/>
      <c r="AR179" s="588"/>
      <c r="AS179" s="588"/>
      <c r="AT179" s="588"/>
      <c r="AW179" s="585"/>
    </row>
    <row r="180" spans="36:49" s="476" customFormat="1">
      <c r="AJ180" s="588"/>
      <c r="AK180" s="588"/>
      <c r="AL180" s="588"/>
      <c r="AM180" s="588"/>
      <c r="AN180" s="588"/>
      <c r="AO180" s="588"/>
      <c r="AP180" s="588"/>
      <c r="AQ180" s="588"/>
      <c r="AR180" s="588"/>
      <c r="AS180" s="588"/>
      <c r="AT180" s="588"/>
      <c r="AW180" s="585"/>
    </row>
    <row r="181" spans="36:49" s="476" customFormat="1">
      <c r="AJ181" s="588"/>
      <c r="AK181" s="588"/>
      <c r="AL181" s="588"/>
      <c r="AM181" s="588"/>
      <c r="AN181" s="588"/>
      <c r="AO181" s="588"/>
      <c r="AP181" s="588"/>
      <c r="AQ181" s="588"/>
      <c r="AR181" s="588"/>
      <c r="AS181" s="588"/>
      <c r="AT181" s="588"/>
      <c r="AW181" s="585"/>
    </row>
    <row r="182" spans="36:49" s="476" customFormat="1">
      <c r="AJ182" s="588"/>
      <c r="AK182" s="588"/>
      <c r="AL182" s="588"/>
      <c r="AM182" s="588"/>
      <c r="AN182" s="588"/>
      <c r="AO182" s="588"/>
      <c r="AP182" s="588"/>
      <c r="AQ182" s="588"/>
      <c r="AR182" s="588"/>
      <c r="AS182" s="588"/>
      <c r="AT182" s="588"/>
      <c r="AW182" s="585"/>
    </row>
    <row r="183" spans="36:49" s="476" customFormat="1">
      <c r="AJ183" s="588"/>
      <c r="AK183" s="588"/>
      <c r="AL183" s="588"/>
      <c r="AM183" s="588"/>
      <c r="AN183" s="588"/>
      <c r="AO183" s="588"/>
      <c r="AP183" s="588"/>
      <c r="AQ183" s="588"/>
      <c r="AR183" s="588"/>
      <c r="AS183" s="588"/>
      <c r="AT183" s="588"/>
      <c r="AW183" s="585"/>
    </row>
    <row r="184" spans="36:49" s="476" customFormat="1">
      <c r="AJ184" s="588"/>
      <c r="AK184" s="588"/>
      <c r="AL184" s="588"/>
      <c r="AM184" s="588"/>
      <c r="AN184" s="588"/>
      <c r="AO184" s="588"/>
      <c r="AP184" s="588"/>
      <c r="AQ184" s="588"/>
      <c r="AR184" s="588"/>
      <c r="AS184" s="588"/>
      <c r="AT184" s="588"/>
      <c r="AW184" s="585"/>
    </row>
    <row r="185" spans="36:49" s="476" customFormat="1">
      <c r="AJ185" s="588"/>
      <c r="AK185" s="588"/>
      <c r="AL185" s="588"/>
      <c r="AM185" s="588"/>
      <c r="AN185" s="588"/>
      <c r="AO185" s="588"/>
      <c r="AP185" s="588"/>
      <c r="AQ185" s="588"/>
      <c r="AR185" s="588"/>
      <c r="AS185" s="588"/>
      <c r="AT185" s="588"/>
      <c r="AW185" s="585"/>
    </row>
    <row r="186" spans="36:49" s="476" customFormat="1">
      <c r="AJ186" s="588"/>
      <c r="AK186" s="588"/>
      <c r="AL186" s="588"/>
      <c r="AM186" s="588"/>
      <c r="AN186" s="588"/>
      <c r="AO186" s="588"/>
      <c r="AP186" s="588"/>
      <c r="AQ186" s="588"/>
      <c r="AR186" s="588"/>
      <c r="AS186" s="588"/>
      <c r="AT186" s="588"/>
      <c r="AW186" s="585"/>
    </row>
    <row r="187" spans="36:49" s="476" customFormat="1">
      <c r="AJ187" s="588"/>
      <c r="AK187" s="588"/>
      <c r="AL187" s="588"/>
      <c r="AM187" s="588"/>
      <c r="AN187" s="588"/>
      <c r="AO187" s="588"/>
      <c r="AP187" s="588"/>
      <c r="AQ187" s="588"/>
      <c r="AR187" s="588"/>
      <c r="AS187" s="588"/>
      <c r="AT187" s="588"/>
      <c r="AW187" s="585"/>
    </row>
    <row r="188" spans="36:49" s="476" customFormat="1">
      <c r="AJ188" s="588"/>
      <c r="AK188" s="588"/>
      <c r="AL188" s="588"/>
      <c r="AM188" s="588"/>
      <c r="AN188" s="588"/>
      <c r="AO188" s="588"/>
      <c r="AP188" s="588"/>
      <c r="AQ188" s="588"/>
      <c r="AR188" s="588"/>
      <c r="AS188" s="588"/>
      <c r="AT188" s="588"/>
      <c r="AW188" s="585"/>
    </row>
    <row r="189" spans="36:49" s="476" customFormat="1">
      <c r="AJ189" s="588"/>
      <c r="AK189" s="588"/>
      <c r="AL189" s="588"/>
      <c r="AM189" s="588"/>
      <c r="AN189" s="588"/>
      <c r="AO189" s="588"/>
      <c r="AP189" s="588"/>
      <c r="AQ189" s="588"/>
      <c r="AR189" s="588"/>
      <c r="AS189" s="588"/>
      <c r="AT189" s="588"/>
      <c r="AW189" s="585"/>
    </row>
    <row r="190" spans="36:49" s="476" customFormat="1">
      <c r="AJ190" s="588"/>
      <c r="AK190" s="588"/>
      <c r="AL190" s="588"/>
      <c r="AM190" s="588"/>
      <c r="AN190" s="588"/>
      <c r="AO190" s="588"/>
      <c r="AP190" s="588"/>
      <c r="AQ190" s="588"/>
      <c r="AR190" s="588"/>
      <c r="AS190" s="588"/>
      <c r="AT190" s="588"/>
      <c r="AW190" s="585"/>
    </row>
    <row r="191" spans="36:49" s="476" customFormat="1">
      <c r="AJ191" s="588"/>
      <c r="AK191" s="588"/>
      <c r="AL191" s="588"/>
      <c r="AM191" s="588"/>
      <c r="AN191" s="588"/>
      <c r="AO191" s="588"/>
      <c r="AP191" s="588"/>
      <c r="AQ191" s="588"/>
      <c r="AR191" s="588"/>
      <c r="AS191" s="588"/>
      <c r="AT191" s="588"/>
      <c r="AW191" s="585"/>
    </row>
    <row r="192" spans="36:49" s="476" customFormat="1">
      <c r="AJ192" s="588"/>
      <c r="AK192" s="588"/>
      <c r="AL192" s="588"/>
      <c r="AM192" s="588"/>
      <c r="AN192" s="588"/>
      <c r="AO192" s="588"/>
      <c r="AP192" s="588"/>
      <c r="AQ192" s="588"/>
      <c r="AR192" s="588"/>
      <c r="AS192" s="588"/>
      <c r="AT192" s="588"/>
      <c r="AW192" s="585"/>
    </row>
    <row r="193" spans="36:49" s="476" customFormat="1">
      <c r="AJ193" s="588"/>
      <c r="AK193" s="588"/>
      <c r="AL193" s="588"/>
      <c r="AM193" s="588"/>
      <c r="AN193" s="588"/>
      <c r="AO193" s="588"/>
      <c r="AP193" s="588"/>
      <c r="AQ193" s="588"/>
      <c r="AR193" s="588"/>
      <c r="AS193" s="588"/>
      <c r="AT193" s="588"/>
      <c r="AW193" s="585"/>
    </row>
    <row r="194" spans="36:49" s="476" customFormat="1">
      <c r="AJ194" s="588"/>
      <c r="AK194" s="588"/>
      <c r="AL194" s="588"/>
      <c r="AM194" s="588"/>
      <c r="AN194" s="588"/>
      <c r="AO194" s="588"/>
      <c r="AP194" s="588"/>
      <c r="AQ194" s="588"/>
      <c r="AR194" s="588"/>
      <c r="AS194" s="588"/>
      <c r="AT194" s="588"/>
      <c r="AW194" s="585"/>
    </row>
    <row r="195" spans="36:49" s="476" customFormat="1">
      <c r="AJ195" s="588"/>
      <c r="AK195" s="588"/>
      <c r="AL195" s="588"/>
      <c r="AM195" s="588"/>
      <c r="AN195" s="588"/>
      <c r="AO195" s="588"/>
      <c r="AP195" s="588"/>
      <c r="AQ195" s="588"/>
      <c r="AR195" s="588"/>
      <c r="AS195" s="588"/>
      <c r="AT195" s="588"/>
      <c r="AW195" s="585"/>
    </row>
    <row r="196" spans="36:49" s="476" customFormat="1">
      <c r="AJ196" s="588"/>
      <c r="AK196" s="588"/>
      <c r="AL196" s="588"/>
      <c r="AM196" s="588"/>
      <c r="AN196" s="588"/>
      <c r="AO196" s="588"/>
      <c r="AP196" s="588"/>
      <c r="AQ196" s="588"/>
      <c r="AR196" s="588"/>
      <c r="AS196" s="588"/>
      <c r="AT196" s="588"/>
      <c r="AW196" s="585"/>
    </row>
    <row r="197" spans="36:49" s="476" customFormat="1">
      <c r="AJ197" s="588"/>
      <c r="AK197" s="588"/>
      <c r="AL197" s="588"/>
      <c r="AM197" s="588"/>
      <c r="AN197" s="588"/>
      <c r="AO197" s="588"/>
      <c r="AP197" s="588"/>
      <c r="AQ197" s="588"/>
      <c r="AR197" s="588"/>
      <c r="AS197" s="588"/>
      <c r="AT197" s="588"/>
      <c r="AW197" s="585"/>
    </row>
    <row r="198" spans="36:49" s="476" customFormat="1">
      <c r="AJ198" s="588"/>
      <c r="AK198" s="588"/>
      <c r="AL198" s="588"/>
      <c r="AM198" s="588"/>
      <c r="AN198" s="588"/>
      <c r="AO198" s="588"/>
      <c r="AP198" s="588"/>
      <c r="AQ198" s="588"/>
      <c r="AR198" s="588"/>
      <c r="AS198" s="588"/>
      <c r="AT198" s="588"/>
      <c r="AW198" s="585"/>
    </row>
    <row r="199" spans="36:49" s="476" customFormat="1">
      <c r="AJ199" s="588"/>
      <c r="AK199" s="588"/>
      <c r="AL199" s="588"/>
      <c r="AM199" s="588"/>
      <c r="AN199" s="588"/>
      <c r="AO199" s="588"/>
      <c r="AP199" s="588"/>
      <c r="AQ199" s="588"/>
      <c r="AR199" s="588"/>
      <c r="AS199" s="588"/>
      <c r="AT199" s="588"/>
      <c r="AW199" s="585"/>
    </row>
    <row r="200" spans="36:49" s="476" customFormat="1">
      <c r="AJ200" s="588"/>
      <c r="AK200" s="588"/>
      <c r="AL200" s="588"/>
      <c r="AM200" s="588"/>
      <c r="AN200" s="588"/>
      <c r="AO200" s="588"/>
      <c r="AP200" s="588"/>
      <c r="AQ200" s="588"/>
      <c r="AR200" s="588"/>
      <c r="AS200" s="588"/>
      <c r="AT200" s="588"/>
      <c r="AW200" s="585"/>
    </row>
    <row r="201" spans="36:49" s="476" customFormat="1">
      <c r="AJ201" s="588"/>
      <c r="AK201" s="588"/>
      <c r="AL201" s="588"/>
      <c r="AM201" s="588"/>
      <c r="AN201" s="588"/>
      <c r="AO201" s="588"/>
      <c r="AP201" s="588"/>
      <c r="AQ201" s="588"/>
      <c r="AR201" s="588"/>
      <c r="AS201" s="588"/>
      <c r="AT201" s="588"/>
      <c r="AW201" s="585"/>
    </row>
    <row r="202" spans="36:49" s="476" customFormat="1">
      <c r="AJ202" s="588"/>
      <c r="AK202" s="588"/>
      <c r="AL202" s="588"/>
      <c r="AM202" s="588"/>
      <c r="AN202" s="588"/>
      <c r="AO202" s="588"/>
      <c r="AP202" s="588"/>
      <c r="AQ202" s="588"/>
      <c r="AR202" s="588"/>
      <c r="AS202" s="588"/>
      <c r="AT202" s="588"/>
      <c r="AW202" s="585"/>
    </row>
    <row r="203" spans="36:49" s="476" customFormat="1">
      <c r="AJ203" s="588"/>
      <c r="AK203" s="588"/>
      <c r="AL203" s="588"/>
      <c r="AM203" s="588"/>
      <c r="AN203" s="588"/>
      <c r="AO203" s="588"/>
      <c r="AP203" s="588"/>
      <c r="AQ203" s="588"/>
      <c r="AR203" s="588"/>
      <c r="AS203" s="588"/>
      <c r="AT203" s="588"/>
      <c r="AW203" s="585"/>
    </row>
    <row r="204" spans="36:49" s="476" customFormat="1">
      <c r="AJ204" s="588"/>
      <c r="AK204" s="588"/>
      <c r="AL204" s="588"/>
      <c r="AM204" s="588"/>
      <c r="AN204" s="588"/>
      <c r="AO204" s="588"/>
      <c r="AP204" s="588"/>
      <c r="AQ204" s="588"/>
      <c r="AR204" s="588"/>
      <c r="AS204" s="588"/>
      <c r="AT204" s="588"/>
      <c r="AW204" s="585"/>
    </row>
    <row r="205" spans="36:49" s="476" customFormat="1">
      <c r="AJ205" s="588"/>
      <c r="AK205" s="588"/>
      <c r="AL205" s="588"/>
      <c r="AM205" s="588"/>
      <c r="AN205" s="588"/>
      <c r="AO205" s="588"/>
      <c r="AP205" s="588"/>
      <c r="AQ205" s="588"/>
      <c r="AR205" s="588"/>
      <c r="AS205" s="588"/>
      <c r="AT205" s="588"/>
      <c r="AW205" s="585"/>
    </row>
    <row r="206" spans="36:49" s="476" customFormat="1">
      <c r="AJ206" s="588"/>
      <c r="AK206" s="588"/>
      <c r="AL206" s="588"/>
      <c r="AM206" s="588"/>
      <c r="AN206" s="588"/>
      <c r="AO206" s="588"/>
      <c r="AP206" s="588"/>
      <c r="AQ206" s="588"/>
      <c r="AR206" s="588"/>
      <c r="AS206" s="588"/>
      <c r="AT206" s="588"/>
      <c r="AW206" s="585"/>
    </row>
    <row r="207" spans="36:49" s="476" customFormat="1">
      <c r="AJ207" s="588"/>
      <c r="AK207" s="588"/>
      <c r="AL207" s="588"/>
      <c r="AM207" s="588"/>
      <c r="AN207" s="588"/>
      <c r="AO207" s="588"/>
      <c r="AP207" s="588"/>
      <c r="AQ207" s="588"/>
      <c r="AR207" s="588"/>
      <c r="AS207" s="588"/>
      <c r="AT207" s="588"/>
      <c r="AW207" s="585"/>
    </row>
    <row r="208" spans="36:49" s="476" customFormat="1">
      <c r="AJ208" s="588"/>
      <c r="AK208" s="588"/>
      <c r="AL208" s="588"/>
      <c r="AM208" s="588"/>
      <c r="AN208" s="588"/>
      <c r="AO208" s="588"/>
      <c r="AP208" s="588"/>
      <c r="AQ208" s="588"/>
      <c r="AR208" s="588"/>
      <c r="AS208" s="588"/>
      <c r="AT208" s="588"/>
      <c r="AW208" s="585"/>
    </row>
    <row r="209" spans="36:49" s="476" customFormat="1">
      <c r="AJ209" s="588"/>
      <c r="AK209" s="588"/>
      <c r="AL209" s="588"/>
      <c r="AM209" s="588"/>
      <c r="AN209" s="588"/>
      <c r="AO209" s="588"/>
      <c r="AP209" s="588"/>
      <c r="AQ209" s="588"/>
      <c r="AR209" s="588"/>
      <c r="AS209" s="588"/>
      <c r="AT209" s="588"/>
      <c r="AW209" s="585"/>
    </row>
    <row r="210" spans="36:49" s="476" customFormat="1">
      <c r="AJ210" s="588"/>
      <c r="AK210" s="588"/>
      <c r="AL210" s="588"/>
      <c r="AM210" s="588"/>
      <c r="AN210" s="588"/>
      <c r="AO210" s="588"/>
      <c r="AP210" s="588"/>
      <c r="AQ210" s="588"/>
      <c r="AR210" s="588"/>
      <c r="AS210" s="588"/>
      <c r="AT210" s="588"/>
      <c r="AW210" s="585"/>
    </row>
    <row r="211" spans="36:49" s="476" customFormat="1">
      <c r="AJ211" s="588"/>
      <c r="AK211" s="588"/>
      <c r="AL211" s="588"/>
      <c r="AM211" s="588"/>
      <c r="AN211" s="588"/>
      <c r="AO211" s="588"/>
      <c r="AP211" s="588"/>
      <c r="AQ211" s="588"/>
      <c r="AR211" s="588"/>
      <c r="AS211" s="588"/>
      <c r="AT211" s="588"/>
      <c r="AW211" s="585"/>
    </row>
    <row r="212" spans="36:49" s="476" customFormat="1">
      <c r="AJ212" s="588"/>
      <c r="AK212" s="588"/>
      <c r="AL212" s="588"/>
      <c r="AM212" s="588"/>
      <c r="AN212" s="588"/>
      <c r="AO212" s="588"/>
      <c r="AP212" s="588"/>
      <c r="AQ212" s="588"/>
      <c r="AR212" s="588"/>
      <c r="AS212" s="588"/>
      <c r="AT212" s="588"/>
      <c r="AW212" s="585"/>
    </row>
    <row r="213" spans="36:49" s="476" customFormat="1">
      <c r="AJ213" s="588"/>
      <c r="AK213" s="588"/>
      <c r="AL213" s="588"/>
      <c r="AM213" s="588"/>
      <c r="AN213" s="588"/>
      <c r="AO213" s="588"/>
      <c r="AP213" s="588"/>
      <c r="AQ213" s="588"/>
      <c r="AR213" s="588"/>
      <c r="AS213" s="588"/>
      <c r="AT213" s="588"/>
      <c r="AW213" s="585"/>
    </row>
    <row r="214" spans="36:49" s="476" customFormat="1">
      <c r="AJ214" s="588"/>
      <c r="AK214" s="588"/>
      <c r="AL214" s="588"/>
      <c r="AM214" s="588"/>
      <c r="AN214" s="588"/>
      <c r="AO214" s="588"/>
      <c r="AP214" s="588"/>
      <c r="AQ214" s="588"/>
      <c r="AR214" s="588"/>
      <c r="AS214" s="588"/>
      <c r="AT214" s="588"/>
      <c r="AW214" s="585"/>
    </row>
    <row r="215" spans="36:49" s="476" customFormat="1">
      <c r="AJ215" s="588"/>
      <c r="AK215" s="588"/>
      <c r="AL215" s="588"/>
      <c r="AM215" s="588"/>
      <c r="AN215" s="588"/>
      <c r="AO215" s="588"/>
      <c r="AP215" s="588"/>
      <c r="AQ215" s="588"/>
      <c r="AR215" s="588"/>
      <c r="AS215" s="588"/>
      <c r="AT215" s="588"/>
      <c r="AW215" s="585"/>
    </row>
    <row r="216" spans="36:49" s="476" customFormat="1">
      <c r="AJ216" s="588"/>
      <c r="AK216" s="588"/>
      <c r="AL216" s="588"/>
      <c r="AM216" s="588"/>
      <c r="AN216" s="588"/>
      <c r="AO216" s="588"/>
      <c r="AP216" s="588"/>
      <c r="AQ216" s="588"/>
      <c r="AR216" s="588"/>
      <c r="AS216" s="588"/>
      <c r="AT216" s="588"/>
      <c r="AW216" s="585"/>
    </row>
    <row r="217" spans="36:49" s="476" customFormat="1">
      <c r="AJ217" s="588"/>
      <c r="AK217" s="588"/>
      <c r="AL217" s="588"/>
      <c r="AM217" s="588"/>
      <c r="AN217" s="588"/>
      <c r="AO217" s="588"/>
      <c r="AP217" s="588"/>
      <c r="AQ217" s="588"/>
      <c r="AR217" s="588"/>
      <c r="AS217" s="588"/>
      <c r="AT217" s="588"/>
      <c r="AW217" s="585"/>
    </row>
    <row r="218" spans="36:49" s="476" customFormat="1">
      <c r="AJ218" s="588"/>
      <c r="AK218" s="588"/>
      <c r="AL218" s="588"/>
      <c r="AM218" s="588"/>
      <c r="AN218" s="588"/>
      <c r="AO218" s="588"/>
      <c r="AP218" s="588"/>
      <c r="AQ218" s="588"/>
      <c r="AR218" s="588"/>
      <c r="AS218" s="588"/>
      <c r="AT218" s="588"/>
      <c r="AW218" s="585"/>
    </row>
    <row r="219" spans="36:49" s="476" customFormat="1">
      <c r="AJ219" s="588"/>
      <c r="AK219" s="588"/>
      <c r="AL219" s="588"/>
      <c r="AM219" s="588"/>
      <c r="AN219" s="588"/>
      <c r="AO219" s="588"/>
      <c r="AP219" s="588"/>
      <c r="AQ219" s="588"/>
      <c r="AR219" s="588"/>
      <c r="AS219" s="588"/>
      <c r="AT219" s="588"/>
      <c r="AW219" s="585"/>
    </row>
    <row r="220" spans="36:49" s="476" customFormat="1">
      <c r="AJ220" s="588"/>
      <c r="AK220" s="588"/>
      <c r="AL220" s="588"/>
      <c r="AM220" s="588"/>
      <c r="AN220" s="588"/>
      <c r="AO220" s="588"/>
      <c r="AP220" s="588"/>
      <c r="AQ220" s="588"/>
      <c r="AR220" s="588"/>
      <c r="AS220" s="588"/>
      <c r="AT220" s="588"/>
      <c r="AW220" s="585"/>
    </row>
    <row r="221" spans="36:49" s="476" customFormat="1">
      <c r="AJ221" s="588"/>
      <c r="AK221" s="588"/>
      <c r="AL221" s="588"/>
      <c r="AM221" s="588"/>
      <c r="AN221" s="588"/>
      <c r="AO221" s="588"/>
      <c r="AP221" s="588"/>
      <c r="AQ221" s="588"/>
      <c r="AR221" s="588"/>
      <c r="AS221" s="588"/>
      <c r="AT221" s="588"/>
      <c r="AW221" s="585"/>
    </row>
    <row r="222" spans="36:49" s="476" customFormat="1">
      <c r="AJ222" s="588"/>
      <c r="AK222" s="588"/>
      <c r="AL222" s="588"/>
      <c r="AM222" s="588"/>
      <c r="AN222" s="588"/>
      <c r="AO222" s="588"/>
      <c r="AP222" s="588"/>
      <c r="AQ222" s="588"/>
      <c r="AR222" s="588"/>
      <c r="AS222" s="588"/>
      <c r="AT222" s="588"/>
      <c r="AW222" s="585"/>
    </row>
    <row r="223" spans="36:49" s="476" customFormat="1">
      <c r="AJ223" s="588"/>
      <c r="AK223" s="588"/>
      <c r="AL223" s="588"/>
      <c r="AM223" s="588"/>
      <c r="AN223" s="588"/>
      <c r="AO223" s="588"/>
      <c r="AP223" s="588"/>
      <c r="AQ223" s="588"/>
      <c r="AR223" s="588"/>
      <c r="AS223" s="588"/>
      <c r="AT223" s="588"/>
      <c r="AW223" s="585"/>
    </row>
    <row r="224" spans="36:49" s="476" customFormat="1">
      <c r="AJ224" s="588"/>
      <c r="AK224" s="588"/>
      <c r="AL224" s="588"/>
      <c r="AM224" s="588"/>
      <c r="AN224" s="588"/>
      <c r="AO224" s="588"/>
      <c r="AP224" s="588"/>
      <c r="AQ224" s="588"/>
      <c r="AR224" s="588"/>
      <c r="AS224" s="588"/>
      <c r="AT224" s="588"/>
      <c r="AW224" s="585"/>
    </row>
    <row r="225" spans="36:49" s="476" customFormat="1">
      <c r="AJ225" s="588"/>
      <c r="AK225" s="588"/>
      <c r="AL225" s="588"/>
      <c r="AM225" s="588"/>
      <c r="AN225" s="588"/>
      <c r="AO225" s="588"/>
      <c r="AP225" s="588"/>
      <c r="AQ225" s="588"/>
      <c r="AR225" s="588"/>
      <c r="AS225" s="588"/>
      <c r="AT225" s="588"/>
      <c r="AW225" s="585"/>
    </row>
    <row r="226" spans="36:49" s="476" customFormat="1">
      <c r="AJ226" s="588"/>
      <c r="AK226" s="588"/>
      <c r="AL226" s="588"/>
      <c r="AM226" s="588"/>
      <c r="AN226" s="588"/>
      <c r="AO226" s="588"/>
      <c r="AP226" s="588"/>
      <c r="AQ226" s="588"/>
      <c r="AR226" s="588"/>
      <c r="AS226" s="588"/>
      <c r="AT226" s="588"/>
      <c r="AW226" s="585"/>
    </row>
    <row r="227" spans="36:49" s="476" customFormat="1">
      <c r="AJ227" s="588"/>
      <c r="AK227" s="588"/>
      <c r="AL227" s="588"/>
      <c r="AM227" s="588"/>
      <c r="AN227" s="588"/>
      <c r="AO227" s="588"/>
      <c r="AP227" s="588"/>
      <c r="AQ227" s="588"/>
      <c r="AR227" s="588"/>
      <c r="AS227" s="588"/>
      <c r="AT227" s="588"/>
      <c r="AW227" s="585"/>
    </row>
    <row r="228" spans="36:49" s="476" customFormat="1">
      <c r="AJ228" s="588"/>
      <c r="AK228" s="588"/>
      <c r="AL228" s="588"/>
      <c r="AM228" s="588"/>
      <c r="AN228" s="588"/>
      <c r="AO228" s="588"/>
      <c r="AP228" s="588"/>
      <c r="AQ228" s="588"/>
      <c r="AR228" s="588"/>
      <c r="AS228" s="588"/>
      <c r="AT228" s="588"/>
      <c r="AW228" s="585"/>
    </row>
    <row r="229" spans="36:49" s="476" customFormat="1">
      <c r="AJ229" s="588"/>
      <c r="AK229" s="588"/>
      <c r="AL229" s="588"/>
      <c r="AM229" s="588"/>
      <c r="AN229" s="588"/>
      <c r="AO229" s="588"/>
      <c r="AP229" s="588"/>
      <c r="AQ229" s="588"/>
      <c r="AR229" s="588"/>
      <c r="AS229" s="588"/>
      <c r="AT229" s="588"/>
      <c r="AW229" s="585"/>
    </row>
    <row r="230" spans="36:49" s="476" customFormat="1">
      <c r="AJ230" s="588"/>
      <c r="AK230" s="588"/>
      <c r="AL230" s="588"/>
      <c r="AM230" s="588"/>
      <c r="AN230" s="588"/>
      <c r="AO230" s="588"/>
      <c r="AP230" s="588"/>
      <c r="AQ230" s="588"/>
      <c r="AR230" s="588"/>
      <c r="AS230" s="588"/>
      <c r="AT230" s="588"/>
      <c r="AW230" s="585"/>
    </row>
    <row r="231" spans="36:49" s="476" customFormat="1">
      <c r="AJ231" s="588"/>
      <c r="AK231" s="588"/>
      <c r="AL231" s="588"/>
      <c r="AM231" s="588"/>
      <c r="AN231" s="588"/>
      <c r="AO231" s="588"/>
      <c r="AP231" s="588"/>
      <c r="AQ231" s="588"/>
      <c r="AR231" s="588"/>
      <c r="AS231" s="588"/>
      <c r="AT231" s="588"/>
      <c r="AW231" s="585"/>
    </row>
    <row r="232" spans="36:49" s="476" customFormat="1">
      <c r="AJ232" s="588"/>
      <c r="AK232" s="588"/>
      <c r="AL232" s="588"/>
      <c r="AM232" s="588"/>
      <c r="AN232" s="588"/>
      <c r="AO232" s="588"/>
      <c r="AP232" s="588"/>
      <c r="AQ232" s="588"/>
      <c r="AR232" s="588"/>
      <c r="AS232" s="588"/>
      <c r="AT232" s="588"/>
      <c r="AW232" s="585"/>
    </row>
    <row r="233" spans="36:49" s="476" customFormat="1">
      <c r="AJ233" s="588"/>
      <c r="AK233" s="588"/>
      <c r="AL233" s="588"/>
      <c r="AM233" s="588"/>
      <c r="AN233" s="588"/>
      <c r="AO233" s="588"/>
      <c r="AP233" s="588"/>
      <c r="AQ233" s="588"/>
      <c r="AR233" s="588"/>
      <c r="AS233" s="588"/>
      <c r="AT233" s="588"/>
      <c r="AW233" s="585"/>
    </row>
    <row r="234" spans="36:49" s="476" customFormat="1">
      <c r="AJ234" s="588"/>
      <c r="AK234" s="588"/>
      <c r="AL234" s="588"/>
      <c r="AM234" s="588"/>
      <c r="AN234" s="588"/>
      <c r="AO234" s="588"/>
      <c r="AP234" s="588"/>
      <c r="AQ234" s="588"/>
      <c r="AR234" s="588"/>
      <c r="AS234" s="588"/>
      <c r="AT234" s="588"/>
      <c r="AW234" s="585"/>
    </row>
    <row r="235" spans="36:49" s="476" customFormat="1">
      <c r="AJ235" s="588"/>
      <c r="AK235" s="588"/>
      <c r="AL235" s="588"/>
      <c r="AM235" s="588"/>
      <c r="AN235" s="588"/>
      <c r="AO235" s="588"/>
      <c r="AP235" s="588"/>
      <c r="AQ235" s="588"/>
      <c r="AR235" s="588"/>
      <c r="AS235" s="588"/>
      <c r="AT235" s="588"/>
      <c r="AW235" s="585"/>
    </row>
    <row r="236" spans="36:49" s="476" customFormat="1">
      <c r="AJ236" s="588"/>
      <c r="AK236" s="588"/>
      <c r="AL236" s="588"/>
      <c r="AM236" s="588"/>
      <c r="AN236" s="588"/>
      <c r="AO236" s="588"/>
      <c r="AP236" s="588"/>
      <c r="AQ236" s="588"/>
      <c r="AR236" s="588"/>
      <c r="AS236" s="588"/>
      <c r="AT236" s="588"/>
      <c r="AW236" s="585"/>
    </row>
    <row r="237" spans="36:49" s="476" customFormat="1">
      <c r="AJ237" s="588"/>
      <c r="AK237" s="588"/>
      <c r="AL237" s="588"/>
      <c r="AM237" s="588"/>
      <c r="AN237" s="588"/>
      <c r="AO237" s="588"/>
      <c r="AP237" s="588"/>
      <c r="AQ237" s="588"/>
      <c r="AR237" s="588"/>
      <c r="AS237" s="588"/>
      <c r="AT237" s="588"/>
      <c r="AW237" s="585"/>
    </row>
    <row r="238" spans="36:49" s="476" customFormat="1">
      <c r="AJ238" s="588"/>
      <c r="AK238" s="588"/>
      <c r="AL238" s="588"/>
      <c r="AM238" s="588"/>
      <c r="AN238" s="588"/>
      <c r="AO238" s="588"/>
      <c r="AP238" s="588"/>
      <c r="AQ238" s="588"/>
      <c r="AR238" s="588"/>
      <c r="AS238" s="588"/>
      <c r="AT238" s="588"/>
      <c r="AW238" s="585"/>
    </row>
    <row r="239" spans="36:49" s="476" customFormat="1">
      <c r="AJ239" s="588"/>
      <c r="AK239" s="588"/>
      <c r="AL239" s="588"/>
      <c r="AM239" s="588"/>
      <c r="AN239" s="588"/>
      <c r="AO239" s="588"/>
      <c r="AP239" s="588"/>
      <c r="AQ239" s="588"/>
      <c r="AR239" s="588"/>
      <c r="AS239" s="588"/>
      <c r="AT239" s="588"/>
      <c r="AW239" s="585"/>
    </row>
    <row r="240" spans="36:49" s="476" customFormat="1">
      <c r="AJ240" s="588"/>
      <c r="AK240" s="588"/>
      <c r="AL240" s="588"/>
      <c r="AM240" s="588"/>
      <c r="AN240" s="588"/>
      <c r="AO240" s="588"/>
      <c r="AP240" s="588"/>
      <c r="AQ240" s="588"/>
      <c r="AR240" s="588"/>
      <c r="AS240" s="588"/>
      <c r="AT240" s="588"/>
      <c r="AW240" s="585"/>
    </row>
    <row r="241" spans="36:49" s="476" customFormat="1">
      <c r="AJ241" s="588"/>
      <c r="AK241" s="588"/>
      <c r="AL241" s="588"/>
      <c r="AM241" s="588"/>
      <c r="AN241" s="588"/>
      <c r="AO241" s="588"/>
      <c r="AP241" s="588"/>
      <c r="AQ241" s="588"/>
      <c r="AR241" s="588"/>
      <c r="AS241" s="588"/>
      <c r="AT241" s="588"/>
      <c r="AW241" s="585"/>
    </row>
    <row r="242" spans="36:49" s="476" customFormat="1">
      <c r="AJ242" s="588"/>
      <c r="AK242" s="588"/>
      <c r="AL242" s="588"/>
      <c r="AM242" s="588"/>
      <c r="AN242" s="588"/>
      <c r="AO242" s="588"/>
      <c r="AP242" s="588"/>
      <c r="AQ242" s="588"/>
      <c r="AR242" s="588"/>
      <c r="AS242" s="588"/>
      <c r="AT242" s="588"/>
      <c r="AW242" s="585"/>
    </row>
    <row r="243" spans="36:49" s="476" customFormat="1">
      <c r="AJ243" s="588"/>
      <c r="AK243" s="588"/>
      <c r="AL243" s="588"/>
      <c r="AM243" s="588"/>
      <c r="AN243" s="588"/>
      <c r="AO243" s="588"/>
      <c r="AP243" s="588"/>
      <c r="AQ243" s="588"/>
      <c r="AR243" s="588"/>
      <c r="AS243" s="588"/>
      <c r="AT243" s="588"/>
      <c r="AW243" s="585"/>
    </row>
    <row r="244" spans="36:49" s="476" customFormat="1">
      <c r="AJ244" s="588"/>
      <c r="AK244" s="588"/>
      <c r="AL244" s="588"/>
      <c r="AM244" s="588"/>
      <c r="AN244" s="588"/>
      <c r="AO244" s="588"/>
      <c r="AP244" s="588"/>
      <c r="AQ244" s="588"/>
      <c r="AR244" s="588"/>
      <c r="AS244" s="588"/>
      <c r="AT244" s="588"/>
      <c r="AW244" s="585"/>
    </row>
    <row r="245" spans="36:49" s="476" customFormat="1">
      <c r="AJ245" s="588"/>
      <c r="AK245" s="588"/>
      <c r="AL245" s="588"/>
      <c r="AM245" s="588"/>
      <c r="AN245" s="588"/>
      <c r="AO245" s="588"/>
      <c r="AP245" s="588"/>
      <c r="AQ245" s="588"/>
      <c r="AR245" s="588"/>
      <c r="AS245" s="588"/>
      <c r="AT245" s="588"/>
      <c r="AW245" s="585"/>
    </row>
    <row r="246" spans="36:49" s="476" customFormat="1">
      <c r="AJ246" s="588"/>
      <c r="AK246" s="588"/>
      <c r="AL246" s="588"/>
      <c r="AM246" s="588"/>
      <c r="AN246" s="588"/>
      <c r="AO246" s="588"/>
      <c r="AP246" s="588"/>
      <c r="AQ246" s="588"/>
      <c r="AR246" s="588"/>
      <c r="AS246" s="588"/>
      <c r="AT246" s="588"/>
      <c r="AW246" s="585"/>
    </row>
    <row r="247" spans="36:49" s="476" customFormat="1">
      <c r="AJ247" s="588"/>
      <c r="AK247" s="588"/>
      <c r="AL247" s="588"/>
      <c r="AM247" s="588"/>
      <c r="AN247" s="588"/>
      <c r="AO247" s="588"/>
      <c r="AP247" s="588"/>
      <c r="AQ247" s="588"/>
      <c r="AR247" s="588"/>
      <c r="AS247" s="588"/>
      <c r="AT247" s="588"/>
      <c r="AW247" s="585"/>
    </row>
    <row r="248" spans="36:49" s="476" customFormat="1">
      <c r="AJ248" s="588"/>
      <c r="AK248" s="588"/>
      <c r="AL248" s="588"/>
      <c r="AM248" s="588"/>
      <c r="AN248" s="588"/>
      <c r="AO248" s="588"/>
      <c r="AP248" s="588"/>
      <c r="AQ248" s="588"/>
      <c r="AR248" s="588"/>
      <c r="AS248" s="588"/>
      <c r="AT248" s="588"/>
      <c r="AW248" s="585"/>
    </row>
    <row r="249" spans="36:49" s="476" customFormat="1">
      <c r="AJ249" s="588"/>
      <c r="AK249" s="588"/>
      <c r="AL249" s="588"/>
      <c r="AM249" s="588"/>
      <c r="AN249" s="588"/>
      <c r="AO249" s="588"/>
      <c r="AP249" s="588"/>
      <c r="AQ249" s="588"/>
      <c r="AR249" s="588"/>
      <c r="AS249" s="588"/>
      <c r="AT249" s="588"/>
      <c r="AW249" s="585"/>
    </row>
    <row r="250" spans="36:49" s="476" customFormat="1">
      <c r="AJ250" s="588"/>
      <c r="AK250" s="588"/>
      <c r="AL250" s="588"/>
      <c r="AM250" s="588"/>
      <c r="AN250" s="588"/>
      <c r="AO250" s="588"/>
      <c r="AP250" s="588"/>
      <c r="AQ250" s="588"/>
      <c r="AR250" s="588"/>
      <c r="AS250" s="588"/>
      <c r="AT250" s="588"/>
      <c r="AW250" s="585"/>
    </row>
    <row r="251" spans="36:49" s="476" customFormat="1">
      <c r="AJ251" s="588"/>
      <c r="AK251" s="588"/>
      <c r="AL251" s="588"/>
      <c r="AM251" s="588"/>
      <c r="AN251" s="588"/>
      <c r="AO251" s="588"/>
      <c r="AP251" s="588"/>
      <c r="AQ251" s="588"/>
      <c r="AR251" s="588"/>
      <c r="AS251" s="588"/>
      <c r="AT251" s="588"/>
      <c r="AW251" s="585"/>
    </row>
    <row r="252" spans="36:49" s="476" customFormat="1">
      <c r="AJ252" s="588"/>
      <c r="AK252" s="588"/>
      <c r="AL252" s="588"/>
      <c r="AM252" s="588"/>
      <c r="AN252" s="588"/>
      <c r="AO252" s="588"/>
      <c r="AP252" s="588"/>
      <c r="AQ252" s="588"/>
      <c r="AR252" s="588"/>
      <c r="AS252" s="588"/>
      <c r="AT252" s="588"/>
      <c r="AW252" s="585"/>
    </row>
    <row r="253" spans="36:49" s="476" customFormat="1">
      <c r="AJ253" s="588"/>
      <c r="AK253" s="588"/>
      <c r="AL253" s="588"/>
      <c r="AM253" s="588"/>
      <c r="AN253" s="588"/>
      <c r="AO253" s="588"/>
      <c r="AP253" s="588"/>
      <c r="AQ253" s="588"/>
      <c r="AR253" s="588"/>
      <c r="AS253" s="588"/>
      <c r="AT253" s="588"/>
      <c r="AW253" s="585"/>
    </row>
    <row r="254" spans="36:49" s="476" customFormat="1">
      <c r="AJ254" s="588"/>
      <c r="AK254" s="588"/>
      <c r="AL254" s="588"/>
      <c r="AM254" s="588"/>
      <c r="AN254" s="588"/>
      <c r="AO254" s="588"/>
      <c r="AP254" s="588"/>
      <c r="AQ254" s="588"/>
      <c r="AR254" s="588"/>
      <c r="AS254" s="588"/>
      <c r="AT254" s="588"/>
      <c r="AW254" s="585"/>
    </row>
    <row r="255" spans="36:49" s="476" customFormat="1">
      <c r="AJ255" s="588"/>
      <c r="AK255" s="588"/>
      <c r="AL255" s="588"/>
      <c r="AM255" s="588"/>
      <c r="AN255" s="588"/>
      <c r="AO255" s="588"/>
      <c r="AP255" s="588"/>
      <c r="AQ255" s="588"/>
      <c r="AR255" s="588"/>
      <c r="AS255" s="588"/>
      <c r="AT255" s="588"/>
      <c r="AW255" s="585"/>
    </row>
    <row r="256" spans="36:49" s="476" customFormat="1">
      <c r="AJ256" s="588"/>
      <c r="AK256" s="588"/>
      <c r="AL256" s="588"/>
      <c r="AM256" s="588"/>
      <c r="AN256" s="588"/>
      <c r="AO256" s="588"/>
      <c r="AP256" s="588"/>
      <c r="AQ256" s="588"/>
      <c r="AR256" s="588"/>
      <c r="AS256" s="588"/>
      <c r="AT256" s="588"/>
      <c r="AW256" s="585"/>
    </row>
    <row r="257" spans="36:49" s="476" customFormat="1">
      <c r="AJ257" s="588"/>
      <c r="AK257" s="588"/>
      <c r="AL257" s="588"/>
      <c r="AM257" s="588"/>
      <c r="AN257" s="588"/>
      <c r="AO257" s="588"/>
      <c r="AP257" s="588"/>
      <c r="AQ257" s="588"/>
      <c r="AR257" s="588"/>
      <c r="AS257" s="588"/>
      <c r="AT257" s="588"/>
      <c r="AW257" s="585"/>
    </row>
    <row r="258" spans="36:49" s="476" customFormat="1">
      <c r="AJ258" s="588"/>
      <c r="AK258" s="588"/>
      <c r="AL258" s="588"/>
      <c r="AM258" s="588"/>
      <c r="AN258" s="588"/>
      <c r="AO258" s="588"/>
      <c r="AP258" s="588"/>
      <c r="AQ258" s="588"/>
      <c r="AR258" s="588"/>
      <c r="AS258" s="588"/>
      <c r="AT258" s="588"/>
      <c r="AW258" s="585"/>
    </row>
    <row r="259" spans="36:49" s="476" customFormat="1">
      <c r="AJ259" s="588"/>
      <c r="AK259" s="588"/>
      <c r="AL259" s="588"/>
      <c r="AM259" s="588"/>
      <c r="AN259" s="588"/>
      <c r="AO259" s="588"/>
      <c r="AP259" s="588"/>
      <c r="AQ259" s="588"/>
      <c r="AR259" s="588"/>
      <c r="AS259" s="588"/>
      <c r="AT259" s="588"/>
      <c r="AW259" s="585"/>
    </row>
    <row r="260" spans="36:49" s="476" customFormat="1">
      <c r="AJ260" s="588"/>
      <c r="AK260" s="588"/>
      <c r="AL260" s="588"/>
      <c r="AM260" s="588"/>
      <c r="AN260" s="588"/>
      <c r="AO260" s="588"/>
      <c r="AP260" s="588"/>
      <c r="AQ260" s="588"/>
      <c r="AR260" s="588"/>
      <c r="AS260" s="588"/>
      <c r="AT260" s="588"/>
      <c r="AW260" s="585"/>
    </row>
    <row r="261" spans="36:49" s="476" customFormat="1">
      <c r="AJ261" s="588"/>
      <c r="AK261" s="588"/>
      <c r="AL261" s="588"/>
      <c r="AM261" s="588"/>
      <c r="AN261" s="588"/>
      <c r="AO261" s="588"/>
      <c r="AP261" s="588"/>
      <c r="AQ261" s="588"/>
      <c r="AR261" s="588"/>
      <c r="AS261" s="588"/>
      <c r="AT261" s="588"/>
      <c r="AW261" s="585"/>
    </row>
    <row r="262" spans="36:49" s="476" customFormat="1">
      <c r="AJ262" s="588"/>
      <c r="AK262" s="588"/>
      <c r="AL262" s="588"/>
      <c r="AM262" s="588"/>
      <c r="AN262" s="588"/>
      <c r="AO262" s="588"/>
      <c r="AP262" s="588"/>
      <c r="AQ262" s="588"/>
      <c r="AR262" s="588"/>
      <c r="AS262" s="588"/>
      <c r="AT262" s="588"/>
      <c r="AW262" s="585"/>
    </row>
    <row r="263" spans="36:49" s="476" customFormat="1">
      <c r="AJ263" s="588"/>
      <c r="AK263" s="588"/>
      <c r="AL263" s="588"/>
      <c r="AM263" s="588"/>
      <c r="AN263" s="588"/>
      <c r="AO263" s="588"/>
      <c r="AP263" s="588"/>
      <c r="AQ263" s="588"/>
      <c r="AR263" s="588"/>
      <c r="AS263" s="588"/>
      <c r="AT263" s="588"/>
      <c r="AW263" s="585"/>
    </row>
    <row r="264" spans="36:49" s="476" customFormat="1">
      <c r="AJ264" s="588"/>
      <c r="AK264" s="588"/>
      <c r="AL264" s="588"/>
      <c r="AM264" s="588"/>
      <c r="AN264" s="588"/>
      <c r="AO264" s="588"/>
      <c r="AP264" s="588"/>
      <c r="AQ264" s="588"/>
      <c r="AR264" s="588"/>
      <c r="AS264" s="588"/>
      <c r="AT264" s="588"/>
      <c r="AW264" s="585"/>
    </row>
    <row r="265" spans="36:49" s="476" customFormat="1">
      <c r="AJ265" s="588"/>
      <c r="AK265" s="588"/>
      <c r="AL265" s="588"/>
      <c r="AM265" s="588"/>
      <c r="AN265" s="588"/>
      <c r="AO265" s="588"/>
      <c r="AP265" s="588"/>
      <c r="AQ265" s="588"/>
      <c r="AR265" s="588"/>
      <c r="AS265" s="588"/>
      <c r="AT265" s="588"/>
      <c r="AW265" s="585"/>
    </row>
    <row r="266" spans="36:49" s="476" customFormat="1">
      <c r="AJ266" s="588"/>
      <c r="AK266" s="588"/>
      <c r="AL266" s="588"/>
      <c r="AM266" s="588"/>
      <c r="AN266" s="588"/>
      <c r="AO266" s="588"/>
      <c r="AP266" s="588"/>
      <c r="AQ266" s="588"/>
      <c r="AR266" s="588"/>
      <c r="AS266" s="588"/>
      <c r="AT266" s="588"/>
      <c r="AW266" s="585"/>
    </row>
    <row r="267" spans="36:49" s="476" customFormat="1">
      <c r="AJ267" s="588"/>
      <c r="AK267" s="588"/>
      <c r="AL267" s="588"/>
      <c r="AM267" s="588"/>
      <c r="AN267" s="588"/>
      <c r="AO267" s="588"/>
      <c r="AP267" s="588"/>
      <c r="AQ267" s="588"/>
      <c r="AR267" s="588"/>
      <c r="AS267" s="588"/>
      <c r="AT267" s="588"/>
      <c r="AW267" s="585"/>
    </row>
    <row r="268" spans="36:49" s="476" customFormat="1">
      <c r="AJ268" s="588"/>
      <c r="AK268" s="588"/>
      <c r="AL268" s="588"/>
      <c r="AM268" s="588"/>
      <c r="AN268" s="588"/>
      <c r="AO268" s="588"/>
      <c r="AP268" s="588"/>
      <c r="AQ268" s="588"/>
      <c r="AR268" s="588"/>
      <c r="AS268" s="588"/>
      <c r="AT268" s="588"/>
      <c r="AW268" s="585"/>
    </row>
    <row r="269" spans="36:49" s="476" customFormat="1">
      <c r="AJ269" s="588"/>
      <c r="AK269" s="588"/>
      <c r="AL269" s="588"/>
      <c r="AM269" s="588"/>
      <c r="AN269" s="588"/>
      <c r="AO269" s="588"/>
      <c r="AP269" s="588"/>
      <c r="AQ269" s="588"/>
      <c r="AR269" s="588"/>
      <c r="AS269" s="588"/>
      <c r="AT269" s="588"/>
      <c r="AW269" s="585"/>
    </row>
    <row r="270" spans="36:49" s="476" customFormat="1">
      <c r="AJ270" s="588"/>
      <c r="AK270" s="588"/>
      <c r="AL270" s="588"/>
      <c r="AM270" s="588"/>
      <c r="AN270" s="588"/>
      <c r="AO270" s="588"/>
      <c r="AP270" s="588"/>
      <c r="AQ270" s="588"/>
      <c r="AR270" s="588"/>
      <c r="AS270" s="588"/>
      <c r="AT270" s="588"/>
      <c r="AW270" s="585"/>
    </row>
    <row r="271" spans="36:49" s="476" customFormat="1">
      <c r="AJ271" s="588"/>
      <c r="AK271" s="588"/>
      <c r="AL271" s="588"/>
      <c r="AM271" s="588"/>
      <c r="AN271" s="588"/>
      <c r="AO271" s="588"/>
      <c r="AP271" s="588"/>
      <c r="AQ271" s="588"/>
      <c r="AR271" s="588"/>
      <c r="AS271" s="588"/>
      <c r="AT271" s="588"/>
      <c r="AW271" s="585"/>
    </row>
    <row r="272" spans="36:49" s="476" customFormat="1">
      <c r="AJ272" s="588"/>
      <c r="AK272" s="588"/>
      <c r="AL272" s="588"/>
      <c r="AM272" s="588"/>
      <c r="AN272" s="588"/>
      <c r="AO272" s="588"/>
      <c r="AP272" s="588"/>
      <c r="AQ272" s="588"/>
      <c r="AR272" s="588"/>
      <c r="AS272" s="588"/>
      <c r="AT272" s="588"/>
      <c r="AW272" s="585"/>
    </row>
    <row r="273" spans="36:49" s="476" customFormat="1">
      <c r="AJ273" s="588"/>
      <c r="AK273" s="588"/>
      <c r="AL273" s="588"/>
      <c r="AM273" s="588"/>
      <c r="AN273" s="588"/>
      <c r="AO273" s="588"/>
      <c r="AP273" s="588"/>
      <c r="AQ273" s="588"/>
      <c r="AR273" s="588"/>
      <c r="AS273" s="588"/>
      <c r="AT273" s="588"/>
      <c r="AW273" s="585"/>
    </row>
    <row r="274" spans="36:49" s="476" customFormat="1">
      <c r="AJ274" s="588"/>
      <c r="AK274" s="588"/>
      <c r="AL274" s="588"/>
      <c r="AM274" s="588"/>
      <c r="AN274" s="588"/>
      <c r="AO274" s="588"/>
      <c r="AP274" s="588"/>
      <c r="AQ274" s="588"/>
      <c r="AR274" s="588"/>
      <c r="AS274" s="588"/>
      <c r="AT274" s="588"/>
      <c r="AW274" s="585"/>
    </row>
    <row r="275" spans="36:49" s="476" customFormat="1">
      <c r="AJ275" s="588"/>
      <c r="AK275" s="588"/>
      <c r="AL275" s="588"/>
      <c r="AM275" s="588"/>
      <c r="AN275" s="588"/>
      <c r="AO275" s="588"/>
      <c r="AP275" s="588"/>
      <c r="AQ275" s="588"/>
      <c r="AR275" s="588"/>
      <c r="AS275" s="588"/>
      <c r="AT275" s="588"/>
      <c r="AW275" s="585"/>
    </row>
    <row r="276" spans="36:49" s="476" customFormat="1">
      <c r="AJ276" s="588"/>
      <c r="AK276" s="588"/>
      <c r="AL276" s="588"/>
      <c r="AM276" s="588"/>
      <c r="AN276" s="588"/>
      <c r="AO276" s="588"/>
      <c r="AP276" s="588"/>
      <c r="AQ276" s="588"/>
      <c r="AR276" s="588"/>
      <c r="AS276" s="588"/>
      <c r="AT276" s="588"/>
      <c r="AW276" s="585"/>
    </row>
    <row r="277" spans="36:49" s="476" customFormat="1">
      <c r="AJ277" s="588"/>
      <c r="AK277" s="588"/>
      <c r="AL277" s="588"/>
      <c r="AM277" s="588"/>
      <c r="AN277" s="588"/>
      <c r="AO277" s="588"/>
      <c r="AP277" s="588"/>
      <c r="AQ277" s="588"/>
      <c r="AR277" s="588"/>
      <c r="AS277" s="588"/>
      <c r="AT277" s="588"/>
      <c r="AW277" s="585"/>
    </row>
    <row r="278" spans="36:49" s="476" customFormat="1">
      <c r="AJ278" s="588"/>
      <c r="AK278" s="588"/>
      <c r="AL278" s="588"/>
      <c r="AM278" s="588"/>
      <c r="AN278" s="588"/>
      <c r="AO278" s="588"/>
      <c r="AP278" s="588"/>
      <c r="AQ278" s="588"/>
      <c r="AR278" s="588"/>
      <c r="AS278" s="588"/>
      <c r="AT278" s="588"/>
      <c r="AW278" s="585"/>
    </row>
    <row r="279" spans="36:49" s="476" customFormat="1">
      <c r="AJ279" s="588"/>
      <c r="AK279" s="588"/>
      <c r="AL279" s="588"/>
      <c r="AM279" s="588"/>
      <c r="AN279" s="588"/>
      <c r="AO279" s="588"/>
      <c r="AP279" s="588"/>
      <c r="AQ279" s="588"/>
      <c r="AR279" s="588"/>
      <c r="AS279" s="588"/>
      <c r="AT279" s="588"/>
      <c r="AW279" s="585"/>
    </row>
    <row r="280" spans="36:49" s="476" customFormat="1">
      <c r="AJ280" s="588"/>
      <c r="AK280" s="588"/>
      <c r="AL280" s="588"/>
      <c r="AM280" s="588"/>
      <c r="AN280" s="588"/>
      <c r="AO280" s="588"/>
      <c r="AP280" s="588"/>
      <c r="AQ280" s="588"/>
      <c r="AR280" s="588"/>
      <c r="AS280" s="588"/>
      <c r="AT280" s="588"/>
      <c r="AW280" s="585"/>
    </row>
    <row r="281" spans="36:49" s="476" customFormat="1">
      <c r="AJ281" s="588"/>
      <c r="AK281" s="588"/>
      <c r="AL281" s="588"/>
      <c r="AM281" s="588"/>
      <c r="AN281" s="588"/>
      <c r="AO281" s="588"/>
      <c r="AP281" s="588"/>
      <c r="AQ281" s="588"/>
      <c r="AR281" s="588"/>
      <c r="AS281" s="588"/>
      <c r="AT281" s="588"/>
      <c r="AW281" s="585"/>
    </row>
    <row r="282" spans="36:49" s="476" customFormat="1">
      <c r="AJ282" s="588"/>
      <c r="AK282" s="588"/>
      <c r="AL282" s="588"/>
      <c r="AM282" s="588"/>
      <c r="AN282" s="588"/>
      <c r="AO282" s="588"/>
      <c r="AP282" s="588"/>
      <c r="AQ282" s="588"/>
      <c r="AR282" s="588"/>
      <c r="AS282" s="588"/>
      <c r="AT282" s="588"/>
      <c r="AW282" s="585"/>
    </row>
    <row r="283" spans="36:49" s="476" customFormat="1">
      <c r="AJ283" s="588"/>
      <c r="AK283" s="588"/>
      <c r="AL283" s="588"/>
      <c r="AM283" s="588"/>
      <c r="AN283" s="588"/>
      <c r="AO283" s="588"/>
      <c r="AP283" s="588"/>
      <c r="AQ283" s="588"/>
      <c r="AR283" s="588"/>
      <c r="AS283" s="588"/>
      <c r="AT283" s="588"/>
      <c r="AW283" s="585"/>
    </row>
    <row r="284" spans="36:49" s="476" customFormat="1">
      <c r="AJ284" s="588"/>
      <c r="AK284" s="588"/>
      <c r="AL284" s="588"/>
      <c r="AM284" s="588"/>
      <c r="AN284" s="588"/>
      <c r="AO284" s="588"/>
      <c r="AP284" s="588"/>
      <c r="AQ284" s="588"/>
      <c r="AR284" s="588"/>
      <c r="AS284" s="588"/>
      <c r="AT284" s="588"/>
      <c r="AW284" s="585"/>
    </row>
    <row r="285" spans="36:49" s="476" customFormat="1">
      <c r="AJ285" s="588"/>
      <c r="AK285" s="588"/>
      <c r="AL285" s="588"/>
      <c r="AM285" s="588"/>
      <c r="AN285" s="588"/>
      <c r="AO285" s="588"/>
      <c r="AP285" s="588"/>
      <c r="AQ285" s="588"/>
      <c r="AR285" s="588"/>
      <c r="AS285" s="588"/>
      <c r="AT285" s="588"/>
      <c r="AW285" s="585"/>
    </row>
    <row r="286" spans="36:49" s="476" customFormat="1">
      <c r="AJ286" s="588"/>
      <c r="AK286" s="588"/>
      <c r="AL286" s="588"/>
      <c r="AM286" s="588"/>
      <c r="AN286" s="588"/>
      <c r="AO286" s="588"/>
      <c r="AP286" s="588"/>
      <c r="AQ286" s="588"/>
      <c r="AR286" s="588"/>
      <c r="AS286" s="588"/>
      <c r="AT286" s="588"/>
      <c r="AW286" s="585"/>
    </row>
    <row r="287" spans="36:49" s="476" customFormat="1">
      <c r="AJ287" s="588"/>
      <c r="AK287" s="588"/>
      <c r="AL287" s="588"/>
      <c r="AM287" s="588"/>
      <c r="AN287" s="588"/>
      <c r="AO287" s="588"/>
      <c r="AP287" s="588"/>
      <c r="AQ287" s="588"/>
      <c r="AR287" s="588"/>
      <c r="AS287" s="588"/>
      <c r="AT287" s="588"/>
      <c r="AW287" s="585"/>
    </row>
    <row r="288" spans="36:49" s="476" customFormat="1">
      <c r="AJ288" s="588"/>
      <c r="AK288" s="588"/>
      <c r="AL288" s="588"/>
      <c r="AM288" s="588"/>
      <c r="AN288" s="588"/>
      <c r="AO288" s="588"/>
      <c r="AP288" s="588"/>
      <c r="AQ288" s="588"/>
      <c r="AR288" s="588"/>
      <c r="AS288" s="588"/>
      <c r="AT288" s="588"/>
      <c r="AW288" s="585"/>
    </row>
    <row r="289" spans="36:49" s="476" customFormat="1">
      <c r="AJ289" s="588"/>
      <c r="AK289" s="588"/>
      <c r="AL289" s="588"/>
      <c r="AM289" s="588"/>
      <c r="AN289" s="588"/>
      <c r="AO289" s="588"/>
      <c r="AP289" s="588"/>
      <c r="AQ289" s="588"/>
      <c r="AR289" s="588"/>
      <c r="AS289" s="588"/>
      <c r="AT289" s="588"/>
      <c r="AW289" s="585"/>
    </row>
    <row r="290" spans="36:49" s="476" customFormat="1">
      <c r="AJ290" s="588"/>
      <c r="AK290" s="588"/>
      <c r="AL290" s="588"/>
      <c r="AM290" s="588"/>
      <c r="AN290" s="588"/>
      <c r="AO290" s="588"/>
      <c r="AP290" s="588"/>
      <c r="AQ290" s="588"/>
      <c r="AR290" s="588"/>
      <c r="AS290" s="588"/>
      <c r="AT290" s="588"/>
      <c r="AW290" s="585"/>
    </row>
    <row r="291" spans="36:49" s="476" customFormat="1">
      <c r="AJ291" s="588"/>
      <c r="AK291" s="588"/>
      <c r="AL291" s="588"/>
      <c r="AM291" s="588"/>
      <c r="AN291" s="588"/>
      <c r="AO291" s="588"/>
      <c r="AP291" s="588"/>
      <c r="AQ291" s="588"/>
      <c r="AR291" s="588"/>
      <c r="AS291" s="588"/>
      <c r="AT291" s="588"/>
      <c r="AW291" s="585"/>
    </row>
    <row r="292" spans="36:49" s="476" customFormat="1">
      <c r="AJ292" s="588"/>
      <c r="AK292" s="588"/>
      <c r="AL292" s="588"/>
      <c r="AM292" s="588"/>
      <c r="AN292" s="588"/>
      <c r="AO292" s="588"/>
      <c r="AP292" s="588"/>
      <c r="AQ292" s="588"/>
      <c r="AR292" s="588"/>
      <c r="AS292" s="588"/>
      <c r="AT292" s="588"/>
      <c r="AW292" s="585"/>
    </row>
    <row r="293" spans="36:49" s="476" customFormat="1">
      <c r="AJ293" s="588"/>
      <c r="AK293" s="588"/>
      <c r="AL293" s="588"/>
      <c r="AM293" s="588"/>
      <c r="AN293" s="588"/>
      <c r="AO293" s="588"/>
      <c r="AP293" s="588"/>
      <c r="AQ293" s="588"/>
      <c r="AR293" s="588"/>
      <c r="AS293" s="588"/>
      <c r="AT293" s="588"/>
      <c r="AW293" s="585"/>
    </row>
    <row r="294" spans="36:49" s="476" customFormat="1">
      <c r="AJ294" s="588"/>
      <c r="AK294" s="588"/>
      <c r="AL294" s="588"/>
      <c r="AM294" s="588"/>
      <c r="AN294" s="588"/>
      <c r="AO294" s="588"/>
      <c r="AP294" s="588"/>
      <c r="AQ294" s="588"/>
      <c r="AR294" s="588"/>
      <c r="AS294" s="588"/>
      <c r="AT294" s="588"/>
      <c r="AW294" s="585"/>
    </row>
    <row r="295" spans="36:49" s="476" customFormat="1">
      <c r="AJ295" s="588"/>
      <c r="AK295" s="588"/>
      <c r="AL295" s="588"/>
      <c r="AM295" s="588"/>
      <c r="AN295" s="588"/>
      <c r="AO295" s="588"/>
      <c r="AP295" s="588"/>
      <c r="AQ295" s="588"/>
      <c r="AR295" s="588"/>
      <c r="AS295" s="588"/>
      <c r="AT295" s="588"/>
      <c r="AW295" s="585"/>
    </row>
    <row r="296" spans="36:49" s="476" customFormat="1">
      <c r="AJ296" s="588"/>
      <c r="AK296" s="588"/>
      <c r="AL296" s="588"/>
      <c r="AM296" s="588"/>
      <c r="AN296" s="588"/>
      <c r="AO296" s="588"/>
      <c r="AP296" s="588"/>
      <c r="AQ296" s="588"/>
      <c r="AR296" s="588"/>
      <c r="AS296" s="588"/>
      <c r="AT296" s="588"/>
      <c r="AW296" s="585"/>
    </row>
    <row r="297" spans="36:49" s="476" customFormat="1">
      <c r="AJ297" s="588"/>
      <c r="AK297" s="588"/>
      <c r="AL297" s="588"/>
      <c r="AM297" s="588"/>
      <c r="AN297" s="588"/>
      <c r="AO297" s="588"/>
      <c r="AP297" s="588"/>
      <c r="AQ297" s="588"/>
      <c r="AR297" s="588"/>
      <c r="AS297" s="588"/>
      <c r="AT297" s="588"/>
      <c r="AW297" s="585"/>
    </row>
    <row r="298" spans="36:49" s="476" customFormat="1">
      <c r="AJ298" s="588"/>
      <c r="AK298" s="588"/>
      <c r="AL298" s="588"/>
      <c r="AM298" s="588"/>
      <c r="AN298" s="588"/>
      <c r="AO298" s="588"/>
      <c r="AP298" s="588"/>
      <c r="AQ298" s="588"/>
      <c r="AR298" s="588"/>
      <c r="AS298" s="588"/>
      <c r="AT298" s="588"/>
      <c r="AW298" s="585"/>
    </row>
    <row r="299" spans="36:49" s="476" customFormat="1">
      <c r="AJ299" s="588"/>
      <c r="AK299" s="588"/>
      <c r="AL299" s="588"/>
      <c r="AM299" s="588"/>
      <c r="AN299" s="588"/>
      <c r="AO299" s="588"/>
      <c r="AP299" s="588"/>
      <c r="AQ299" s="588"/>
      <c r="AR299" s="588"/>
      <c r="AS299" s="588"/>
      <c r="AT299" s="588"/>
      <c r="AW299" s="585"/>
    </row>
    <row r="300" spans="36:49" s="476" customFormat="1">
      <c r="AJ300" s="588"/>
      <c r="AK300" s="588"/>
      <c r="AL300" s="588"/>
      <c r="AM300" s="588"/>
      <c r="AN300" s="588"/>
      <c r="AO300" s="588"/>
      <c r="AP300" s="588"/>
      <c r="AQ300" s="588"/>
      <c r="AR300" s="588"/>
      <c r="AS300" s="588"/>
      <c r="AT300" s="588"/>
      <c r="AW300" s="585"/>
    </row>
    <row r="301" spans="36:49" s="476" customFormat="1">
      <c r="AJ301" s="588"/>
      <c r="AK301" s="588"/>
      <c r="AL301" s="588"/>
      <c r="AM301" s="588"/>
      <c r="AN301" s="588"/>
      <c r="AO301" s="588"/>
      <c r="AP301" s="588"/>
      <c r="AQ301" s="588"/>
      <c r="AR301" s="588"/>
      <c r="AS301" s="588"/>
      <c r="AT301" s="588"/>
      <c r="AW301" s="585"/>
    </row>
    <row r="302" spans="36:49" s="476" customFormat="1">
      <c r="AJ302" s="588"/>
      <c r="AK302" s="588"/>
      <c r="AL302" s="588"/>
      <c r="AM302" s="588"/>
      <c r="AN302" s="588"/>
      <c r="AO302" s="588"/>
      <c r="AP302" s="588"/>
      <c r="AQ302" s="588"/>
      <c r="AR302" s="588"/>
      <c r="AS302" s="588"/>
      <c r="AT302" s="588"/>
      <c r="AW302" s="585"/>
    </row>
    <row r="303" spans="36:49" s="476" customFormat="1">
      <c r="AJ303" s="588"/>
      <c r="AK303" s="588"/>
      <c r="AL303" s="588"/>
      <c r="AM303" s="588"/>
      <c r="AN303" s="588"/>
      <c r="AO303" s="588"/>
      <c r="AP303" s="588"/>
      <c r="AQ303" s="588"/>
      <c r="AR303" s="588"/>
      <c r="AS303" s="588"/>
      <c r="AT303" s="588"/>
      <c r="AW303" s="585"/>
    </row>
    <row r="304" spans="36:49" s="476" customFormat="1">
      <c r="AJ304" s="588"/>
      <c r="AK304" s="588"/>
      <c r="AL304" s="588"/>
      <c r="AM304" s="588"/>
      <c r="AN304" s="588"/>
      <c r="AO304" s="588"/>
      <c r="AP304" s="588"/>
      <c r="AQ304" s="588"/>
      <c r="AR304" s="588"/>
      <c r="AS304" s="588"/>
      <c r="AT304" s="588"/>
      <c r="AW304" s="585"/>
    </row>
    <row r="305" spans="36:49" s="476" customFormat="1">
      <c r="AJ305" s="588"/>
      <c r="AK305" s="588"/>
      <c r="AL305" s="588"/>
      <c r="AM305" s="588"/>
      <c r="AN305" s="588"/>
      <c r="AO305" s="588"/>
      <c r="AP305" s="588"/>
      <c r="AQ305" s="588"/>
      <c r="AR305" s="588"/>
      <c r="AS305" s="588"/>
      <c r="AT305" s="588"/>
      <c r="AW305" s="585"/>
    </row>
    <row r="306" spans="36:49" s="476" customFormat="1">
      <c r="AJ306" s="588"/>
      <c r="AK306" s="588"/>
      <c r="AL306" s="588"/>
      <c r="AM306" s="588"/>
      <c r="AN306" s="588"/>
      <c r="AO306" s="588"/>
      <c r="AP306" s="588"/>
      <c r="AQ306" s="588"/>
      <c r="AR306" s="588"/>
      <c r="AS306" s="588"/>
      <c r="AT306" s="588"/>
      <c r="AW306" s="585"/>
    </row>
    <row r="307" spans="36:49" s="476" customFormat="1">
      <c r="AJ307" s="588"/>
      <c r="AK307" s="588"/>
      <c r="AL307" s="588"/>
      <c r="AM307" s="588"/>
      <c r="AN307" s="588"/>
      <c r="AO307" s="588"/>
      <c r="AP307" s="588"/>
      <c r="AQ307" s="588"/>
      <c r="AR307" s="588"/>
      <c r="AS307" s="588"/>
      <c r="AT307" s="588"/>
      <c r="AW307" s="585"/>
    </row>
    <row r="308" spans="36:49" s="476" customFormat="1">
      <c r="AJ308" s="588"/>
      <c r="AK308" s="588"/>
      <c r="AL308" s="588"/>
      <c r="AM308" s="588"/>
      <c r="AN308" s="588"/>
      <c r="AO308" s="588"/>
      <c r="AP308" s="588"/>
      <c r="AQ308" s="588"/>
      <c r="AR308" s="588"/>
      <c r="AS308" s="588"/>
      <c r="AT308" s="588"/>
      <c r="AW308" s="585"/>
    </row>
    <row r="309" spans="36:49" s="476" customFormat="1">
      <c r="AJ309" s="588"/>
      <c r="AK309" s="588"/>
      <c r="AL309" s="588"/>
      <c r="AM309" s="588"/>
      <c r="AN309" s="588"/>
      <c r="AO309" s="588"/>
      <c r="AP309" s="588"/>
      <c r="AQ309" s="588"/>
      <c r="AR309" s="588"/>
      <c r="AS309" s="588"/>
      <c r="AT309" s="588"/>
      <c r="AW309" s="585"/>
    </row>
    <row r="310" spans="36:49" s="476" customFormat="1">
      <c r="AJ310" s="588"/>
      <c r="AK310" s="588"/>
      <c r="AL310" s="588"/>
      <c r="AM310" s="588"/>
      <c r="AN310" s="588"/>
      <c r="AO310" s="588"/>
      <c r="AP310" s="588"/>
      <c r="AQ310" s="588"/>
      <c r="AR310" s="588"/>
      <c r="AS310" s="588"/>
      <c r="AT310" s="588"/>
      <c r="AW310" s="585"/>
    </row>
    <row r="311" spans="36:49" s="476" customFormat="1">
      <c r="AJ311" s="588"/>
      <c r="AK311" s="588"/>
      <c r="AL311" s="588"/>
      <c r="AM311" s="588"/>
      <c r="AN311" s="588"/>
      <c r="AO311" s="588"/>
      <c r="AP311" s="588"/>
      <c r="AQ311" s="588"/>
      <c r="AR311" s="588"/>
      <c r="AS311" s="588"/>
      <c r="AT311" s="588"/>
      <c r="AW311" s="585"/>
    </row>
    <row r="312" spans="36:49" s="476" customFormat="1">
      <c r="AJ312" s="588"/>
      <c r="AK312" s="588"/>
      <c r="AL312" s="588"/>
      <c r="AM312" s="588"/>
      <c r="AN312" s="588"/>
      <c r="AO312" s="588"/>
      <c r="AP312" s="588"/>
      <c r="AQ312" s="588"/>
      <c r="AR312" s="588"/>
      <c r="AS312" s="588"/>
      <c r="AT312" s="588"/>
      <c r="AW312" s="585"/>
    </row>
    <row r="313" spans="36:49" s="476" customFormat="1">
      <c r="AJ313" s="588"/>
      <c r="AK313" s="588"/>
      <c r="AL313" s="588"/>
      <c r="AM313" s="588"/>
      <c r="AN313" s="588"/>
      <c r="AO313" s="588"/>
      <c r="AP313" s="588"/>
      <c r="AQ313" s="588"/>
      <c r="AR313" s="588"/>
      <c r="AS313" s="588"/>
      <c r="AT313" s="588"/>
      <c r="AW313" s="585"/>
    </row>
    <row r="314" spans="36:49" s="476" customFormat="1">
      <c r="AJ314" s="588"/>
      <c r="AK314" s="588"/>
      <c r="AL314" s="588"/>
      <c r="AM314" s="588"/>
      <c r="AN314" s="588"/>
      <c r="AO314" s="588"/>
      <c r="AP314" s="588"/>
      <c r="AQ314" s="588"/>
      <c r="AR314" s="588"/>
      <c r="AS314" s="588"/>
      <c r="AT314" s="588"/>
      <c r="AW314" s="585"/>
    </row>
    <row r="315" spans="36:49" s="476" customFormat="1">
      <c r="AJ315" s="588"/>
      <c r="AK315" s="588"/>
      <c r="AL315" s="588"/>
      <c r="AM315" s="588"/>
      <c r="AN315" s="588"/>
      <c r="AO315" s="588"/>
      <c r="AP315" s="588"/>
      <c r="AQ315" s="588"/>
      <c r="AR315" s="588"/>
      <c r="AS315" s="588"/>
      <c r="AT315" s="588"/>
      <c r="AW315" s="585"/>
    </row>
    <row r="316" spans="36:49" s="476" customFormat="1">
      <c r="AJ316" s="588"/>
      <c r="AK316" s="588"/>
      <c r="AL316" s="588"/>
      <c r="AM316" s="588"/>
      <c r="AN316" s="588"/>
      <c r="AO316" s="588"/>
      <c r="AP316" s="588"/>
      <c r="AQ316" s="588"/>
      <c r="AR316" s="588"/>
      <c r="AS316" s="588"/>
      <c r="AT316" s="588"/>
      <c r="AW316" s="585"/>
    </row>
    <row r="317" spans="36:49" s="476" customFormat="1">
      <c r="AJ317" s="588"/>
      <c r="AK317" s="588"/>
      <c r="AL317" s="588"/>
      <c r="AM317" s="588"/>
      <c r="AN317" s="588"/>
      <c r="AO317" s="588"/>
      <c r="AP317" s="588"/>
      <c r="AQ317" s="588"/>
      <c r="AR317" s="588"/>
      <c r="AS317" s="588"/>
      <c r="AT317" s="588"/>
      <c r="AW317" s="585"/>
    </row>
    <row r="318" spans="36:49" s="476" customFormat="1">
      <c r="AJ318" s="588"/>
      <c r="AK318" s="588"/>
      <c r="AL318" s="588"/>
      <c r="AM318" s="588"/>
      <c r="AN318" s="588"/>
      <c r="AO318" s="588"/>
      <c r="AP318" s="588"/>
      <c r="AQ318" s="588"/>
      <c r="AR318" s="588"/>
      <c r="AS318" s="588"/>
      <c r="AT318" s="588"/>
      <c r="AW318" s="585"/>
    </row>
    <row r="319" spans="36:49" s="476" customFormat="1">
      <c r="AJ319" s="588"/>
      <c r="AK319" s="588"/>
      <c r="AL319" s="588"/>
      <c r="AM319" s="588"/>
      <c r="AN319" s="588"/>
      <c r="AO319" s="588"/>
      <c r="AP319" s="588"/>
      <c r="AQ319" s="588"/>
      <c r="AR319" s="588"/>
      <c r="AS319" s="588"/>
      <c r="AT319" s="588"/>
      <c r="AW319" s="585"/>
    </row>
    <row r="320" spans="36:49" s="476" customFormat="1">
      <c r="AJ320" s="588"/>
      <c r="AK320" s="588"/>
      <c r="AL320" s="588"/>
      <c r="AM320" s="588"/>
      <c r="AN320" s="588"/>
      <c r="AO320" s="588"/>
      <c r="AP320" s="588"/>
      <c r="AQ320" s="588"/>
      <c r="AR320" s="588"/>
      <c r="AS320" s="588"/>
      <c r="AT320" s="588"/>
      <c r="AW320" s="585"/>
    </row>
    <row r="321" spans="36:49" s="476" customFormat="1">
      <c r="AJ321" s="588"/>
      <c r="AK321" s="588"/>
      <c r="AL321" s="588"/>
      <c r="AM321" s="588"/>
      <c r="AN321" s="588"/>
      <c r="AO321" s="588"/>
      <c r="AP321" s="588"/>
      <c r="AQ321" s="588"/>
      <c r="AR321" s="588"/>
      <c r="AS321" s="588"/>
      <c r="AT321" s="588"/>
      <c r="AW321" s="585"/>
    </row>
    <row r="322" spans="36:49" s="476" customFormat="1">
      <c r="AJ322" s="588"/>
      <c r="AK322" s="588"/>
      <c r="AL322" s="588"/>
      <c r="AM322" s="588"/>
      <c r="AN322" s="588"/>
      <c r="AO322" s="588"/>
      <c r="AP322" s="588"/>
      <c r="AQ322" s="588"/>
      <c r="AR322" s="588"/>
      <c r="AS322" s="588"/>
      <c r="AT322" s="588"/>
      <c r="AW322" s="585"/>
    </row>
    <row r="323" spans="36:49" s="476" customFormat="1">
      <c r="AJ323" s="588"/>
      <c r="AK323" s="588"/>
      <c r="AL323" s="588"/>
      <c r="AM323" s="588"/>
      <c r="AN323" s="588"/>
      <c r="AO323" s="588"/>
      <c r="AP323" s="588"/>
      <c r="AQ323" s="588"/>
      <c r="AR323" s="588"/>
      <c r="AS323" s="588"/>
      <c r="AT323" s="588"/>
      <c r="AW323" s="585"/>
    </row>
    <row r="324" spans="36:49" s="476" customFormat="1">
      <c r="AJ324" s="588"/>
      <c r="AK324" s="588"/>
      <c r="AL324" s="588"/>
      <c r="AM324" s="588"/>
      <c r="AN324" s="588"/>
      <c r="AO324" s="588"/>
      <c r="AP324" s="588"/>
      <c r="AQ324" s="588"/>
      <c r="AR324" s="588"/>
      <c r="AS324" s="588"/>
      <c r="AT324" s="588"/>
      <c r="AW324" s="585"/>
    </row>
    <row r="325" spans="36:49" s="476" customFormat="1">
      <c r="AJ325" s="588"/>
      <c r="AK325" s="588"/>
      <c r="AL325" s="588"/>
      <c r="AM325" s="588"/>
      <c r="AN325" s="588"/>
      <c r="AO325" s="588"/>
      <c r="AP325" s="588"/>
      <c r="AQ325" s="588"/>
      <c r="AR325" s="588"/>
      <c r="AS325" s="588"/>
      <c r="AT325" s="588"/>
      <c r="AW325" s="585"/>
    </row>
    <row r="326" spans="36:49" s="476" customFormat="1">
      <c r="AJ326" s="588"/>
      <c r="AK326" s="588"/>
      <c r="AL326" s="588"/>
      <c r="AM326" s="588"/>
      <c r="AN326" s="588"/>
      <c r="AO326" s="588"/>
      <c r="AP326" s="588"/>
      <c r="AQ326" s="588"/>
      <c r="AR326" s="588"/>
      <c r="AS326" s="588"/>
      <c r="AT326" s="588"/>
      <c r="AW326" s="585"/>
    </row>
    <row r="327" spans="36:49" s="476" customFormat="1">
      <c r="AJ327" s="588"/>
      <c r="AK327" s="588"/>
      <c r="AL327" s="588"/>
      <c r="AM327" s="588"/>
      <c r="AN327" s="588"/>
      <c r="AO327" s="588"/>
      <c r="AP327" s="588"/>
      <c r="AQ327" s="588"/>
      <c r="AR327" s="588"/>
      <c r="AS327" s="588"/>
      <c r="AT327" s="588"/>
      <c r="AW327" s="585"/>
    </row>
    <row r="328" spans="36:49" s="476" customFormat="1">
      <c r="AJ328" s="588"/>
      <c r="AK328" s="588"/>
      <c r="AL328" s="588"/>
      <c r="AM328" s="588"/>
      <c r="AN328" s="588"/>
      <c r="AO328" s="588"/>
      <c r="AP328" s="588"/>
      <c r="AQ328" s="588"/>
      <c r="AR328" s="588"/>
      <c r="AS328" s="588"/>
      <c r="AT328" s="588"/>
      <c r="AW328" s="585"/>
    </row>
    <row r="329" spans="36:49" s="476" customFormat="1">
      <c r="AJ329" s="588"/>
      <c r="AK329" s="588"/>
      <c r="AL329" s="588"/>
      <c r="AM329" s="588"/>
      <c r="AN329" s="588"/>
      <c r="AO329" s="588"/>
      <c r="AP329" s="588"/>
      <c r="AQ329" s="588"/>
      <c r="AR329" s="588"/>
      <c r="AS329" s="588"/>
      <c r="AT329" s="588"/>
      <c r="AW329" s="585"/>
    </row>
    <row r="330" spans="36:49" s="476" customFormat="1">
      <c r="AJ330" s="588"/>
      <c r="AK330" s="588"/>
      <c r="AL330" s="588"/>
      <c r="AM330" s="588"/>
      <c r="AN330" s="588"/>
      <c r="AO330" s="588"/>
      <c r="AP330" s="588"/>
      <c r="AQ330" s="588"/>
      <c r="AR330" s="588"/>
      <c r="AS330" s="588"/>
      <c r="AT330" s="588"/>
      <c r="AW330" s="585"/>
    </row>
    <row r="331" spans="36:49" s="476" customFormat="1">
      <c r="AJ331" s="588"/>
      <c r="AK331" s="588"/>
      <c r="AL331" s="588"/>
      <c r="AM331" s="588"/>
      <c r="AN331" s="588"/>
      <c r="AO331" s="588"/>
      <c r="AP331" s="588"/>
      <c r="AQ331" s="588"/>
      <c r="AR331" s="588"/>
      <c r="AS331" s="588"/>
      <c r="AT331" s="588"/>
      <c r="AW331" s="585"/>
    </row>
    <row r="332" spans="36:49" s="476" customFormat="1">
      <c r="AJ332" s="588"/>
      <c r="AK332" s="588"/>
      <c r="AL332" s="588"/>
      <c r="AM332" s="588"/>
      <c r="AN332" s="588"/>
      <c r="AO332" s="588"/>
      <c r="AP332" s="588"/>
      <c r="AQ332" s="588"/>
      <c r="AR332" s="588"/>
      <c r="AS332" s="588"/>
      <c r="AT332" s="588"/>
      <c r="AW332" s="585"/>
    </row>
    <row r="333" spans="36:49" s="476" customFormat="1">
      <c r="AJ333" s="588"/>
      <c r="AK333" s="588"/>
      <c r="AL333" s="588"/>
      <c r="AM333" s="588"/>
      <c r="AN333" s="588"/>
      <c r="AO333" s="588"/>
      <c r="AP333" s="588"/>
      <c r="AQ333" s="588"/>
      <c r="AR333" s="588"/>
      <c r="AS333" s="588"/>
      <c r="AT333" s="588"/>
      <c r="AW333" s="585"/>
    </row>
    <row r="334" spans="36:49" s="476" customFormat="1">
      <c r="AJ334" s="588"/>
      <c r="AK334" s="588"/>
      <c r="AL334" s="588"/>
      <c r="AM334" s="588"/>
      <c r="AN334" s="588"/>
      <c r="AO334" s="588"/>
      <c r="AP334" s="588"/>
      <c r="AQ334" s="588"/>
      <c r="AR334" s="588"/>
      <c r="AS334" s="588"/>
      <c r="AT334" s="588"/>
      <c r="AW334" s="585"/>
    </row>
    <row r="335" spans="36:49" s="476" customFormat="1">
      <c r="AJ335" s="588"/>
      <c r="AK335" s="588"/>
      <c r="AL335" s="588"/>
      <c r="AM335" s="588"/>
      <c r="AN335" s="588"/>
      <c r="AO335" s="588"/>
      <c r="AP335" s="588"/>
      <c r="AQ335" s="588"/>
      <c r="AR335" s="588"/>
      <c r="AS335" s="588"/>
      <c r="AT335" s="588"/>
      <c r="AW335" s="585"/>
    </row>
    <row r="336" spans="36:49" s="476" customFormat="1">
      <c r="AJ336" s="588"/>
      <c r="AK336" s="588"/>
      <c r="AL336" s="588"/>
      <c r="AM336" s="588"/>
      <c r="AN336" s="588"/>
      <c r="AO336" s="588"/>
      <c r="AP336" s="588"/>
      <c r="AQ336" s="588"/>
      <c r="AR336" s="588"/>
      <c r="AS336" s="588"/>
      <c r="AT336" s="588"/>
      <c r="AW336" s="585"/>
    </row>
    <row r="337" spans="36:49" s="476" customFormat="1">
      <c r="AJ337" s="588"/>
      <c r="AK337" s="588"/>
      <c r="AL337" s="588"/>
      <c r="AM337" s="588"/>
      <c r="AN337" s="588"/>
      <c r="AO337" s="588"/>
      <c r="AP337" s="588"/>
      <c r="AQ337" s="588"/>
      <c r="AR337" s="588"/>
      <c r="AS337" s="588"/>
      <c r="AT337" s="588"/>
      <c r="AW337" s="585"/>
    </row>
    <row r="338" spans="36:49" s="476" customFormat="1">
      <c r="AJ338" s="588"/>
      <c r="AK338" s="588"/>
      <c r="AL338" s="588"/>
      <c r="AM338" s="588"/>
      <c r="AN338" s="588"/>
      <c r="AO338" s="588"/>
      <c r="AP338" s="588"/>
      <c r="AQ338" s="588"/>
      <c r="AR338" s="588"/>
      <c r="AS338" s="588"/>
      <c r="AT338" s="588"/>
      <c r="AW338" s="585"/>
    </row>
    <row r="339" spans="36:49" s="476" customFormat="1">
      <c r="AJ339" s="588"/>
      <c r="AK339" s="588"/>
      <c r="AL339" s="588"/>
      <c r="AM339" s="588"/>
      <c r="AN339" s="588"/>
      <c r="AO339" s="588"/>
      <c r="AP339" s="588"/>
      <c r="AQ339" s="588"/>
      <c r="AR339" s="588"/>
      <c r="AS339" s="588"/>
      <c r="AT339" s="588"/>
      <c r="AW339" s="585"/>
    </row>
    <row r="340" spans="36:49" s="476" customFormat="1">
      <c r="AJ340" s="588"/>
      <c r="AK340" s="588"/>
      <c r="AL340" s="588"/>
      <c r="AM340" s="588"/>
      <c r="AN340" s="588"/>
      <c r="AO340" s="588"/>
      <c r="AP340" s="588"/>
      <c r="AQ340" s="588"/>
      <c r="AR340" s="588"/>
      <c r="AS340" s="588"/>
      <c r="AT340" s="588"/>
      <c r="AW340" s="585"/>
    </row>
    <row r="341" spans="36:49" s="476" customFormat="1">
      <c r="AJ341" s="588"/>
      <c r="AK341" s="588"/>
      <c r="AL341" s="588"/>
      <c r="AM341" s="588"/>
      <c r="AN341" s="588"/>
      <c r="AO341" s="588"/>
      <c r="AP341" s="588"/>
      <c r="AQ341" s="588"/>
      <c r="AR341" s="588"/>
      <c r="AS341" s="588"/>
      <c r="AT341" s="588"/>
      <c r="AW341" s="585"/>
    </row>
    <row r="342" spans="36:49" s="476" customFormat="1">
      <c r="AJ342" s="588"/>
      <c r="AK342" s="588"/>
      <c r="AL342" s="588"/>
      <c r="AM342" s="588"/>
      <c r="AN342" s="588"/>
      <c r="AO342" s="588"/>
      <c r="AP342" s="588"/>
      <c r="AQ342" s="588"/>
      <c r="AR342" s="588"/>
      <c r="AS342" s="588"/>
      <c r="AT342" s="588"/>
      <c r="AW342" s="585"/>
    </row>
    <row r="343" spans="36:49" s="476" customFormat="1">
      <c r="AJ343" s="588"/>
      <c r="AK343" s="588"/>
      <c r="AL343" s="588"/>
      <c r="AM343" s="588"/>
      <c r="AN343" s="588"/>
      <c r="AO343" s="588"/>
      <c r="AP343" s="588"/>
      <c r="AQ343" s="588"/>
      <c r="AR343" s="588"/>
      <c r="AS343" s="588"/>
      <c r="AT343" s="588"/>
      <c r="AW343" s="585"/>
    </row>
    <row r="344" spans="36:49" s="476" customFormat="1">
      <c r="AJ344" s="588"/>
      <c r="AK344" s="588"/>
      <c r="AL344" s="588"/>
      <c r="AM344" s="588"/>
      <c r="AN344" s="588"/>
      <c r="AO344" s="588"/>
      <c r="AP344" s="588"/>
      <c r="AQ344" s="588"/>
      <c r="AR344" s="588"/>
      <c r="AS344" s="588"/>
      <c r="AT344" s="588"/>
      <c r="AW344" s="585"/>
    </row>
    <row r="345" spans="36:49" s="476" customFormat="1">
      <c r="AJ345" s="588"/>
      <c r="AK345" s="588"/>
      <c r="AL345" s="588"/>
      <c r="AM345" s="588"/>
      <c r="AN345" s="588"/>
      <c r="AO345" s="588"/>
      <c r="AP345" s="588"/>
      <c r="AQ345" s="588"/>
      <c r="AR345" s="588"/>
      <c r="AS345" s="588"/>
      <c r="AT345" s="588"/>
      <c r="AW345" s="585"/>
    </row>
    <row r="346" spans="36:49" s="476" customFormat="1">
      <c r="AJ346" s="588"/>
      <c r="AK346" s="588"/>
      <c r="AL346" s="588"/>
      <c r="AM346" s="588"/>
      <c r="AN346" s="588"/>
      <c r="AO346" s="588"/>
      <c r="AP346" s="588"/>
      <c r="AQ346" s="588"/>
      <c r="AR346" s="588"/>
      <c r="AS346" s="588"/>
      <c r="AT346" s="588"/>
      <c r="AW346" s="585"/>
    </row>
    <row r="347" spans="36:49" s="476" customFormat="1">
      <c r="AJ347" s="588"/>
      <c r="AK347" s="588"/>
      <c r="AL347" s="588"/>
      <c r="AM347" s="588"/>
      <c r="AN347" s="588"/>
      <c r="AO347" s="588"/>
      <c r="AP347" s="588"/>
      <c r="AQ347" s="588"/>
      <c r="AR347" s="588"/>
      <c r="AS347" s="588"/>
      <c r="AT347" s="588"/>
      <c r="AW347" s="585"/>
    </row>
    <row r="348" spans="36:49" s="476" customFormat="1">
      <c r="AJ348" s="588"/>
      <c r="AK348" s="588"/>
      <c r="AL348" s="588"/>
      <c r="AM348" s="588"/>
      <c r="AN348" s="588"/>
      <c r="AO348" s="588"/>
      <c r="AP348" s="588"/>
      <c r="AQ348" s="588"/>
      <c r="AR348" s="588"/>
      <c r="AS348" s="588"/>
      <c r="AT348" s="588"/>
      <c r="AW348" s="585"/>
    </row>
    <row r="349" spans="36:49" s="476" customFormat="1">
      <c r="AJ349" s="588"/>
      <c r="AK349" s="588"/>
      <c r="AL349" s="588"/>
      <c r="AM349" s="588"/>
      <c r="AN349" s="588"/>
      <c r="AO349" s="588"/>
      <c r="AP349" s="588"/>
      <c r="AQ349" s="588"/>
      <c r="AR349" s="588"/>
      <c r="AS349" s="588"/>
      <c r="AT349" s="588"/>
      <c r="AW349" s="585"/>
    </row>
    <row r="350" spans="36:49" s="476" customFormat="1">
      <c r="AJ350" s="588"/>
      <c r="AK350" s="588"/>
      <c r="AL350" s="588"/>
      <c r="AM350" s="588"/>
      <c r="AN350" s="588"/>
      <c r="AO350" s="588"/>
      <c r="AP350" s="588"/>
      <c r="AQ350" s="588"/>
      <c r="AR350" s="588"/>
      <c r="AS350" s="588"/>
      <c r="AT350" s="588"/>
      <c r="AW350" s="585"/>
    </row>
    <row r="351" spans="36:49" s="476" customFormat="1">
      <c r="AJ351" s="588"/>
      <c r="AK351" s="588"/>
      <c r="AL351" s="588"/>
      <c r="AM351" s="588"/>
      <c r="AN351" s="588"/>
      <c r="AO351" s="588"/>
      <c r="AP351" s="588"/>
      <c r="AQ351" s="588"/>
      <c r="AR351" s="588"/>
      <c r="AS351" s="588"/>
      <c r="AT351" s="588"/>
      <c r="AW351" s="585"/>
    </row>
    <row r="352" spans="36:49" s="476" customFormat="1">
      <c r="AJ352" s="588"/>
      <c r="AK352" s="588"/>
      <c r="AL352" s="588"/>
      <c r="AM352" s="588"/>
      <c r="AN352" s="588"/>
      <c r="AO352" s="588"/>
      <c r="AP352" s="588"/>
      <c r="AQ352" s="588"/>
      <c r="AR352" s="588"/>
      <c r="AS352" s="588"/>
      <c r="AT352" s="588"/>
      <c r="AW352" s="585"/>
    </row>
    <row r="353" spans="36:49" s="476" customFormat="1">
      <c r="AJ353" s="588"/>
      <c r="AK353" s="588"/>
      <c r="AL353" s="588"/>
      <c r="AM353" s="588"/>
      <c r="AN353" s="588"/>
      <c r="AO353" s="588"/>
      <c r="AP353" s="588"/>
      <c r="AQ353" s="588"/>
      <c r="AR353" s="588"/>
      <c r="AS353" s="588"/>
      <c r="AT353" s="588"/>
      <c r="AW353" s="585"/>
    </row>
    <row r="354" spans="36:49" s="476" customFormat="1">
      <c r="AJ354" s="588"/>
      <c r="AK354" s="588"/>
      <c r="AL354" s="588"/>
      <c r="AM354" s="588"/>
      <c r="AN354" s="588"/>
      <c r="AO354" s="588"/>
      <c r="AP354" s="588"/>
      <c r="AQ354" s="588"/>
      <c r="AR354" s="588"/>
      <c r="AS354" s="588"/>
      <c r="AT354" s="588"/>
      <c r="AW354" s="585"/>
    </row>
    <row r="355" spans="36:49" s="476" customFormat="1">
      <c r="AJ355" s="588"/>
      <c r="AK355" s="588"/>
      <c r="AL355" s="588"/>
      <c r="AM355" s="588"/>
      <c r="AN355" s="588"/>
      <c r="AO355" s="588"/>
      <c r="AP355" s="588"/>
      <c r="AQ355" s="588"/>
      <c r="AR355" s="588"/>
      <c r="AS355" s="588"/>
      <c r="AT355" s="588"/>
      <c r="AW355" s="585"/>
    </row>
    <row r="356" spans="36:49" s="476" customFormat="1">
      <c r="AJ356" s="588"/>
      <c r="AK356" s="588"/>
      <c r="AL356" s="588"/>
      <c r="AM356" s="588"/>
      <c r="AN356" s="588"/>
      <c r="AO356" s="588"/>
      <c r="AP356" s="588"/>
      <c r="AQ356" s="588"/>
      <c r="AR356" s="588"/>
      <c r="AS356" s="588"/>
      <c r="AT356" s="588"/>
      <c r="AW356" s="585"/>
    </row>
    <row r="357" spans="36:49" s="476" customFormat="1">
      <c r="AJ357" s="588"/>
      <c r="AK357" s="588"/>
      <c r="AL357" s="588"/>
      <c r="AM357" s="588"/>
      <c r="AN357" s="588"/>
      <c r="AO357" s="588"/>
      <c r="AP357" s="588"/>
      <c r="AQ357" s="588"/>
      <c r="AR357" s="588"/>
      <c r="AS357" s="588"/>
      <c r="AT357" s="588"/>
      <c r="AW357" s="585"/>
    </row>
    <row r="358" spans="36:49" s="476" customFormat="1">
      <c r="AJ358" s="588"/>
      <c r="AK358" s="588"/>
      <c r="AL358" s="588"/>
      <c r="AM358" s="588"/>
      <c r="AN358" s="588"/>
      <c r="AO358" s="588"/>
      <c r="AP358" s="588"/>
      <c r="AQ358" s="588"/>
      <c r="AR358" s="588"/>
      <c r="AS358" s="588"/>
      <c r="AT358" s="588"/>
      <c r="AW358" s="585"/>
    </row>
    <row r="359" spans="36:49" s="476" customFormat="1">
      <c r="AJ359" s="588"/>
      <c r="AK359" s="588"/>
      <c r="AL359" s="588"/>
      <c r="AM359" s="588"/>
      <c r="AN359" s="588"/>
      <c r="AO359" s="588"/>
      <c r="AP359" s="588"/>
      <c r="AQ359" s="588"/>
      <c r="AR359" s="588"/>
      <c r="AS359" s="588"/>
      <c r="AT359" s="588"/>
      <c r="AW359" s="585"/>
    </row>
    <row r="360" spans="36:49" s="476" customFormat="1">
      <c r="AJ360" s="588"/>
      <c r="AK360" s="588"/>
      <c r="AL360" s="588"/>
      <c r="AM360" s="588"/>
      <c r="AN360" s="588"/>
      <c r="AO360" s="588"/>
      <c r="AP360" s="588"/>
      <c r="AQ360" s="588"/>
      <c r="AR360" s="588"/>
      <c r="AS360" s="588"/>
      <c r="AT360" s="588"/>
      <c r="AW360" s="585"/>
    </row>
    <row r="361" spans="36:49" s="476" customFormat="1">
      <c r="AJ361" s="588"/>
      <c r="AK361" s="588"/>
      <c r="AL361" s="588"/>
      <c r="AM361" s="588"/>
      <c r="AN361" s="588"/>
      <c r="AO361" s="588"/>
      <c r="AP361" s="588"/>
      <c r="AQ361" s="588"/>
      <c r="AR361" s="588"/>
      <c r="AS361" s="588"/>
      <c r="AT361" s="588"/>
      <c r="AW361" s="585"/>
    </row>
    <row r="362" spans="36:49" s="476" customFormat="1">
      <c r="AJ362" s="588"/>
      <c r="AK362" s="588"/>
      <c r="AL362" s="588"/>
      <c r="AM362" s="588"/>
      <c r="AN362" s="588"/>
      <c r="AO362" s="588"/>
      <c r="AP362" s="588"/>
      <c r="AQ362" s="588"/>
      <c r="AR362" s="588"/>
      <c r="AS362" s="588"/>
      <c r="AT362" s="588"/>
      <c r="AW362" s="585"/>
    </row>
    <row r="363" spans="36:49" s="476" customFormat="1">
      <c r="AJ363" s="588"/>
      <c r="AK363" s="588"/>
      <c r="AL363" s="588"/>
      <c r="AM363" s="588"/>
      <c r="AN363" s="588"/>
      <c r="AO363" s="588"/>
      <c r="AP363" s="588"/>
      <c r="AQ363" s="588"/>
      <c r="AR363" s="588"/>
      <c r="AS363" s="588"/>
      <c r="AT363" s="588"/>
      <c r="AW363" s="585"/>
    </row>
    <row r="364" spans="36:49" s="476" customFormat="1">
      <c r="AJ364" s="588"/>
      <c r="AK364" s="588"/>
      <c r="AL364" s="588"/>
      <c r="AM364" s="588"/>
      <c r="AN364" s="588"/>
      <c r="AO364" s="588"/>
      <c r="AP364" s="588"/>
      <c r="AQ364" s="588"/>
      <c r="AR364" s="588"/>
      <c r="AS364" s="588"/>
      <c r="AT364" s="588"/>
      <c r="AW364" s="585"/>
    </row>
    <row r="365" spans="36:49" s="476" customFormat="1">
      <c r="AJ365" s="588"/>
      <c r="AK365" s="588"/>
      <c r="AL365" s="588"/>
      <c r="AM365" s="588"/>
      <c r="AN365" s="588"/>
      <c r="AO365" s="588"/>
      <c r="AP365" s="588"/>
      <c r="AQ365" s="588"/>
      <c r="AR365" s="588"/>
      <c r="AS365" s="588"/>
      <c r="AT365" s="588"/>
      <c r="AW365" s="585"/>
    </row>
    <row r="366" spans="36:49" s="476" customFormat="1">
      <c r="AJ366" s="588"/>
      <c r="AK366" s="588"/>
      <c r="AL366" s="588"/>
      <c r="AM366" s="588"/>
      <c r="AN366" s="588"/>
      <c r="AO366" s="588"/>
      <c r="AP366" s="588"/>
      <c r="AQ366" s="588"/>
      <c r="AR366" s="588"/>
      <c r="AS366" s="588"/>
      <c r="AT366" s="588"/>
      <c r="AW366" s="585"/>
    </row>
    <row r="367" spans="36:49" s="476" customFormat="1">
      <c r="AJ367" s="588"/>
      <c r="AK367" s="588"/>
      <c r="AL367" s="588"/>
      <c r="AM367" s="588"/>
      <c r="AN367" s="588"/>
      <c r="AO367" s="588"/>
      <c r="AP367" s="588"/>
      <c r="AQ367" s="588"/>
      <c r="AR367" s="588"/>
      <c r="AS367" s="588"/>
      <c r="AT367" s="588"/>
      <c r="AW367" s="585"/>
    </row>
    <row r="368" spans="36:49" s="476" customFormat="1">
      <c r="AJ368" s="588"/>
      <c r="AK368" s="588"/>
      <c r="AL368" s="588"/>
      <c r="AM368" s="588"/>
      <c r="AN368" s="588"/>
      <c r="AO368" s="588"/>
      <c r="AP368" s="588"/>
      <c r="AQ368" s="588"/>
      <c r="AR368" s="588"/>
      <c r="AS368" s="588"/>
      <c r="AT368" s="588"/>
      <c r="AW368" s="585"/>
    </row>
    <row r="369" spans="36:49" s="476" customFormat="1">
      <c r="AJ369" s="588"/>
      <c r="AK369" s="588"/>
      <c r="AL369" s="588"/>
      <c r="AM369" s="588"/>
      <c r="AN369" s="588"/>
      <c r="AO369" s="588"/>
      <c r="AP369" s="588"/>
      <c r="AQ369" s="588"/>
      <c r="AR369" s="588"/>
      <c r="AS369" s="588"/>
      <c r="AT369" s="588"/>
      <c r="AW369" s="585"/>
    </row>
    <row r="370" spans="36:49" s="476" customFormat="1">
      <c r="AJ370" s="588"/>
      <c r="AK370" s="588"/>
      <c r="AL370" s="588"/>
      <c r="AM370" s="588"/>
      <c r="AN370" s="588"/>
      <c r="AO370" s="588"/>
      <c r="AP370" s="588"/>
      <c r="AQ370" s="588"/>
      <c r="AR370" s="588"/>
      <c r="AS370" s="588"/>
      <c r="AT370" s="588"/>
      <c r="AW370" s="585"/>
    </row>
    <row r="371" spans="36:49" s="476" customFormat="1">
      <c r="AJ371" s="588"/>
      <c r="AK371" s="588"/>
      <c r="AL371" s="588"/>
      <c r="AM371" s="588"/>
      <c r="AN371" s="588"/>
      <c r="AO371" s="588"/>
      <c r="AP371" s="588"/>
      <c r="AQ371" s="588"/>
      <c r="AR371" s="588"/>
      <c r="AS371" s="588"/>
      <c r="AT371" s="588"/>
      <c r="AW371" s="585"/>
    </row>
    <row r="372" spans="36:49" s="476" customFormat="1">
      <c r="AJ372" s="588"/>
      <c r="AK372" s="588"/>
      <c r="AL372" s="588"/>
      <c r="AM372" s="588"/>
      <c r="AN372" s="588"/>
      <c r="AO372" s="588"/>
      <c r="AP372" s="588"/>
      <c r="AQ372" s="588"/>
      <c r="AR372" s="588"/>
      <c r="AS372" s="588"/>
      <c r="AT372" s="588"/>
      <c r="AW372" s="585"/>
    </row>
    <row r="373" spans="36:49" s="476" customFormat="1">
      <c r="AJ373" s="588"/>
      <c r="AK373" s="588"/>
      <c r="AL373" s="588"/>
      <c r="AM373" s="588"/>
      <c r="AN373" s="588"/>
      <c r="AO373" s="588"/>
      <c r="AP373" s="588"/>
      <c r="AQ373" s="588"/>
      <c r="AR373" s="588"/>
      <c r="AS373" s="588"/>
      <c r="AT373" s="588"/>
      <c r="AW373" s="585"/>
    </row>
    <row r="374" spans="36:49" s="476" customFormat="1">
      <c r="AJ374" s="588"/>
      <c r="AK374" s="588"/>
      <c r="AL374" s="588"/>
      <c r="AM374" s="588"/>
      <c r="AN374" s="588"/>
      <c r="AO374" s="588"/>
      <c r="AP374" s="588"/>
      <c r="AQ374" s="588"/>
      <c r="AR374" s="588"/>
      <c r="AS374" s="588"/>
      <c r="AT374" s="588"/>
      <c r="AW374" s="585"/>
    </row>
    <row r="375" spans="36:49" s="476" customFormat="1">
      <c r="AJ375" s="588"/>
      <c r="AK375" s="588"/>
      <c r="AL375" s="588"/>
      <c r="AM375" s="588"/>
      <c r="AN375" s="588"/>
      <c r="AO375" s="588"/>
      <c r="AP375" s="588"/>
      <c r="AQ375" s="588"/>
      <c r="AR375" s="588"/>
      <c r="AS375" s="588"/>
      <c r="AT375" s="588"/>
      <c r="AW375" s="585"/>
    </row>
    <row r="376" spans="36:49" s="476" customFormat="1">
      <c r="AJ376" s="588"/>
      <c r="AK376" s="588"/>
      <c r="AL376" s="588"/>
      <c r="AM376" s="588"/>
      <c r="AN376" s="588"/>
      <c r="AO376" s="588"/>
      <c r="AP376" s="588"/>
      <c r="AQ376" s="588"/>
      <c r="AR376" s="588"/>
      <c r="AS376" s="588"/>
      <c r="AT376" s="588"/>
      <c r="AW376" s="585"/>
    </row>
    <row r="377" spans="36:49" s="476" customFormat="1">
      <c r="AJ377" s="588"/>
      <c r="AK377" s="588"/>
      <c r="AL377" s="588"/>
      <c r="AM377" s="588"/>
      <c r="AN377" s="588"/>
      <c r="AO377" s="588"/>
      <c r="AP377" s="588"/>
      <c r="AQ377" s="588"/>
      <c r="AR377" s="588"/>
      <c r="AS377" s="588"/>
      <c r="AT377" s="588"/>
      <c r="AW377" s="585"/>
    </row>
    <row r="378" spans="36:49" s="476" customFormat="1">
      <c r="AJ378" s="588"/>
      <c r="AK378" s="588"/>
      <c r="AL378" s="588"/>
      <c r="AM378" s="588"/>
      <c r="AN378" s="588"/>
      <c r="AO378" s="588"/>
      <c r="AP378" s="588"/>
      <c r="AQ378" s="588"/>
      <c r="AR378" s="588"/>
      <c r="AS378" s="588"/>
      <c r="AT378" s="588"/>
      <c r="AW378" s="585"/>
    </row>
    <row r="379" spans="36:49" s="476" customFormat="1">
      <c r="AJ379" s="588"/>
      <c r="AK379" s="588"/>
      <c r="AL379" s="588"/>
      <c r="AM379" s="588"/>
      <c r="AN379" s="588"/>
      <c r="AO379" s="588"/>
      <c r="AP379" s="588"/>
      <c r="AQ379" s="588"/>
      <c r="AR379" s="588"/>
      <c r="AS379" s="588"/>
      <c r="AT379" s="588"/>
      <c r="AW379" s="585"/>
    </row>
    <row r="380" spans="36:49" s="476" customFormat="1">
      <c r="AJ380" s="588"/>
      <c r="AK380" s="588"/>
      <c r="AL380" s="588"/>
      <c r="AM380" s="588"/>
      <c r="AN380" s="588"/>
      <c r="AO380" s="588"/>
      <c r="AP380" s="588"/>
      <c r="AQ380" s="588"/>
      <c r="AR380" s="588"/>
      <c r="AS380" s="588"/>
      <c r="AT380" s="588"/>
      <c r="AW380" s="585"/>
    </row>
    <row r="381" spans="36:49" s="476" customFormat="1">
      <c r="AJ381" s="588"/>
      <c r="AK381" s="588"/>
      <c r="AL381" s="588"/>
      <c r="AM381" s="588"/>
      <c r="AN381" s="588"/>
      <c r="AO381" s="588"/>
      <c r="AP381" s="588"/>
      <c r="AQ381" s="588"/>
      <c r="AR381" s="588"/>
      <c r="AS381" s="588"/>
      <c r="AT381" s="588"/>
      <c r="AW381" s="585"/>
    </row>
    <row r="382" spans="36:49" s="476" customFormat="1">
      <c r="AJ382" s="588"/>
      <c r="AK382" s="588"/>
      <c r="AL382" s="588"/>
      <c r="AM382" s="588"/>
      <c r="AN382" s="588"/>
      <c r="AO382" s="588"/>
      <c r="AP382" s="588"/>
      <c r="AQ382" s="588"/>
      <c r="AR382" s="588"/>
      <c r="AS382" s="588"/>
      <c r="AT382" s="588"/>
      <c r="AW382" s="585"/>
    </row>
    <row r="383" spans="36:49" s="476" customFormat="1">
      <c r="AJ383" s="588"/>
      <c r="AK383" s="588"/>
      <c r="AL383" s="588"/>
      <c r="AM383" s="588"/>
      <c r="AN383" s="588"/>
      <c r="AO383" s="588"/>
      <c r="AP383" s="588"/>
      <c r="AQ383" s="588"/>
      <c r="AR383" s="588"/>
      <c r="AS383" s="588"/>
      <c r="AT383" s="588"/>
      <c r="AW383" s="585"/>
    </row>
    <row r="384" spans="36:49" s="476" customFormat="1">
      <c r="AJ384" s="588"/>
      <c r="AK384" s="588"/>
      <c r="AL384" s="588"/>
      <c r="AM384" s="588"/>
      <c r="AN384" s="588"/>
      <c r="AO384" s="588"/>
      <c r="AP384" s="588"/>
      <c r="AQ384" s="588"/>
      <c r="AR384" s="588"/>
      <c r="AS384" s="588"/>
      <c r="AT384" s="588"/>
      <c r="AW384" s="585"/>
    </row>
    <row r="385" spans="36:49" s="476" customFormat="1">
      <c r="AJ385" s="588"/>
      <c r="AK385" s="588"/>
      <c r="AL385" s="588"/>
      <c r="AM385" s="588"/>
      <c r="AN385" s="588"/>
      <c r="AO385" s="588"/>
      <c r="AP385" s="588"/>
      <c r="AQ385" s="588"/>
      <c r="AR385" s="588"/>
      <c r="AS385" s="588"/>
      <c r="AT385" s="588"/>
      <c r="AW385" s="585"/>
    </row>
    <row r="386" spans="36:49" s="476" customFormat="1">
      <c r="AJ386" s="588"/>
      <c r="AK386" s="588"/>
      <c r="AL386" s="588"/>
      <c r="AM386" s="588"/>
      <c r="AN386" s="588"/>
      <c r="AO386" s="588"/>
      <c r="AP386" s="588"/>
      <c r="AQ386" s="588"/>
      <c r="AR386" s="588"/>
      <c r="AS386" s="588"/>
      <c r="AT386" s="588"/>
      <c r="AW386" s="585"/>
    </row>
    <row r="387" spans="36:49" s="476" customFormat="1">
      <c r="AJ387" s="588"/>
      <c r="AK387" s="588"/>
      <c r="AL387" s="588"/>
      <c r="AM387" s="588"/>
      <c r="AN387" s="588"/>
      <c r="AO387" s="588"/>
      <c r="AP387" s="588"/>
      <c r="AQ387" s="588"/>
      <c r="AR387" s="588"/>
      <c r="AS387" s="588"/>
      <c r="AT387" s="588"/>
      <c r="AW387" s="585"/>
    </row>
    <row r="388" spans="36:49" s="476" customFormat="1">
      <c r="AJ388" s="588"/>
      <c r="AK388" s="588"/>
      <c r="AL388" s="588"/>
      <c r="AM388" s="588"/>
      <c r="AN388" s="588"/>
      <c r="AO388" s="588"/>
      <c r="AP388" s="588"/>
      <c r="AQ388" s="588"/>
      <c r="AR388" s="588"/>
      <c r="AS388" s="588"/>
      <c r="AT388" s="588"/>
      <c r="AW388" s="585"/>
    </row>
    <row r="389" spans="36:49" s="476" customFormat="1">
      <c r="AJ389" s="588"/>
      <c r="AK389" s="588"/>
      <c r="AL389" s="588"/>
      <c r="AM389" s="588"/>
      <c r="AN389" s="588"/>
      <c r="AO389" s="588"/>
      <c r="AP389" s="588"/>
      <c r="AQ389" s="588"/>
      <c r="AR389" s="588"/>
      <c r="AS389" s="588"/>
      <c r="AT389" s="588"/>
      <c r="AW389" s="585"/>
    </row>
    <row r="390" spans="36:49" s="476" customFormat="1">
      <c r="AJ390" s="588"/>
      <c r="AK390" s="588"/>
      <c r="AL390" s="588"/>
      <c r="AM390" s="588"/>
      <c r="AN390" s="588"/>
      <c r="AO390" s="588"/>
      <c r="AP390" s="588"/>
      <c r="AQ390" s="588"/>
      <c r="AR390" s="588"/>
      <c r="AS390" s="588"/>
      <c r="AT390" s="588"/>
      <c r="AW390" s="585"/>
    </row>
    <row r="391" spans="36:49" s="476" customFormat="1">
      <c r="AJ391" s="588"/>
      <c r="AK391" s="588"/>
      <c r="AL391" s="588"/>
      <c r="AM391" s="588"/>
      <c r="AN391" s="588"/>
      <c r="AO391" s="588"/>
      <c r="AP391" s="588"/>
      <c r="AQ391" s="588"/>
      <c r="AR391" s="588"/>
      <c r="AS391" s="588"/>
      <c r="AT391" s="588"/>
      <c r="AW391" s="585"/>
    </row>
    <row r="392" spans="36:49" s="476" customFormat="1">
      <c r="AJ392" s="588"/>
      <c r="AK392" s="588"/>
      <c r="AL392" s="588"/>
      <c r="AM392" s="588"/>
      <c r="AN392" s="588"/>
      <c r="AO392" s="588"/>
      <c r="AP392" s="588"/>
      <c r="AQ392" s="588"/>
      <c r="AR392" s="588"/>
      <c r="AS392" s="588"/>
      <c r="AT392" s="588"/>
      <c r="AW392" s="585"/>
    </row>
    <row r="393" spans="36:49" s="476" customFormat="1">
      <c r="AJ393" s="588"/>
      <c r="AK393" s="588"/>
      <c r="AL393" s="588"/>
      <c r="AM393" s="588"/>
      <c r="AN393" s="588"/>
      <c r="AO393" s="588"/>
      <c r="AP393" s="588"/>
      <c r="AQ393" s="588"/>
      <c r="AR393" s="588"/>
      <c r="AS393" s="588"/>
      <c r="AT393" s="588"/>
      <c r="AW393" s="585"/>
    </row>
    <row r="394" spans="36:49" s="476" customFormat="1">
      <c r="AJ394" s="588"/>
      <c r="AK394" s="588"/>
      <c r="AL394" s="588"/>
      <c r="AM394" s="588"/>
      <c r="AN394" s="588"/>
      <c r="AO394" s="588"/>
      <c r="AP394" s="588"/>
      <c r="AQ394" s="588"/>
      <c r="AR394" s="588"/>
      <c r="AS394" s="588"/>
      <c r="AT394" s="588"/>
      <c r="AW394" s="585"/>
    </row>
    <row r="395" spans="36:49" s="476" customFormat="1">
      <c r="AJ395" s="588"/>
      <c r="AK395" s="588"/>
      <c r="AL395" s="588"/>
      <c r="AM395" s="588"/>
      <c r="AN395" s="588"/>
      <c r="AO395" s="588"/>
      <c r="AP395" s="588"/>
      <c r="AQ395" s="588"/>
      <c r="AR395" s="588"/>
      <c r="AS395" s="588"/>
      <c r="AT395" s="588"/>
      <c r="AW395" s="585"/>
    </row>
    <row r="396" spans="36:49" s="476" customFormat="1">
      <c r="AJ396" s="588"/>
      <c r="AK396" s="588"/>
      <c r="AL396" s="588"/>
      <c r="AM396" s="588"/>
      <c r="AN396" s="588"/>
      <c r="AO396" s="588"/>
      <c r="AP396" s="588"/>
      <c r="AQ396" s="588"/>
      <c r="AR396" s="588"/>
      <c r="AS396" s="588"/>
      <c r="AT396" s="588"/>
      <c r="AW396" s="585"/>
    </row>
    <row r="397" spans="36:49" s="476" customFormat="1">
      <c r="AJ397" s="588"/>
      <c r="AK397" s="588"/>
      <c r="AL397" s="588"/>
      <c r="AM397" s="588"/>
      <c r="AN397" s="588"/>
      <c r="AO397" s="588"/>
      <c r="AP397" s="588"/>
      <c r="AQ397" s="588"/>
      <c r="AR397" s="588"/>
      <c r="AS397" s="588"/>
      <c r="AT397" s="588"/>
      <c r="AW397" s="585"/>
    </row>
    <row r="398" spans="36:49" s="476" customFormat="1">
      <c r="AJ398" s="588"/>
      <c r="AK398" s="588"/>
      <c r="AL398" s="588"/>
      <c r="AM398" s="588"/>
      <c r="AN398" s="588"/>
      <c r="AO398" s="588"/>
      <c r="AP398" s="588"/>
      <c r="AQ398" s="588"/>
      <c r="AR398" s="588"/>
      <c r="AS398" s="588"/>
      <c r="AT398" s="588"/>
      <c r="AW398" s="585"/>
    </row>
    <row r="399" spans="36:49" s="476" customFormat="1">
      <c r="AJ399" s="588"/>
      <c r="AK399" s="588"/>
      <c r="AL399" s="588"/>
      <c r="AM399" s="588"/>
      <c r="AN399" s="588"/>
      <c r="AO399" s="588"/>
      <c r="AP399" s="588"/>
      <c r="AQ399" s="588"/>
      <c r="AR399" s="588"/>
      <c r="AS399" s="588"/>
      <c r="AT399" s="588"/>
      <c r="AW399" s="585"/>
    </row>
    <row r="400" spans="36:49" s="476" customFormat="1">
      <c r="AJ400" s="588"/>
      <c r="AK400" s="588"/>
      <c r="AL400" s="588"/>
      <c r="AM400" s="588"/>
      <c r="AN400" s="588"/>
      <c r="AO400" s="588"/>
      <c r="AP400" s="588"/>
      <c r="AQ400" s="588"/>
      <c r="AR400" s="588"/>
      <c r="AS400" s="588"/>
      <c r="AT400" s="588"/>
      <c r="AW400" s="585"/>
    </row>
    <row r="401" spans="36:49" s="476" customFormat="1">
      <c r="AJ401" s="588"/>
      <c r="AK401" s="588"/>
      <c r="AL401" s="588"/>
      <c r="AM401" s="588"/>
      <c r="AN401" s="588"/>
      <c r="AO401" s="588"/>
      <c r="AP401" s="588"/>
      <c r="AQ401" s="588"/>
      <c r="AR401" s="588"/>
      <c r="AS401" s="588"/>
      <c r="AT401" s="588"/>
      <c r="AW401" s="585"/>
    </row>
    <row r="402" spans="36:49" s="476" customFormat="1">
      <c r="AJ402" s="588"/>
      <c r="AK402" s="588"/>
      <c r="AL402" s="588"/>
      <c r="AM402" s="588"/>
      <c r="AN402" s="588"/>
      <c r="AO402" s="588"/>
      <c r="AP402" s="588"/>
      <c r="AQ402" s="588"/>
      <c r="AR402" s="588"/>
      <c r="AS402" s="588"/>
      <c r="AT402" s="588"/>
      <c r="AW402" s="585"/>
    </row>
    <row r="403" spans="36:49" s="476" customFormat="1">
      <c r="AJ403" s="588"/>
      <c r="AK403" s="588"/>
      <c r="AL403" s="588"/>
      <c r="AM403" s="588"/>
      <c r="AN403" s="588"/>
      <c r="AO403" s="588"/>
      <c r="AP403" s="588"/>
      <c r="AQ403" s="588"/>
      <c r="AR403" s="588"/>
      <c r="AS403" s="588"/>
      <c r="AT403" s="588"/>
      <c r="AW403" s="585"/>
    </row>
    <row r="404" spans="36:49" s="476" customFormat="1">
      <c r="AJ404" s="588"/>
      <c r="AK404" s="588"/>
      <c r="AL404" s="588"/>
      <c r="AM404" s="588"/>
      <c r="AN404" s="588"/>
      <c r="AO404" s="588"/>
      <c r="AP404" s="588"/>
      <c r="AQ404" s="588"/>
      <c r="AR404" s="588"/>
      <c r="AS404" s="588"/>
      <c r="AT404" s="588"/>
      <c r="AW404" s="585"/>
    </row>
    <row r="405" spans="36:49" s="476" customFormat="1">
      <c r="AJ405" s="588"/>
      <c r="AK405" s="588"/>
      <c r="AL405" s="588"/>
      <c r="AM405" s="588"/>
      <c r="AN405" s="588"/>
      <c r="AO405" s="588"/>
      <c r="AP405" s="588"/>
      <c r="AQ405" s="588"/>
      <c r="AR405" s="588"/>
      <c r="AS405" s="588"/>
      <c r="AT405" s="588"/>
      <c r="AW405" s="585"/>
    </row>
    <row r="406" spans="36:49" s="476" customFormat="1">
      <c r="AJ406" s="588"/>
      <c r="AK406" s="588"/>
      <c r="AL406" s="588"/>
      <c r="AM406" s="588"/>
      <c r="AN406" s="588"/>
      <c r="AO406" s="588"/>
      <c r="AP406" s="588"/>
      <c r="AQ406" s="588"/>
      <c r="AR406" s="588"/>
      <c r="AS406" s="588"/>
      <c r="AT406" s="588"/>
      <c r="AW406" s="585"/>
    </row>
    <row r="407" spans="36:49" s="476" customFormat="1">
      <c r="AJ407" s="588"/>
      <c r="AK407" s="588"/>
      <c r="AL407" s="588"/>
      <c r="AM407" s="588"/>
      <c r="AN407" s="588"/>
      <c r="AO407" s="588"/>
      <c r="AP407" s="588"/>
      <c r="AQ407" s="588"/>
      <c r="AR407" s="588"/>
      <c r="AS407" s="588"/>
      <c r="AT407" s="588"/>
      <c r="AW407" s="585"/>
    </row>
    <row r="408" spans="36:49" s="476" customFormat="1">
      <c r="AJ408" s="588"/>
      <c r="AK408" s="588"/>
      <c r="AL408" s="588"/>
      <c r="AM408" s="588"/>
      <c r="AN408" s="588"/>
      <c r="AO408" s="588"/>
      <c r="AP408" s="588"/>
      <c r="AQ408" s="588"/>
      <c r="AR408" s="588"/>
      <c r="AS408" s="588"/>
      <c r="AT408" s="588"/>
      <c r="AW408" s="585"/>
    </row>
    <row r="409" spans="36:49" s="476" customFormat="1">
      <c r="AJ409" s="588"/>
      <c r="AK409" s="588"/>
      <c r="AL409" s="588"/>
      <c r="AM409" s="588"/>
      <c r="AN409" s="588"/>
      <c r="AO409" s="588"/>
      <c r="AP409" s="588"/>
      <c r="AQ409" s="588"/>
      <c r="AR409" s="588"/>
      <c r="AS409" s="588"/>
      <c r="AT409" s="588"/>
      <c r="AW409" s="585"/>
    </row>
    <row r="410" spans="36:49" s="476" customFormat="1">
      <c r="AJ410" s="588"/>
      <c r="AK410" s="588"/>
      <c r="AL410" s="588"/>
      <c r="AM410" s="588"/>
      <c r="AN410" s="588"/>
      <c r="AO410" s="588"/>
      <c r="AP410" s="588"/>
      <c r="AQ410" s="588"/>
      <c r="AR410" s="588"/>
      <c r="AS410" s="588"/>
      <c r="AT410" s="588"/>
      <c r="AW410" s="585"/>
    </row>
    <row r="411" spans="36:49" s="476" customFormat="1">
      <c r="AJ411" s="588"/>
      <c r="AK411" s="588"/>
      <c r="AL411" s="588"/>
      <c r="AM411" s="588"/>
      <c r="AN411" s="588"/>
      <c r="AO411" s="588"/>
      <c r="AP411" s="588"/>
      <c r="AQ411" s="588"/>
      <c r="AR411" s="588"/>
      <c r="AS411" s="588"/>
      <c r="AT411" s="588"/>
      <c r="AW411" s="585"/>
    </row>
    <row r="412" spans="36:49" s="476" customFormat="1">
      <c r="AJ412" s="588"/>
      <c r="AK412" s="588"/>
      <c r="AL412" s="588"/>
      <c r="AM412" s="588"/>
      <c r="AN412" s="588"/>
      <c r="AO412" s="588"/>
      <c r="AP412" s="588"/>
      <c r="AQ412" s="588"/>
      <c r="AR412" s="588"/>
      <c r="AS412" s="588"/>
      <c r="AT412" s="588"/>
      <c r="AW412" s="585"/>
    </row>
    <row r="413" spans="36:49" s="476" customFormat="1">
      <c r="AJ413" s="588"/>
      <c r="AK413" s="588"/>
      <c r="AL413" s="588"/>
      <c r="AM413" s="588"/>
      <c r="AN413" s="588"/>
      <c r="AO413" s="588"/>
      <c r="AP413" s="588"/>
      <c r="AQ413" s="588"/>
      <c r="AR413" s="588"/>
      <c r="AS413" s="588"/>
      <c r="AT413" s="588"/>
      <c r="AW413" s="585"/>
    </row>
    <row r="414" spans="36:49" s="476" customFormat="1">
      <c r="AJ414" s="588"/>
      <c r="AK414" s="588"/>
      <c r="AL414" s="588"/>
      <c r="AM414" s="588"/>
      <c r="AN414" s="588"/>
      <c r="AO414" s="588"/>
      <c r="AP414" s="588"/>
      <c r="AQ414" s="588"/>
      <c r="AR414" s="588"/>
      <c r="AS414" s="588"/>
      <c r="AT414" s="588"/>
      <c r="AW414" s="585"/>
    </row>
    <row r="415" spans="36:49" s="476" customFormat="1">
      <c r="AJ415" s="588"/>
      <c r="AK415" s="588"/>
      <c r="AL415" s="588"/>
      <c r="AM415" s="588"/>
      <c r="AN415" s="588"/>
      <c r="AO415" s="588"/>
      <c r="AP415" s="588"/>
      <c r="AQ415" s="588"/>
      <c r="AR415" s="588"/>
      <c r="AS415" s="588"/>
      <c r="AT415" s="588"/>
      <c r="AW415" s="585"/>
    </row>
    <row r="416" spans="36:49" s="476" customFormat="1">
      <c r="AJ416" s="588"/>
      <c r="AK416" s="588"/>
      <c r="AL416" s="588"/>
      <c r="AM416" s="588"/>
      <c r="AN416" s="588"/>
      <c r="AO416" s="588"/>
      <c r="AP416" s="588"/>
      <c r="AQ416" s="588"/>
      <c r="AR416" s="588"/>
      <c r="AS416" s="588"/>
      <c r="AT416" s="588"/>
      <c r="AW416" s="585"/>
    </row>
    <row r="417" spans="36:49" s="476" customFormat="1">
      <c r="AJ417" s="588"/>
      <c r="AK417" s="588"/>
      <c r="AL417" s="588"/>
      <c r="AM417" s="588"/>
      <c r="AN417" s="588"/>
      <c r="AO417" s="588"/>
      <c r="AP417" s="588"/>
      <c r="AQ417" s="588"/>
      <c r="AR417" s="588"/>
      <c r="AS417" s="588"/>
      <c r="AT417" s="588"/>
      <c r="AW417" s="585"/>
    </row>
    <row r="418" spans="36:49" s="476" customFormat="1">
      <c r="AJ418" s="588"/>
      <c r="AK418" s="588"/>
      <c r="AL418" s="588"/>
      <c r="AM418" s="588"/>
      <c r="AN418" s="588"/>
      <c r="AO418" s="588"/>
      <c r="AP418" s="588"/>
      <c r="AQ418" s="588"/>
      <c r="AR418" s="588"/>
      <c r="AS418" s="588"/>
      <c r="AT418" s="588"/>
      <c r="AW418" s="585"/>
    </row>
    <row r="419" spans="36:49" s="476" customFormat="1">
      <c r="AJ419" s="588"/>
      <c r="AK419" s="588"/>
      <c r="AL419" s="588"/>
      <c r="AM419" s="588"/>
      <c r="AN419" s="588"/>
      <c r="AO419" s="588"/>
      <c r="AP419" s="588"/>
      <c r="AQ419" s="588"/>
      <c r="AR419" s="588"/>
      <c r="AS419" s="588"/>
      <c r="AT419" s="588"/>
      <c r="AW419" s="585"/>
    </row>
    <row r="420" spans="36:49" s="476" customFormat="1">
      <c r="AJ420" s="588"/>
      <c r="AK420" s="588"/>
      <c r="AL420" s="588"/>
      <c r="AM420" s="588"/>
      <c r="AN420" s="588"/>
      <c r="AO420" s="588"/>
      <c r="AP420" s="588"/>
      <c r="AQ420" s="588"/>
      <c r="AR420" s="588"/>
      <c r="AS420" s="588"/>
      <c r="AT420" s="588"/>
      <c r="AW420" s="585"/>
    </row>
    <row r="421" spans="36:49" s="476" customFormat="1">
      <c r="AJ421" s="588"/>
      <c r="AK421" s="588"/>
      <c r="AL421" s="588"/>
      <c r="AM421" s="588"/>
      <c r="AN421" s="588"/>
      <c r="AO421" s="588"/>
      <c r="AP421" s="588"/>
      <c r="AQ421" s="588"/>
      <c r="AR421" s="588"/>
      <c r="AS421" s="588"/>
      <c r="AT421" s="588"/>
      <c r="AW421" s="585"/>
    </row>
    <row r="422" spans="36:49" s="476" customFormat="1">
      <c r="AJ422" s="588"/>
      <c r="AK422" s="588"/>
      <c r="AL422" s="588"/>
      <c r="AM422" s="588"/>
      <c r="AN422" s="588"/>
      <c r="AO422" s="588"/>
      <c r="AP422" s="588"/>
      <c r="AQ422" s="588"/>
      <c r="AR422" s="588"/>
      <c r="AS422" s="588"/>
      <c r="AT422" s="588"/>
      <c r="AW422" s="585"/>
    </row>
    <row r="423" spans="36:49" s="476" customFormat="1">
      <c r="AJ423" s="588"/>
      <c r="AK423" s="588"/>
      <c r="AL423" s="588"/>
      <c r="AM423" s="588"/>
      <c r="AN423" s="588"/>
      <c r="AO423" s="588"/>
      <c r="AP423" s="588"/>
      <c r="AQ423" s="588"/>
      <c r="AR423" s="588"/>
      <c r="AS423" s="588"/>
      <c r="AT423" s="588"/>
      <c r="AW423" s="585"/>
    </row>
    <row r="424" spans="36:49" s="476" customFormat="1">
      <c r="AJ424" s="588"/>
      <c r="AK424" s="588"/>
      <c r="AL424" s="588"/>
      <c r="AM424" s="588"/>
      <c r="AN424" s="588"/>
      <c r="AO424" s="588"/>
      <c r="AP424" s="588"/>
      <c r="AQ424" s="588"/>
      <c r="AR424" s="588"/>
      <c r="AS424" s="588"/>
      <c r="AT424" s="588"/>
      <c r="AW424" s="585"/>
    </row>
    <row r="425" spans="36:49" s="476" customFormat="1">
      <c r="AJ425" s="588"/>
      <c r="AK425" s="588"/>
      <c r="AL425" s="588"/>
      <c r="AM425" s="588"/>
      <c r="AN425" s="588"/>
      <c r="AO425" s="588"/>
      <c r="AP425" s="588"/>
      <c r="AQ425" s="588"/>
      <c r="AR425" s="588"/>
      <c r="AS425" s="588"/>
      <c r="AT425" s="588"/>
      <c r="AW425" s="585"/>
    </row>
    <row r="426" spans="36:49" s="476" customFormat="1">
      <c r="AJ426" s="588"/>
      <c r="AK426" s="588"/>
      <c r="AL426" s="588"/>
      <c r="AM426" s="588"/>
      <c r="AN426" s="588"/>
      <c r="AO426" s="588"/>
      <c r="AP426" s="588"/>
      <c r="AQ426" s="588"/>
      <c r="AR426" s="588"/>
      <c r="AS426" s="588"/>
      <c r="AT426" s="588"/>
      <c r="AW426" s="585"/>
    </row>
    <row r="427" spans="36:49" s="476" customFormat="1">
      <c r="AJ427" s="588"/>
      <c r="AK427" s="588"/>
      <c r="AL427" s="588"/>
      <c r="AM427" s="588"/>
      <c r="AN427" s="588"/>
      <c r="AO427" s="588"/>
      <c r="AP427" s="588"/>
      <c r="AQ427" s="588"/>
      <c r="AR427" s="588"/>
      <c r="AS427" s="588"/>
      <c r="AT427" s="588"/>
      <c r="AW427" s="585"/>
    </row>
    <row r="428" spans="36:49" s="476" customFormat="1">
      <c r="AJ428" s="588"/>
      <c r="AK428" s="588"/>
      <c r="AL428" s="588"/>
      <c r="AM428" s="588"/>
      <c r="AN428" s="588"/>
      <c r="AO428" s="588"/>
      <c r="AP428" s="588"/>
      <c r="AQ428" s="588"/>
      <c r="AR428" s="588"/>
      <c r="AS428" s="588"/>
      <c r="AT428" s="588"/>
      <c r="AW428" s="585"/>
    </row>
    <row r="429" spans="36:49" s="476" customFormat="1">
      <c r="AJ429" s="588"/>
      <c r="AK429" s="588"/>
      <c r="AL429" s="588"/>
      <c r="AM429" s="588"/>
      <c r="AN429" s="588"/>
      <c r="AO429" s="588"/>
      <c r="AP429" s="588"/>
      <c r="AQ429" s="588"/>
      <c r="AR429" s="588"/>
      <c r="AS429" s="588"/>
      <c r="AT429" s="588"/>
      <c r="AW429" s="585"/>
    </row>
    <row r="430" spans="36:49" s="476" customFormat="1">
      <c r="AJ430" s="588"/>
      <c r="AK430" s="588"/>
      <c r="AL430" s="588"/>
      <c r="AM430" s="588"/>
      <c r="AN430" s="588"/>
      <c r="AO430" s="588"/>
      <c r="AP430" s="588"/>
      <c r="AQ430" s="588"/>
      <c r="AR430" s="588"/>
      <c r="AS430" s="588"/>
      <c r="AT430" s="588"/>
      <c r="AW430" s="585"/>
    </row>
    <row r="431" spans="36:49" s="476" customFormat="1">
      <c r="AJ431" s="588"/>
      <c r="AK431" s="588"/>
      <c r="AL431" s="588"/>
      <c r="AM431" s="588"/>
      <c r="AN431" s="588"/>
      <c r="AO431" s="588"/>
      <c r="AP431" s="588"/>
      <c r="AQ431" s="588"/>
      <c r="AR431" s="588"/>
      <c r="AS431" s="588"/>
      <c r="AT431" s="588"/>
      <c r="AW431" s="585"/>
    </row>
    <row r="432" spans="36:49" s="476" customFormat="1">
      <c r="AJ432" s="588"/>
      <c r="AK432" s="588"/>
      <c r="AL432" s="588"/>
      <c r="AM432" s="588"/>
      <c r="AN432" s="588"/>
      <c r="AO432" s="588"/>
      <c r="AP432" s="588"/>
      <c r="AQ432" s="588"/>
      <c r="AR432" s="588"/>
      <c r="AS432" s="588"/>
      <c r="AT432" s="588"/>
      <c r="AW432" s="585"/>
    </row>
    <row r="433" spans="36:49" s="476" customFormat="1">
      <c r="AJ433" s="588"/>
      <c r="AK433" s="588"/>
      <c r="AL433" s="588"/>
      <c r="AM433" s="588"/>
      <c r="AN433" s="588"/>
      <c r="AO433" s="588"/>
      <c r="AP433" s="588"/>
      <c r="AQ433" s="588"/>
      <c r="AR433" s="588"/>
      <c r="AS433" s="588"/>
      <c r="AT433" s="588"/>
      <c r="AW433" s="585"/>
    </row>
    <row r="434" spans="36:49" s="476" customFormat="1">
      <c r="AJ434" s="588"/>
      <c r="AK434" s="588"/>
      <c r="AL434" s="588"/>
      <c r="AM434" s="588"/>
      <c r="AN434" s="588"/>
      <c r="AO434" s="588"/>
      <c r="AP434" s="588"/>
      <c r="AQ434" s="588"/>
      <c r="AR434" s="588"/>
      <c r="AS434" s="588"/>
      <c r="AT434" s="588"/>
      <c r="AW434" s="585"/>
    </row>
    <row r="435" spans="36:49" s="476" customFormat="1">
      <c r="AJ435" s="588"/>
      <c r="AK435" s="588"/>
      <c r="AL435" s="588"/>
      <c r="AM435" s="588"/>
      <c r="AN435" s="588"/>
      <c r="AO435" s="588"/>
      <c r="AP435" s="588"/>
      <c r="AQ435" s="588"/>
      <c r="AR435" s="588"/>
      <c r="AS435" s="588"/>
      <c r="AT435" s="588"/>
      <c r="AW435" s="585"/>
    </row>
    <row r="436" spans="36:49" s="476" customFormat="1">
      <c r="AJ436" s="588"/>
      <c r="AK436" s="588"/>
      <c r="AL436" s="588"/>
      <c r="AM436" s="588"/>
      <c r="AN436" s="588"/>
      <c r="AO436" s="588"/>
      <c r="AP436" s="588"/>
      <c r="AQ436" s="588"/>
      <c r="AR436" s="588"/>
      <c r="AS436" s="588"/>
      <c r="AT436" s="588"/>
      <c r="AW436" s="585"/>
    </row>
    <row r="437" spans="36:49" s="476" customFormat="1">
      <c r="AJ437" s="588"/>
      <c r="AK437" s="588"/>
      <c r="AL437" s="588"/>
      <c r="AM437" s="588"/>
      <c r="AN437" s="588"/>
      <c r="AO437" s="588"/>
      <c r="AP437" s="588"/>
      <c r="AQ437" s="588"/>
      <c r="AR437" s="588"/>
      <c r="AS437" s="588"/>
      <c r="AT437" s="588"/>
      <c r="AW437" s="585"/>
    </row>
    <row r="438" spans="36:49" s="476" customFormat="1">
      <c r="AJ438" s="588"/>
      <c r="AK438" s="588"/>
      <c r="AL438" s="588"/>
      <c r="AM438" s="588"/>
      <c r="AN438" s="588"/>
      <c r="AO438" s="588"/>
      <c r="AP438" s="588"/>
      <c r="AQ438" s="588"/>
      <c r="AR438" s="588"/>
      <c r="AS438" s="588"/>
      <c r="AT438" s="588"/>
      <c r="AW438" s="585"/>
    </row>
    <row r="439" spans="36:49" s="476" customFormat="1">
      <c r="AJ439" s="588"/>
      <c r="AK439" s="588"/>
      <c r="AL439" s="588"/>
      <c r="AM439" s="588"/>
      <c r="AN439" s="588"/>
      <c r="AO439" s="588"/>
      <c r="AP439" s="588"/>
      <c r="AQ439" s="588"/>
      <c r="AR439" s="588"/>
      <c r="AS439" s="588"/>
      <c r="AT439" s="588"/>
      <c r="AW439" s="585"/>
    </row>
    <row r="440" spans="36:49" s="476" customFormat="1">
      <c r="AJ440" s="588"/>
      <c r="AK440" s="588"/>
      <c r="AL440" s="588"/>
      <c r="AM440" s="588"/>
      <c r="AN440" s="588"/>
      <c r="AO440" s="588"/>
      <c r="AP440" s="588"/>
      <c r="AQ440" s="588"/>
      <c r="AR440" s="588"/>
      <c r="AS440" s="588"/>
      <c r="AT440" s="588"/>
      <c r="AW440" s="585"/>
    </row>
    <row r="441" spans="36:49" s="476" customFormat="1">
      <c r="AJ441" s="588"/>
      <c r="AK441" s="588"/>
      <c r="AL441" s="588"/>
      <c r="AM441" s="588"/>
      <c r="AN441" s="588"/>
      <c r="AO441" s="588"/>
      <c r="AP441" s="588"/>
      <c r="AQ441" s="588"/>
      <c r="AR441" s="588"/>
      <c r="AS441" s="588"/>
      <c r="AT441" s="588"/>
      <c r="AW441" s="585"/>
    </row>
    <row r="442" spans="36:49" s="476" customFormat="1">
      <c r="AJ442" s="588"/>
      <c r="AK442" s="588"/>
      <c r="AL442" s="588"/>
      <c r="AM442" s="588"/>
      <c r="AN442" s="588"/>
      <c r="AO442" s="588"/>
      <c r="AP442" s="588"/>
      <c r="AQ442" s="588"/>
      <c r="AR442" s="588"/>
      <c r="AS442" s="588"/>
      <c r="AT442" s="588"/>
      <c r="AW442" s="585"/>
    </row>
    <row r="443" spans="36:49" s="476" customFormat="1">
      <c r="AJ443" s="588"/>
      <c r="AK443" s="588"/>
      <c r="AL443" s="588"/>
      <c r="AM443" s="588"/>
      <c r="AN443" s="588"/>
      <c r="AO443" s="588"/>
      <c r="AP443" s="588"/>
      <c r="AQ443" s="588"/>
      <c r="AR443" s="588"/>
      <c r="AS443" s="588"/>
      <c r="AT443" s="588"/>
      <c r="AW443" s="585"/>
    </row>
    <row r="444" spans="36:49" s="476" customFormat="1">
      <c r="AJ444" s="588"/>
      <c r="AK444" s="588"/>
      <c r="AL444" s="588"/>
      <c r="AM444" s="588"/>
      <c r="AN444" s="588"/>
      <c r="AO444" s="588"/>
      <c r="AP444" s="588"/>
      <c r="AQ444" s="588"/>
      <c r="AR444" s="588"/>
      <c r="AS444" s="588"/>
      <c r="AT444" s="588"/>
      <c r="AW444" s="585"/>
    </row>
    <row r="445" spans="36:49" s="476" customFormat="1">
      <c r="AJ445" s="588"/>
      <c r="AK445" s="588"/>
      <c r="AL445" s="588"/>
      <c r="AM445" s="588"/>
      <c r="AN445" s="588"/>
      <c r="AO445" s="588"/>
      <c r="AP445" s="588"/>
      <c r="AQ445" s="588"/>
      <c r="AR445" s="588"/>
      <c r="AS445" s="588"/>
      <c r="AT445" s="588"/>
      <c r="AW445" s="585"/>
    </row>
    <row r="446" spans="36:49" s="476" customFormat="1">
      <c r="AJ446" s="588"/>
      <c r="AK446" s="588"/>
      <c r="AL446" s="588"/>
      <c r="AM446" s="588"/>
      <c r="AN446" s="588"/>
      <c r="AO446" s="588"/>
      <c r="AP446" s="588"/>
      <c r="AQ446" s="588"/>
      <c r="AR446" s="588"/>
      <c r="AS446" s="588"/>
      <c r="AT446" s="588"/>
      <c r="AW446" s="585"/>
    </row>
    <row r="447" spans="36:49" s="476" customFormat="1">
      <c r="AJ447" s="588"/>
      <c r="AK447" s="588"/>
      <c r="AL447" s="588"/>
      <c r="AM447" s="588"/>
      <c r="AN447" s="588"/>
      <c r="AO447" s="588"/>
      <c r="AP447" s="588"/>
      <c r="AQ447" s="588"/>
      <c r="AR447" s="588"/>
      <c r="AS447" s="588"/>
      <c r="AT447" s="588"/>
      <c r="AW447" s="585"/>
    </row>
    <row r="448" spans="36:49" s="476" customFormat="1">
      <c r="AJ448" s="588"/>
      <c r="AK448" s="588"/>
      <c r="AL448" s="588"/>
      <c r="AM448" s="588"/>
      <c r="AN448" s="588"/>
      <c r="AO448" s="588"/>
      <c r="AP448" s="588"/>
      <c r="AQ448" s="588"/>
      <c r="AR448" s="588"/>
      <c r="AS448" s="588"/>
      <c r="AT448" s="588"/>
      <c r="AW448" s="585"/>
    </row>
    <row r="449" spans="36:49" s="476" customFormat="1">
      <c r="AJ449" s="588"/>
      <c r="AK449" s="588"/>
      <c r="AL449" s="588"/>
      <c r="AM449" s="588"/>
      <c r="AN449" s="588"/>
      <c r="AO449" s="588"/>
      <c r="AP449" s="588"/>
      <c r="AQ449" s="588"/>
      <c r="AR449" s="588"/>
      <c r="AS449" s="588"/>
      <c r="AT449" s="588"/>
      <c r="AW449" s="585"/>
    </row>
    <row r="450" spans="36:49" s="476" customFormat="1">
      <c r="AJ450" s="588"/>
      <c r="AK450" s="588"/>
      <c r="AL450" s="588"/>
      <c r="AM450" s="588"/>
      <c r="AN450" s="588"/>
      <c r="AO450" s="588"/>
      <c r="AP450" s="588"/>
      <c r="AQ450" s="588"/>
      <c r="AR450" s="588"/>
      <c r="AS450" s="588"/>
      <c r="AT450" s="588"/>
      <c r="AW450" s="585"/>
    </row>
    <row r="451" spans="36:49" s="476" customFormat="1">
      <c r="AJ451" s="588"/>
      <c r="AK451" s="588"/>
      <c r="AL451" s="588"/>
      <c r="AM451" s="588"/>
      <c r="AN451" s="588"/>
      <c r="AO451" s="588"/>
      <c r="AP451" s="588"/>
      <c r="AQ451" s="588"/>
      <c r="AR451" s="588"/>
      <c r="AS451" s="588"/>
      <c r="AT451" s="588"/>
      <c r="AW451" s="585"/>
    </row>
    <row r="452" spans="36:49" s="476" customFormat="1">
      <c r="AJ452" s="588"/>
      <c r="AK452" s="588"/>
      <c r="AL452" s="588"/>
      <c r="AM452" s="588"/>
      <c r="AN452" s="588"/>
      <c r="AO452" s="588"/>
      <c r="AP452" s="588"/>
      <c r="AQ452" s="588"/>
      <c r="AR452" s="588"/>
      <c r="AS452" s="588"/>
      <c r="AT452" s="588"/>
      <c r="AW452" s="585"/>
    </row>
    <row r="453" spans="36:49" s="476" customFormat="1">
      <c r="AJ453" s="588"/>
      <c r="AK453" s="588"/>
      <c r="AL453" s="588"/>
      <c r="AM453" s="588"/>
      <c r="AN453" s="588"/>
      <c r="AO453" s="588"/>
      <c r="AP453" s="588"/>
      <c r="AQ453" s="588"/>
      <c r="AR453" s="588"/>
      <c r="AS453" s="588"/>
      <c r="AT453" s="588"/>
      <c r="AW453" s="585"/>
    </row>
    <row r="454" spans="36:49" s="476" customFormat="1">
      <c r="AJ454" s="588"/>
      <c r="AK454" s="588"/>
      <c r="AL454" s="588"/>
      <c r="AM454" s="588"/>
      <c r="AN454" s="588"/>
      <c r="AO454" s="588"/>
      <c r="AP454" s="588"/>
      <c r="AQ454" s="588"/>
      <c r="AR454" s="588"/>
      <c r="AS454" s="588"/>
      <c r="AT454" s="588"/>
      <c r="AW454" s="585"/>
    </row>
    <row r="455" spans="36:49" s="476" customFormat="1">
      <c r="AJ455" s="588"/>
      <c r="AK455" s="588"/>
      <c r="AL455" s="588"/>
      <c r="AM455" s="588"/>
      <c r="AN455" s="588"/>
      <c r="AO455" s="588"/>
      <c r="AP455" s="588"/>
      <c r="AQ455" s="588"/>
      <c r="AR455" s="588"/>
      <c r="AS455" s="588"/>
      <c r="AT455" s="588"/>
      <c r="AW455" s="585"/>
    </row>
    <row r="456" spans="36:49" s="476" customFormat="1">
      <c r="AJ456" s="588"/>
      <c r="AK456" s="588"/>
      <c r="AL456" s="588"/>
      <c r="AM456" s="588"/>
      <c r="AN456" s="588"/>
      <c r="AO456" s="588"/>
      <c r="AP456" s="588"/>
      <c r="AQ456" s="588"/>
      <c r="AR456" s="588"/>
      <c r="AS456" s="588"/>
      <c r="AT456" s="588"/>
      <c r="AW456" s="585"/>
    </row>
    <row r="457" spans="36:49" s="476" customFormat="1">
      <c r="AJ457" s="588"/>
      <c r="AK457" s="588"/>
      <c r="AL457" s="588"/>
      <c r="AM457" s="588"/>
      <c r="AN457" s="588"/>
      <c r="AO457" s="588"/>
      <c r="AP457" s="588"/>
      <c r="AQ457" s="588"/>
      <c r="AR457" s="588"/>
      <c r="AS457" s="588"/>
      <c r="AT457" s="588"/>
      <c r="AW457" s="585"/>
    </row>
    <row r="458" spans="36:49" s="476" customFormat="1">
      <c r="AJ458" s="588"/>
      <c r="AK458" s="588"/>
      <c r="AL458" s="588"/>
      <c r="AM458" s="588"/>
      <c r="AN458" s="588"/>
      <c r="AO458" s="588"/>
      <c r="AP458" s="588"/>
      <c r="AQ458" s="588"/>
      <c r="AR458" s="588"/>
      <c r="AS458" s="588"/>
      <c r="AT458" s="588"/>
      <c r="AW458" s="585"/>
    </row>
    <row r="459" spans="36:49" s="476" customFormat="1">
      <c r="AJ459" s="588"/>
      <c r="AK459" s="588"/>
      <c r="AL459" s="588"/>
      <c r="AM459" s="588"/>
      <c r="AN459" s="588"/>
      <c r="AO459" s="588"/>
      <c r="AP459" s="588"/>
      <c r="AQ459" s="588"/>
      <c r="AR459" s="588"/>
      <c r="AS459" s="588"/>
      <c r="AT459" s="588"/>
      <c r="AW459" s="585"/>
    </row>
    <row r="460" spans="36:49" s="476" customFormat="1">
      <c r="AJ460" s="588"/>
      <c r="AK460" s="588"/>
      <c r="AL460" s="588"/>
      <c r="AM460" s="588"/>
      <c r="AN460" s="588"/>
      <c r="AO460" s="588"/>
      <c r="AP460" s="588"/>
      <c r="AQ460" s="588"/>
      <c r="AR460" s="588"/>
      <c r="AS460" s="588"/>
      <c r="AT460" s="588"/>
      <c r="AW460" s="585"/>
    </row>
    <row r="461" spans="36:49" s="476" customFormat="1">
      <c r="AJ461" s="588"/>
      <c r="AK461" s="588"/>
      <c r="AL461" s="588"/>
      <c r="AM461" s="588"/>
      <c r="AN461" s="588"/>
      <c r="AO461" s="588"/>
      <c r="AP461" s="588"/>
      <c r="AQ461" s="588"/>
      <c r="AR461" s="588"/>
      <c r="AS461" s="588"/>
      <c r="AT461" s="588"/>
      <c r="AW461" s="585"/>
    </row>
    <row r="462" spans="36:49" s="476" customFormat="1">
      <c r="AJ462" s="588"/>
      <c r="AK462" s="588"/>
      <c r="AL462" s="588"/>
      <c r="AM462" s="588"/>
      <c r="AN462" s="588"/>
      <c r="AO462" s="588"/>
      <c r="AP462" s="588"/>
      <c r="AQ462" s="588"/>
      <c r="AR462" s="588"/>
      <c r="AS462" s="588"/>
      <c r="AT462" s="588"/>
      <c r="AW462" s="585"/>
    </row>
    <row r="463" spans="36:49" s="476" customFormat="1">
      <c r="AJ463" s="588"/>
      <c r="AK463" s="588"/>
      <c r="AL463" s="588"/>
      <c r="AM463" s="588"/>
      <c r="AN463" s="588"/>
      <c r="AO463" s="588"/>
      <c r="AP463" s="588"/>
      <c r="AQ463" s="588"/>
      <c r="AR463" s="588"/>
      <c r="AS463" s="588"/>
      <c r="AT463" s="588"/>
      <c r="AW463" s="585"/>
    </row>
    <row r="464" spans="36:49" s="476" customFormat="1">
      <c r="AJ464" s="588"/>
      <c r="AK464" s="588"/>
      <c r="AL464" s="588"/>
      <c r="AM464" s="588"/>
      <c r="AN464" s="588"/>
      <c r="AO464" s="588"/>
      <c r="AP464" s="588"/>
      <c r="AQ464" s="588"/>
      <c r="AR464" s="588"/>
      <c r="AS464" s="588"/>
      <c r="AT464" s="588"/>
      <c r="AW464" s="585"/>
    </row>
    <row r="465" spans="36:49" s="476" customFormat="1">
      <c r="AJ465" s="588"/>
      <c r="AK465" s="588"/>
      <c r="AL465" s="588"/>
      <c r="AM465" s="588"/>
      <c r="AN465" s="588"/>
      <c r="AO465" s="588"/>
      <c r="AP465" s="588"/>
      <c r="AQ465" s="588"/>
      <c r="AR465" s="588"/>
      <c r="AS465" s="588"/>
      <c r="AT465" s="588"/>
      <c r="AW465" s="585"/>
    </row>
    <row r="466" spans="36:49" s="476" customFormat="1">
      <c r="AJ466" s="588"/>
      <c r="AK466" s="588"/>
      <c r="AL466" s="588"/>
      <c r="AM466" s="588"/>
      <c r="AN466" s="588"/>
      <c r="AO466" s="588"/>
      <c r="AP466" s="588"/>
      <c r="AQ466" s="588"/>
      <c r="AR466" s="588"/>
      <c r="AS466" s="588"/>
      <c r="AT466" s="588"/>
      <c r="AW466" s="585"/>
    </row>
    <row r="467" spans="36:49" s="476" customFormat="1">
      <c r="AJ467" s="588"/>
      <c r="AK467" s="588"/>
      <c r="AL467" s="588"/>
      <c r="AM467" s="588"/>
      <c r="AN467" s="588"/>
      <c r="AO467" s="588"/>
      <c r="AP467" s="588"/>
      <c r="AQ467" s="588"/>
      <c r="AR467" s="588"/>
      <c r="AS467" s="588"/>
      <c r="AT467" s="588"/>
      <c r="AW467" s="585"/>
    </row>
    <row r="468" spans="36:49" s="476" customFormat="1">
      <c r="AJ468" s="588"/>
      <c r="AK468" s="588"/>
      <c r="AL468" s="588"/>
      <c r="AM468" s="588"/>
      <c r="AN468" s="588"/>
      <c r="AO468" s="588"/>
      <c r="AP468" s="588"/>
      <c r="AQ468" s="588"/>
      <c r="AR468" s="588"/>
      <c r="AS468" s="588"/>
      <c r="AT468" s="588"/>
      <c r="AW468" s="585"/>
    </row>
    <row r="469" spans="36:49" s="476" customFormat="1">
      <c r="AJ469" s="588"/>
      <c r="AK469" s="588"/>
      <c r="AL469" s="588"/>
      <c r="AM469" s="588"/>
      <c r="AN469" s="588"/>
      <c r="AO469" s="588"/>
      <c r="AP469" s="588"/>
      <c r="AQ469" s="588"/>
      <c r="AR469" s="588"/>
      <c r="AS469" s="588"/>
      <c r="AT469" s="588"/>
      <c r="AW469" s="585"/>
    </row>
    <row r="470" spans="36:49" s="476" customFormat="1">
      <c r="AJ470" s="588"/>
      <c r="AK470" s="588"/>
      <c r="AL470" s="588"/>
      <c r="AM470" s="588"/>
      <c r="AN470" s="588"/>
      <c r="AO470" s="588"/>
      <c r="AP470" s="588"/>
      <c r="AQ470" s="588"/>
      <c r="AR470" s="588"/>
      <c r="AS470" s="588"/>
      <c r="AT470" s="588"/>
      <c r="AW470" s="585"/>
    </row>
    <row r="471" spans="36:49" s="476" customFormat="1">
      <c r="AJ471" s="588"/>
      <c r="AK471" s="588"/>
      <c r="AL471" s="588"/>
      <c r="AM471" s="588"/>
      <c r="AN471" s="588"/>
      <c r="AO471" s="588"/>
      <c r="AP471" s="588"/>
      <c r="AQ471" s="588"/>
      <c r="AR471" s="588"/>
      <c r="AS471" s="588"/>
      <c r="AT471" s="588"/>
      <c r="AW471" s="585"/>
    </row>
    <row r="472" spans="36:49" s="476" customFormat="1">
      <c r="AJ472" s="588"/>
      <c r="AK472" s="588"/>
      <c r="AL472" s="588"/>
      <c r="AM472" s="588"/>
      <c r="AN472" s="588"/>
      <c r="AO472" s="588"/>
      <c r="AP472" s="588"/>
      <c r="AQ472" s="588"/>
      <c r="AR472" s="588"/>
      <c r="AS472" s="588"/>
      <c r="AT472" s="588"/>
      <c r="AW472" s="585"/>
    </row>
    <row r="473" spans="36:49" s="476" customFormat="1">
      <c r="AJ473" s="588"/>
      <c r="AK473" s="588"/>
      <c r="AL473" s="588"/>
      <c r="AM473" s="588"/>
      <c r="AN473" s="588"/>
      <c r="AO473" s="588"/>
      <c r="AP473" s="588"/>
      <c r="AQ473" s="588"/>
      <c r="AR473" s="588"/>
      <c r="AS473" s="588"/>
      <c r="AT473" s="588"/>
      <c r="AW473" s="585"/>
    </row>
    <row r="474" spans="36:49" s="476" customFormat="1">
      <c r="AJ474" s="588"/>
      <c r="AK474" s="588"/>
      <c r="AL474" s="588"/>
      <c r="AM474" s="588"/>
      <c r="AN474" s="588"/>
      <c r="AO474" s="588"/>
      <c r="AP474" s="588"/>
      <c r="AQ474" s="588"/>
      <c r="AR474" s="588"/>
      <c r="AS474" s="588"/>
      <c r="AT474" s="588"/>
      <c r="AW474" s="585"/>
    </row>
    <row r="475" spans="36:49" s="476" customFormat="1">
      <c r="AJ475" s="588"/>
      <c r="AK475" s="588"/>
      <c r="AL475" s="588"/>
      <c r="AM475" s="588"/>
      <c r="AN475" s="588"/>
      <c r="AO475" s="588"/>
      <c r="AP475" s="588"/>
      <c r="AQ475" s="588"/>
      <c r="AR475" s="588"/>
      <c r="AS475" s="588"/>
      <c r="AT475" s="588"/>
      <c r="AW475" s="585"/>
    </row>
    <row r="476" spans="36:49" s="476" customFormat="1">
      <c r="AJ476" s="588"/>
      <c r="AK476" s="588"/>
      <c r="AL476" s="588"/>
      <c r="AM476" s="588"/>
      <c r="AN476" s="588"/>
      <c r="AO476" s="588"/>
      <c r="AP476" s="588"/>
      <c r="AQ476" s="588"/>
      <c r="AR476" s="588"/>
      <c r="AS476" s="588"/>
      <c r="AT476" s="588"/>
      <c r="AW476" s="585"/>
    </row>
    <row r="477" spans="36:49" s="476" customFormat="1">
      <c r="AJ477" s="588"/>
      <c r="AK477" s="588"/>
      <c r="AL477" s="588"/>
      <c r="AM477" s="588"/>
      <c r="AN477" s="588"/>
      <c r="AO477" s="588"/>
      <c r="AP477" s="588"/>
      <c r="AQ477" s="588"/>
      <c r="AR477" s="588"/>
      <c r="AS477" s="588"/>
      <c r="AT477" s="588"/>
      <c r="AW477" s="585"/>
    </row>
    <row r="478" spans="36:49" s="476" customFormat="1">
      <c r="AJ478" s="588"/>
      <c r="AK478" s="588"/>
      <c r="AL478" s="588"/>
      <c r="AM478" s="588"/>
      <c r="AN478" s="588"/>
      <c r="AO478" s="588"/>
      <c r="AP478" s="588"/>
      <c r="AQ478" s="588"/>
      <c r="AR478" s="588"/>
      <c r="AS478" s="588"/>
      <c r="AT478" s="588"/>
      <c r="AW478" s="585"/>
    </row>
    <row r="479" spans="36:49" s="476" customFormat="1">
      <c r="AJ479" s="588"/>
      <c r="AK479" s="588"/>
      <c r="AL479" s="588"/>
      <c r="AM479" s="588"/>
      <c r="AN479" s="588"/>
      <c r="AO479" s="588"/>
      <c r="AP479" s="588"/>
      <c r="AQ479" s="588"/>
      <c r="AR479" s="588"/>
      <c r="AS479" s="588"/>
      <c r="AT479" s="588"/>
      <c r="AW479" s="585"/>
    </row>
    <row r="480" spans="36:49" s="476" customFormat="1">
      <c r="AJ480" s="588"/>
      <c r="AK480" s="588"/>
      <c r="AL480" s="588"/>
      <c r="AM480" s="588"/>
      <c r="AN480" s="588"/>
      <c r="AO480" s="588"/>
      <c r="AP480" s="588"/>
      <c r="AQ480" s="588"/>
      <c r="AR480" s="588"/>
      <c r="AS480" s="588"/>
      <c r="AT480" s="588"/>
      <c r="AW480" s="585"/>
    </row>
    <row r="481" spans="36:49" s="476" customFormat="1">
      <c r="AJ481" s="588"/>
      <c r="AK481" s="588"/>
      <c r="AL481" s="588"/>
      <c r="AM481" s="588"/>
      <c r="AN481" s="588"/>
      <c r="AO481" s="588"/>
      <c r="AP481" s="588"/>
      <c r="AQ481" s="588"/>
      <c r="AR481" s="588"/>
      <c r="AS481" s="588"/>
      <c r="AT481" s="588"/>
      <c r="AW481" s="585"/>
    </row>
    <row r="482" spans="36:49" s="476" customFormat="1">
      <c r="AJ482" s="588"/>
      <c r="AK482" s="588"/>
      <c r="AL482" s="588"/>
      <c r="AM482" s="588"/>
      <c r="AN482" s="588"/>
      <c r="AO482" s="588"/>
      <c r="AP482" s="588"/>
      <c r="AQ482" s="588"/>
      <c r="AR482" s="588"/>
      <c r="AS482" s="588"/>
      <c r="AT482" s="588"/>
      <c r="AW482" s="585"/>
    </row>
    <row r="483" spans="36:49" s="476" customFormat="1">
      <c r="AJ483" s="588"/>
      <c r="AK483" s="588"/>
      <c r="AL483" s="588"/>
      <c r="AM483" s="588"/>
      <c r="AN483" s="588"/>
      <c r="AO483" s="588"/>
      <c r="AP483" s="588"/>
      <c r="AQ483" s="588"/>
      <c r="AR483" s="588"/>
      <c r="AS483" s="588"/>
      <c r="AT483" s="588"/>
      <c r="AW483" s="585"/>
    </row>
  </sheetData>
  <sheetProtection password="B1AF" sheet="1"/>
  <mergeCells count="42">
    <mergeCell ref="T8:X8"/>
    <mergeCell ref="Z13:Z14"/>
    <mergeCell ref="T9:U9"/>
    <mergeCell ref="P13:P14"/>
    <mergeCell ref="I13:I14"/>
    <mergeCell ref="Y12:Z12"/>
    <mergeCell ref="R13:R14"/>
    <mergeCell ref="S13:U13"/>
    <mergeCell ref="Q13:Q14"/>
    <mergeCell ref="N12:R12"/>
    <mergeCell ref="N13:N14"/>
    <mergeCell ref="O13:O14"/>
    <mergeCell ref="E8:I8"/>
    <mergeCell ref="E9:F9"/>
    <mergeCell ref="E12:E14"/>
    <mergeCell ref="M13:M14"/>
    <mergeCell ref="F12:F14"/>
    <mergeCell ref="AE11:AH11"/>
    <mergeCell ref="S12:V12"/>
    <mergeCell ref="AH12:AH14"/>
    <mergeCell ref="AD12:AD14"/>
    <mergeCell ref="AF12:AF14"/>
    <mergeCell ref="AG12:AG14"/>
    <mergeCell ref="W13:W14"/>
    <mergeCell ref="X13:X14"/>
    <mergeCell ref="AC12:AC14"/>
    <mergeCell ref="C55:AS55"/>
    <mergeCell ref="J13:J14"/>
    <mergeCell ref="L13:L14"/>
    <mergeCell ref="AB12:AB14"/>
    <mergeCell ref="AE12:AE14"/>
    <mergeCell ref="Y13:Y14"/>
    <mergeCell ref="W12:X12"/>
    <mergeCell ref="V13:V14"/>
    <mergeCell ref="AA12:AA14"/>
    <mergeCell ref="C12:C14"/>
    <mergeCell ref="C53:AC53"/>
    <mergeCell ref="D12:D14"/>
    <mergeCell ref="H13:H14"/>
    <mergeCell ref="K13:K14"/>
    <mergeCell ref="H12:M12"/>
    <mergeCell ref="G12:G14"/>
  </mergeCells>
  <phoneticPr fontId="14" type="noConversion"/>
  <conditionalFormatting sqref="C16:C49">
    <cfRule type="expression" dxfId="34" priority="19" stopIfTrue="1">
      <formula>IF(AND(G16="Fugitive",AW16&gt;150),TRUE,FALSE)</formula>
    </cfRule>
    <cfRule type="expression" dxfId="33" priority="22">
      <formula>IF(AND(G16="Fugitive",AW16&lt;=150),TRUE,FALSE)</formula>
    </cfRule>
  </conditionalFormatting>
  <conditionalFormatting sqref="D16:D49">
    <cfRule type="expression" dxfId="32" priority="14" stopIfTrue="1">
      <formula>IF(AND(G16="fugitive",AW16&gt;150),TRUE,FALSE)</formula>
    </cfRule>
    <cfRule type="expression" dxfId="31" priority="15" stopIfTrue="1">
      <formula>IF(AND(G16="Fugitive",AW16&lt;=150),TRUE,FALSE)</formula>
    </cfRule>
  </conditionalFormatting>
  <conditionalFormatting sqref="E16:E49 X16:X49 AC16:AC49">
    <cfRule type="cellIs" dxfId="30" priority="33" stopIfTrue="1" operator="equal">
      <formula>"Choisir…"</formula>
    </cfRule>
  </conditionalFormatting>
  <conditionalFormatting sqref="E16:E49">
    <cfRule type="expression" dxfId="29" priority="12" stopIfTrue="1">
      <formula>IF(AND(G16="Fugitive",AW16&gt;150),TRUE,FALSE)</formula>
    </cfRule>
    <cfRule type="expression" dxfId="28" priority="13" stopIfTrue="1">
      <formula>IF(AND(G16="Fugitive",AW16&lt;=150),TRUE,FALSE)</formula>
    </cfRule>
  </conditionalFormatting>
  <conditionalFormatting sqref="F16:F49">
    <cfRule type="expression" dxfId="27" priority="10" stopIfTrue="1">
      <formula>IF(AND(G16="Fugitive",AW16&gt;150),TRUE,FALSE)</formula>
    </cfRule>
    <cfRule type="expression" dxfId="26" priority="11" stopIfTrue="1">
      <formula>IF(AND(G16="Fugitive",AW16&lt;=150),TRUE,FALSE)</formula>
    </cfRule>
    <cfRule type="cellIs" dxfId="25" priority="35" stopIfTrue="1" operator="equal">
      <formula>""</formula>
    </cfRule>
  </conditionalFormatting>
  <conditionalFormatting sqref="G16:G49">
    <cfRule type="expression" dxfId="24" priority="5" stopIfTrue="1">
      <formula>IF(AND(G16="Fugitive",AW16&gt;150),TRUE,FALSE)</formula>
    </cfRule>
    <cfRule type="expression" dxfId="23" priority="9" stopIfTrue="1">
      <formula>IF(AND(G16="Fugitive",AW16&lt;=150),TRUE,FALSE)</formula>
    </cfRule>
    <cfRule type="expression" dxfId="22" priority="26" stopIfTrue="1">
      <formula>IF(AND(N16="",G16="Choisir…"),TRUE,FALSE)</formula>
    </cfRule>
    <cfRule type="expression" dxfId="21" priority="27" stopIfTrue="1">
      <formula>IF(AND(N16&lt;&gt;"",H16="",G16="Choisir…"),TRUE,FALSE)</formula>
    </cfRule>
  </conditionalFormatting>
  <conditionalFormatting sqref="H16:H49">
    <cfRule type="expression" dxfId="20" priority="1" stopIfTrue="1">
      <formula>IF(AND(G16="Fugitive",AW16&gt;150),TRUE,FALSE)</formula>
    </cfRule>
    <cfRule type="expression" dxfId="19" priority="2" stopIfTrue="1">
      <formula>IF(AND(G16="Fugitive",AW16&lt;=150),TRUE,FALSE)</formula>
    </cfRule>
    <cfRule type="expression" dxfId="18" priority="28" stopIfTrue="1">
      <formula>IF(AND(N16="",H16=""),TRUE,FALSE)</formula>
    </cfRule>
    <cfRule type="expression" dxfId="17" priority="29" stopIfTrue="1">
      <formula>IF(AND(N16&lt;&gt;"",H16=""),TRUE,FALSE)</formula>
    </cfRule>
  </conditionalFormatting>
  <conditionalFormatting sqref="J16:J49">
    <cfRule type="expression" dxfId="16" priority="30" stopIfTrue="1">
      <formula>IF(AND(G16="Énergie",J16="",IF(H16&lt;&gt;"",INDEX(OFFSET(Énergie,,8,,),MATCH(H16,Énergie,0))&lt;&gt;"",FALSE)),TRUE,FALSE)</formula>
    </cfRule>
    <cfRule type="expression" dxfId="15" priority="31" stopIfTrue="1">
      <formula>IF(AND(G16="Énergie",J16&lt;&gt;"",IF(H16&lt;&gt;"",INDEX(OFFSET(Énergie,,8,,),MATCH(H16,Énergie,0))&lt;&gt; "",FALSE)),TRUE,FALSE)</formula>
    </cfRule>
    <cfRule type="expression" dxfId="14" priority="32" stopIfTrue="1">
      <formula>IF(OR(G16&lt;&gt;"Énergie",AND(G16="Énergie", IF(H16&lt;&gt;"",INDEX(OFFSET(Énergie,,8,,),MATCH(H16,Énergie,0))&lt;&gt; "",FALSE))),TRUE,FALSE)</formula>
    </cfRule>
  </conditionalFormatting>
  <conditionalFormatting sqref="R16:R49">
    <cfRule type="expression" dxfId="13" priority="25" stopIfTrue="1">
      <formula>IF(AND(E16="OPTER",R16&lt;INDEX(OFFSET(INDIRECT($E16),,1,,),MATCH(F16,INDIRECT($E16),0))),TRUE,FALSE)</formula>
    </cfRule>
  </conditionalFormatting>
  <conditionalFormatting sqref="AE16:AE49">
    <cfRule type="cellIs" dxfId="12" priority="34" stopIfTrue="1" operator="equal">
      <formula>"choisir…"</formula>
    </cfRule>
  </conditionalFormatting>
  <conditionalFormatting sqref="AG16:AG49">
    <cfRule type="cellIs" dxfId="11" priority="36" stopIfTrue="1" operator="equal">
      <formula>"Non"</formula>
    </cfRule>
  </conditionalFormatting>
  <dataValidations count="7">
    <dataValidation type="list" allowBlank="1" showInputMessage="1" showErrorMessage="1" sqref="E16:E49" xr:uid="{9C934343-966D-4F36-BB90-2BF211B215F6}">
      <formula1>Volet</formula1>
    </dataValidation>
    <dataValidation type="list" allowBlank="1" showInputMessage="1" showErrorMessage="1" sqref="G16:G49" xr:uid="{9C9CCE7B-BFDD-4A94-8139-BD5D46B297BB}">
      <formula1>Type_emission</formula1>
    </dataValidation>
    <dataValidation type="list" allowBlank="1" showInputMessage="1" showErrorMessage="1" sqref="AC16:AC49" xr:uid="{C015067C-C46E-465B-8FF1-BCADA2C12AA4}">
      <formula1>Recom</formula1>
    </dataValidation>
    <dataValidation type="list" allowBlank="1" showInputMessage="1" showErrorMessage="1" sqref="AE16:AE49" xr:uid="{A47360FE-B8B6-4B3D-9AB6-A18A1D219DB7}">
      <formula1>Action</formula1>
    </dataValidation>
    <dataValidation type="list" allowBlank="1" showInputMessage="1" showErrorMessage="1" sqref="F16:F49" xr:uid="{3A382DD2-E0AD-4CCC-974D-CC028D882D88}">
      <formula1>INDIRECT(E16)</formula1>
    </dataValidation>
    <dataValidation type="list" allowBlank="1" showInputMessage="1" showErrorMessage="1" sqref="X16:X49" xr:uid="{591F2CD1-A9C5-4371-8243-E59D6517C471}">
      <formula1>Fin_Autre_Biénergie</formula1>
    </dataValidation>
    <dataValidation type="list" allowBlank="1" showInputMessage="1" showErrorMessage="1" sqref="H16:H49" xr:uid="{AC31AAD2-5CFF-4398-8C92-81FF15CD87C5}">
      <formula1>IF(G16="Énergie",Énergie_Biénergie,IF(G16="Fugitive",PRP,""))</formula1>
    </dataValidation>
  </dataValidations>
  <hyperlinks>
    <hyperlink ref="C53:L53" r:id="rId1" display="Faire parvenir ce formulaire en format Excel à : bienergie@energir.com" xr:uid="{002F54FD-0FC0-40E3-AED1-C55DB05DB079}"/>
    <hyperlink ref="C53:AC53" r:id="rId2" display="Faire parvenir ce formulaire en format Excel à : ventescmj@energir.com" xr:uid="{4ED6CD47-56F7-49EB-A8FA-483AB8738D49}"/>
  </hyperlinks>
  <printOptions horizontalCentered="1"/>
  <pageMargins left="0.39370078740157483" right="0.39370078740157483" top="0.39370078740157483" bottom="0.39370078740157483" header="0.31496062992125984" footer="0.31496062992125984"/>
  <pageSetup paperSize="5" orientation="portrait" r:id="rId3"/>
  <headerFooter>
    <oddFooter>&amp;L&amp;"Arial Narrow,Gras"&amp;8Ministère de l’Environnement, de la Lutte contre les changements climatiques, de la Faune et des Parcs&amp;R&amp;"Arial Narrow,Normal"&amp;8 2024-04-24</oddFooter>
  </headerFooter>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1CDA-D8FE-48DD-86DB-23A340A456AE}">
  <sheetPr codeName="Feuil5">
    <tabColor rgb="FF00B0F0"/>
    <pageSetUpPr autoPageBreaks="0" fitToPage="1"/>
  </sheetPr>
  <dimension ref="B1:CM375"/>
  <sheetViews>
    <sheetView showGridLines="0" topLeftCell="A17" zoomScale="80" zoomScaleNormal="80" workbookViewId="0">
      <selection activeCell="G90" sqref="G90"/>
    </sheetView>
  </sheetViews>
  <sheetFormatPr baseColWidth="10" defaultColWidth="11.453125" defaultRowHeight="12.5"/>
  <cols>
    <col min="1" max="2" width="4.26953125" style="51" customWidth="1"/>
    <col min="3" max="3" width="26.7265625" style="51" customWidth="1"/>
    <col min="4" max="4" width="40.54296875" style="51" customWidth="1"/>
    <col min="5" max="6" width="16.26953125" style="51" customWidth="1"/>
    <col min="7" max="8" width="16.26953125" style="87" customWidth="1"/>
    <col min="9" max="9" width="16.26953125" style="51" customWidth="1"/>
    <col min="10" max="11" width="16.26953125" style="87" customWidth="1"/>
    <col min="12" max="12" width="17.453125" style="87" customWidth="1"/>
    <col min="13" max="14" width="16.26953125" style="87" customWidth="1"/>
    <col min="15" max="15" width="10.54296875" style="232" customWidth="1"/>
    <col min="16" max="16" width="10.54296875" style="88" customWidth="1"/>
    <col min="17" max="17" width="16.26953125" style="87" customWidth="1"/>
    <col min="18" max="18" width="10.54296875" style="232" customWidth="1"/>
    <col min="19" max="19" width="10.54296875" style="88" customWidth="1"/>
    <col min="20" max="20" width="16.26953125" style="87" customWidth="1"/>
    <col min="21" max="21" width="37.54296875" style="51" customWidth="1"/>
    <col min="22" max="22" width="3.81640625" style="51" customWidth="1"/>
    <col min="23" max="30" width="0" style="585" hidden="1" customWidth="1"/>
    <col min="31" max="91" width="11.453125" style="585"/>
    <col min="92" max="16384" width="11.453125" style="51"/>
  </cols>
  <sheetData>
    <row r="1" spans="2:35" ht="13.5" customHeight="1"/>
    <row r="2" spans="2:35" ht="27" customHeight="1">
      <c r="B2" s="818" t="s">
        <v>5527</v>
      </c>
    </row>
    <row r="3" spans="2:35" ht="18" customHeight="1">
      <c r="B3" s="819" t="s">
        <v>5524</v>
      </c>
      <c r="D3" s="262"/>
      <c r="W3" s="594"/>
      <c r="X3" s="1396" t="s">
        <v>657</v>
      </c>
      <c r="Y3" s="1396"/>
      <c r="Z3" s="1396"/>
      <c r="AA3" s="1396" t="s">
        <v>658</v>
      </c>
      <c r="AB3" s="1396"/>
      <c r="AC3" s="1396"/>
      <c r="AD3" s="595"/>
      <c r="AE3" s="595"/>
      <c r="AF3" s="595"/>
      <c r="AG3" s="595"/>
      <c r="AH3" s="595"/>
      <c r="AI3" s="595"/>
    </row>
    <row r="4" spans="2:35" ht="18" customHeight="1">
      <c r="W4" s="594"/>
      <c r="X4" s="594" t="s">
        <v>654</v>
      </c>
      <c r="Y4" s="594" t="s">
        <v>655</v>
      </c>
      <c r="Z4" s="594" t="s">
        <v>656</v>
      </c>
      <c r="AA4" s="594" t="s">
        <v>654</v>
      </c>
      <c r="AB4" s="594" t="s">
        <v>655</v>
      </c>
      <c r="AC4" s="594" t="s">
        <v>656</v>
      </c>
      <c r="AD4" s="595"/>
      <c r="AE4" s="595"/>
      <c r="AF4" s="595"/>
      <c r="AG4" s="595"/>
      <c r="AH4" s="595"/>
      <c r="AI4" s="595"/>
    </row>
    <row r="5" spans="2:35" ht="18" customHeight="1">
      <c r="C5" s="89"/>
      <c r="W5" s="594" t="str">
        <f>C16</f>
        <v>A. Acquisition équipement/matériel</v>
      </c>
      <c r="X5" s="596">
        <f>G28</f>
        <v>0</v>
      </c>
      <c r="Y5" s="596">
        <f>H28</f>
        <v>0</v>
      </c>
      <c r="Z5" s="596">
        <f>X5+Y5</f>
        <v>0</v>
      </c>
      <c r="AA5" s="596">
        <f>J28</f>
        <v>0</v>
      </c>
      <c r="AB5" s="596">
        <f>K28</f>
        <v>0</v>
      </c>
      <c r="AC5" s="596">
        <f>AA5+AB5</f>
        <v>0</v>
      </c>
      <c r="AD5" s="595"/>
      <c r="AE5" s="595"/>
      <c r="AF5" s="595"/>
      <c r="AG5" s="595"/>
      <c r="AH5" s="595"/>
      <c r="AI5" s="595"/>
    </row>
    <row r="6" spans="2:35" ht="18" customHeight="1">
      <c r="C6" s="89"/>
      <c r="W6" s="594" t="str">
        <f>C50</f>
        <v>B. Ingénierie ou services professionnels</v>
      </c>
      <c r="X6" s="596">
        <f>G56</f>
        <v>0</v>
      </c>
      <c r="Y6" s="596">
        <f>H56</f>
        <v>0</v>
      </c>
      <c r="Z6" s="596">
        <f>X6+Y6</f>
        <v>0</v>
      </c>
      <c r="AA6" s="596">
        <f>J56</f>
        <v>0</v>
      </c>
      <c r="AB6" s="596">
        <f>K56</f>
        <v>0</v>
      </c>
      <c r="AC6" s="596">
        <f>AA6+AB6</f>
        <v>0</v>
      </c>
      <c r="AD6" s="595"/>
      <c r="AE6" s="595"/>
      <c r="AF6" s="595"/>
      <c r="AG6" s="595"/>
      <c r="AH6" s="595"/>
      <c r="AI6" s="595"/>
    </row>
    <row r="7" spans="2:35">
      <c r="C7" s="263" t="s">
        <v>5373</v>
      </c>
      <c r="D7" s="1408" t="str">
        <f>IF('1. Demande'!I14="","",'1. Demande'!I14)</f>
        <v/>
      </c>
      <c r="E7" s="1408"/>
      <c r="F7" s="90"/>
      <c r="G7" s="91"/>
      <c r="H7" s="91"/>
      <c r="I7" s="90"/>
      <c r="J7" s="92"/>
      <c r="K7" s="92"/>
      <c r="M7" s="148" t="s">
        <v>232</v>
      </c>
      <c r="N7" s="1361" t="str">
        <f>IF('2. Plan d''implantation'!T8="","",'2. Plan d''implantation'!T8)</f>
        <v xml:space="preserve"> </v>
      </c>
      <c r="O7" s="1361"/>
      <c r="P7" s="1361"/>
      <c r="Q7" s="1361"/>
      <c r="R7" s="1361"/>
      <c r="W7" s="594" t="str">
        <f>C58</f>
        <v>C. Installation et mise en fonction</v>
      </c>
      <c r="X7" s="596">
        <f>G64</f>
        <v>0</v>
      </c>
      <c r="Y7" s="596">
        <f>H64</f>
        <v>0</v>
      </c>
      <c r="Z7" s="596">
        <f>X7+Y7</f>
        <v>0</v>
      </c>
      <c r="AA7" s="596">
        <f>J64</f>
        <v>0</v>
      </c>
      <c r="AB7" s="596">
        <f>K64</f>
        <v>0</v>
      </c>
      <c r="AC7" s="596">
        <f>AA7+AB7</f>
        <v>0</v>
      </c>
      <c r="AD7" s="595"/>
      <c r="AE7" s="595"/>
      <c r="AF7" s="595"/>
      <c r="AG7" s="595"/>
      <c r="AH7" s="595"/>
      <c r="AI7" s="595"/>
    </row>
    <row r="8" spans="2:35">
      <c r="C8" s="263"/>
      <c r="D8" s="1407"/>
      <c r="E8" s="1407"/>
      <c r="F8" s="90"/>
      <c r="G8" s="91"/>
      <c r="H8" s="91"/>
      <c r="I8" s="90"/>
      <c r="J8" s="93"/>
      <c r="K8" s="93"/>
      <c r="Q8" s="92"/>
      <c r="W8" s="594" t="str">
        <f>C66</f>
        <v>D. Contingences</v>
      </c>
      <c r="X8" s="596">
        <f>G71</f>
        <v>0</v>
      </c>
      <c r="Y8" s="596">
        <f>H71</f>
        <v>0</v>
      </c>
      <c r="Z8" s="596">
        <f>X8+Y8</f>
        <v>0</v>
      </c>
      <c r="AA8" s="596">
        <f>J71</f>
        <v>0</v>
      </c>
      <c r="AB8" s="596">
        <f>K71</f>
        <v>0</v>
      </c>
      <c r="AC8" s="596">
        <f>AA8+AB8</f>
        <v>0</v>
      </c>
      <c r="AD8" s="595"/>
      <c r="AE8" s="595"/>
      <c r="AF8" s="595"/>
      <c r="AG8" s="595"/>
      <c r="AH8" s="595"/>
      <c r="AI8" s="595"/>
    </row>
    <row r="9" spans="2:35">
      <c r="C9" s="147" t="s">
        <v>857</v>
      </c>
      <c r="D9" s="1408"/>
      <c r="E9" s="1408"/>
      <c r="F9" s="90"/>
      <c r="G9" s="91"/>
      <c r="H9" s="91"/>
      <c r="I9" s="90"/>
      <c r="J9" s="93"/>
      <c r="K9" s="93"/>
      <c r="Q9" s="92"/>
      <c r="W9" s="594"/>
      <c r="X9" s="594"/>
      <c r="Y9" s="594"/>
      <c r="Z9" s="594"/>
      <c r="AA9" s="594"/>
      <c r="AB9" s="594"/>
      <c r="AC9" s="594"/>
      <c r="AD9" s="595"/>
      <c r="AE9" s="595"/>
      <c r="AF9" s="595"/>
      <c r="AG9" s="595"/>
      <c r="AH9" s="595"/>
      <c r="AI9" s="595"/>
    </row>
    <row r="10" spans="2:35" ht="10.5" customHeight="1">
      <c r="C10" s="94"/>
      <c r="D10" s="95"/>
      <c r="E10" s="95"/>
      <c r="F10" s="95"/>
      <c r="G10" s="96"/>
      <c r="H10" s="96"/>
      <c r="I10" s="95"/>
      <c r="J10" s="96"/>
      <c r="K10" s="96"/>
      <c r="L10" s="96"/>
      <c r="M10" s="96"/>
      <c r="N10" s="96"/>
      <c r="O10" s="233"/>
      <c r="P10" s="97"/>
      <c r="Q10" s="96"/>
      <c r="R10" s="233"/>
      <c r="S10" s="97"/>
      <c r="T10" s="96"/>
      <c r="U10" s="95"/>
      <c r="AD10" s="595"/>
      <c r="AE10" s="595"/>
      <c r="AF10" s="595"/>
      <c r="AG10" s="595"/>
      <c r="AH10" s="595"/>
      <c r="AI10" s="595"/>
    </row>
    <row r="11" spans="2:35" ht="13.5" customHeight="1" thickBot="1">
      <c r="C11" s="98"/>
      <c r="D11" s="98"/>
      <c r="E11" s="98"/>
      <c r="F11" s="98"/>
      <c r="G11" s="99"/>
      <c r="H11" s="99"/>
      <c r="I11" s="98"/>
      <c r="J11" s="99"/>
      <c r="K11" s="99"/>
      <c r="L11" s="99"/>
      <c r="M11" s="99"/>
      <c r="N11" s="99"/>
      <c r="O11" s="234"/>
      <c r="P11" s="100"/>
      <c r="Q11" s="99"/>
      <c r="R11" s="234"/>
      <c r="S11" s="100"/>
      <c r="T11" s="99"/>
      <c r="U11" s="98"/>
      <c r="AD11" s="595"/>
      <c r="AE11" s="595"/>
      <c r="AF11" s="595"/>
      <c r="AG11" s="595"/>
      <c r="AH11" s="595"/>
      <c r="AI11" s="595"/>
    </row>
    <row r="12" spans="2:35" ht="22.5" customHeight="1" thickBot="1">
      <c r="C12" s="1404" t="s">
        <v>157</v>
      </c>
      <c r="D12" s="1405"/>
      <c r="E12" s="1405"/>
      <c r="F12" s="1405"/>
      <c r="G12" s="1405"/>
      <c r="H12" s="1405"/>
      <c r="I12" s="1405"/>
      <c r="J12" s="1405"/>
      <c r="K12" s="1405"/>
      <c r="L12" s="1406"/>
      <c r="M12" s="1405" t="s">
        <v>156</v>
      </c>
      <c r="N12" s="1405"/>
      <c r="O12" s="1405"/>
      <c r="P12" s="1405"/>
      <c r="Q12" s="1405"/>
      <c r="R12" s="1405"/>
      <c r="S12" s="1405"/>
      <c r="T12" s="1405"/>
      <c r="U12" s="1409"/>
    </row>
    <row r="13" spans="2:35" ht="13.5" customHeight="1" thickBot="1">
      <c r="C13" s="481">
        <v>1</v>
      </c>
      <c r="D13" s="481">
        <v>2</v>
      </c>
      <c r="E13" s="481">
        <v>3</v>
      </c>
      <c r="F13" s="1415">
        <v>4</v>
      </c>
      <c r="G13" s="1416"/>
      <c r="H13" s="1417"/>
      <c r="I13" s="1399">
        <v>5</v>
      </c>
      <c r="J13" s="1400"/>
      <c r="K13" s="1400"/>
      <c r="L13" s="482">
        <v>6</v>
      </c>
      <c r="M13" s="1416">
        <v>7</v>
      </c>
      <c r="N13" s="1417"/>
      <c r="O13" s="1415">
        <v>8</v>
      </c>
      <c r="P13" s="1416"/>
      <c r="Q13" s="1417"/>
      <c r="R13" s="1415">
        <v>9</v>
      </c>
      <c r="S13" s="1416"/>
      <c r="T13" s="1417"/>
      <c r="U13" s="481">
        <v>10</v>
      </c>
    </row>
    <row r="14" spans="2:35">
      <c r="C14" s="1410" t="s">
        <v>111</v>
      </c>
      <c r="D14" s="1412" t="s">
        <v>112</v>
      </c>
      <c r="E14" s="268"/>
      <c r="F14" s="1393" t="s">
        <v>229</v>
      </c>
      <c r="G14" s="1394"/>
      <c r="H14" s="1395"/>
      <c r="I14" s="1401" t="s">
        <v>228</v>
      </c>
      <c r="J14" s="1402"/>
      <c r="K14" s="1403"/>
      <c r="L14" s="1378" t="s">
        <v>235</v>
      </c>
      <c r="M14" s="1419" t="s">
        <v>153</v>
      </c>
      <c r="N14" s="1419"/>
      <c r="O14" s="1386" t="s">
        <v>115</v>
      </c>
      <c r="P14" s="1387"/>
      <c r="Q14" s="1388"/>
      <c r="R14" s="1401" t="s">
        <v>114</v>
      </c>
      <c r="S14" s="1402"/>
      <c r="T14" s="1403"/>
      <c r="U14" s="1413" t="s">
        <v>119</v>
      </c>
    </row>
    <row r="15" spans="2:35" ht="42.75" customHeight="1">
      <c r="C15" s="1411"/>
      <c r="D15" s="1359"/>
      <c r="E15" s="412" t="s">
        <v>5495</v>
      </c>
      <c r="F15" s="269" t="s">
        <v>902</v>
      </c>
      <c r="G15" s="270" t="s">
        <v>148</v>
      </c>
      <c r="H15" s="271" t="s">
        <v>147</v>
      </c>
      <c r="I15" s="269" t="s">
        <v>902</v>
      </c>
      <c r="J15" s="270" t="s">
        <v>148</v>
      </c>
      <c r="K15" s="272" t="s">
        <v>147</v>
      </c>
      <c r="L15" s="1379"/>
      <c r="M15" s="273" t="s">
        <v>148</v>
      </c>
      <c r="N15" s="270" t="s">
        <v>147</v>
      </c>
      <c r="O15" s="274" t="s">
        <v>163</v>
      </c>
      <c r="P15" s="275" t="s">
        <v>116</v>
      </c>
      <c r="Q15" s="272" t="s">
        <v>117</v>
      </c>
      <c r="R15" s="276" t="s">
        <v>162</v>
      </c>
      <c r="S15" s="275" t="s">
        <v>103</v>
      </c>
      <c r="T15" s="272" t="s">
        <v>118</v>
      </c>
      <c r="U15" s="1414"/>
    </row>
    <row r="16" spans="2:35" ht="13">
      <c r="C16" s="1418" t="s">
        <v>32</v>
      </c>
      <c r="D16" s="1384"/>
      <c r="E16" s="1384"/>
      <c r="F16" s="1384"/>
      <c r="G16" s="1384"/>
      <c r="H16" s="1384"/>
      <c r="I16" s="1384"/>
      <c r="J16" s="1384"/>
      <c r="K16" s="1384"/>
      <c r="L16" s="1384"/>
      <c r="M16" s="1384"/>
      <c r="N16" s="1384"/>
      <c r="O16" s="1384"/>
      <c r="P16" s="1384"/>
      <c r="Q16" s="1384"/>
      <c r="R16" s="1384"/>
      <c r="S16" s="1384"/>
      <c r="T16" s="1384"/>
      <c r="U16" s="1385"/>
    </row>
    <row r="17" spans="3:21">
      <c r="C17" s="24"/>
      <c r="D17" s="25"/>
      <c r="E17" s="73"/>
      <c r="F17" s="73"/>
      <c r="G17" s="86"/>
      <c r="H17" s="86"/>
      <c r="I17" s="73"/>
      <c r="J17" s="79"/>
      <c r="K17" s="79"/>
      <c r="L17" s="101">
        <f>SUM(J17:K17)-SUM(G17:H17)</f>
        <v>0</v>
      </c>
      <c r="M17" s="83"/>
      <c r="N17" s="82"/>
      <c r="O17" s="235"/>
      <c r="P17" s="77"/>
      <c r="Q17" s="79"/>
      <c r="R17" s="244"/>
      <c r="S17" s="77"/>
      <c r="T17" s="81"/>
      <c r="U17" s="26"/>
    </row>
    <row r="18" spans="3:21">
      <c r="C18" s="27"/>
      <c r="D18" s="28"/>
      <c r="E18" s="74"/>
      <c r="F18" s="74"/>
      <c r="G18" s="80"/>
      <c r="H18" s="80"/>
      <c r="I18" s="74"/>
      <c r="J18" s="80"/>
      <c r="K18" s="80"/>
      <c r="L18" s="108">
        <f>SUM(J18:K18)-SUM(G18:H18)</f>
        <v>0</v>
      </c>
      <c r="M18" s="81"/>
      <c r="N18" s="84"/>
      <c r="O18" s="236"/>
      <c r="P18" s="78"/>
      <c r="Q18" s="80"/>
      <c r="R18" s="244"/>
      <c r="S18" s="78"/>
      <c r="T18" s="81"/>
      <c r="U18" s="26"/>
    </row>
    <row r="19" spans="3:21">
      <c r="C19" s="27"/>
      <c r="D19" s="28"/>
      <c r="E19" s="74"/>
      <c r="F19" s="74"/>
      <c r="G19" s="80"/>
      <c r="H19" s="80"/>
      <c r="I19" s="74"/>
      <c r="J19" s="80"/>
      <c r="K19" s="84"/>
      <c r="L19" s="108">
        <f t="shared" ref="L19:L26" si="0">SUM(J19:K19)-SUM(G19:H19)</f>
        <v>0</v>
      </c>
      <c r="M19" s="81"/>
      <c r="N19" s="84"/>
      <c r="O19" s="236"/>
      <c r="P19" s="78"/>
      <c r="Q19" s="80"/>
      <c r="R19" s="244"/>
      <c r="S19" s="78"/>
      <c r="T19" s="81"/>
      <c r="U19" s="26"/>
    </row>
    <row r="20" spans="3:21">
      <c r="C20" s="858"/>
      <c r="D20" s="28"/>
      <c r="E20" s="74"/>
      <c r="F20" s="74"/>
      <c r="G20" s="80"/>
      <c r="H20" s="80"/>
      <c r="I20" s="74"/>
      <c r="J20" s="80"/>
      <c r="K20" s="84"/>
      <c r="L20" s="108">
        <f t="shared" si="0"/>
        <v>0</v>
      </c>
      <c r="M20" s="81"/>
      <c r="N20" s="84"/>
      <c r="O20" s="236"/>
      <c r="P20" s="78"/>
      <c r="Q20" s="80"/>
      <c r="R20" s="244"/>
      <c r="S20" s="78"/>
      <c r="T20" s="81"/>
      <c r="U20" s="26"/>
    </row>
    <row r="21" spans="3:21">
      <c r="C21" s="27"/>
      <c r="D21" s="28"/>
      <c r="E21" s="74"/>
      <c r="F21" s="859"/>
      <c r="G21" s="860"/>
      <c r="H21" s="80"/>
      <c r="I21" s="74"/>
      <c r="J21" s="80"/>
      <c r="K21" s="84"/>
      <c r="L21" s="108">
        <f t="shared" si="0"/>
        <v>0</v>
      </c>
      <c r="M21" s="81"/>
      <c r="N21" s="84"/>
      <c r="O21" s="236"/>
      <c r="P21" s="78"/>
      <c r="Q21" s="80"/>
      <c r="R21" s="244"/>
      <c r="S21" s="78"/>
      <c r="T21" s="81"/>
      <c r="U21" s="26"/>
    </row>
    <row r="22" spans="3:21">
      <c r="C22" s="27"/>
      <c r="D22" s="28"/>
      <c r="E22" s="74"/>
      <c r="F22" s="74"/>
      <c r="G22" s="80"/>
      <c r="H22" s="80"/>
      <c r="I22" s="74"/>
      <c r="J22" s="80"/>
      <c r="K22" s="84"/>
      <c r="L22" s="108">
        <f t="shared" si="0"/>
        <v>0</v>
      </c>
      <c r="M22" s="81"/>
      <c r="N22" s="84"/>
      <c r="O22" s="236"/>
      <c r="P22" s="78"/>
      <c r="Q22" s="80"/>
      <c r="R22" s="244"/>
      <c r="S22" s="78"/>
      <c r="T22" s="81"/>
      <c r="U22" s="26"/>
    </row>
    <row r="23" spans="3:21">
      <c r="C23" s="27"/>
      <c r="D23" s="299"/>
      <c r="E23" s="74"/>
      <c r="F23" s="74"/>
      <c r="G23" s="80"/>
      <c r="H23" s="80"/>
      <c r="I23" s="74"/>
      <c r="J23" s="80"/>
      <c r="K23" s="84"/>
      <c r="L23" s="108">
        <f t="shared" si="0"/>
        <v>0</v>
      </c>
      <c r="M23" s="861"/>
      <c r="N23" s="84"/>
      <c r="O23" s="236"/>
      <c r="P23" s="78"/>
      <c r="Q23" s="80"/>
      <c r="R23" s="244"/>
      <c r="S23" s="78"/>
      <c r="T23" s="81"/>
      <c r="U23" s="26"/>
    </row>
    <row r="24" spans="3:21">
      <c r="C24" s="27"/>
      <c r="D24" s="28"/>
      <c r="E24" s="74"/>
      <c r="F24" s="74"/>
      <c r="G24" s="80"/>
      <c r="H24" s="80"/>
      <c r="I24" s="74"/>
      <c r="J24" s="80"/>
      <c r="K24" s="84"/>
      <c r="L24" s="108">
        <f t="shared" si="0"/>
        <v>0</v>
      </c>
      <c r="M24" s="81"/>
      <c r="N24" s="84"/>
      <c r="O24" s="236"/>
      <c r="P24" s="78"/>
      <c r="Q24" s="80"/>
      <c r="R24" s="244"/>
      <c r="S24" s="78"/>
      <c r="T24" s="81"/>
      <c r="U24" s="26"/>
    </row>
    <row r="25" spans="3:21">
      <c r="C25" s="27"/>
      <c r="D25" s="28"/>
      <c r="E25" s="74"/>
      <c r="F25" s="74"/>
      <c r="G25" s="80"/>
      <c r="H25" s="80"/>
      <c r="I25" s="74"/>
      <c r="J25" s="80"/>
      <c r="K25" s="84"/>
      <c r="L25" s="108">
        <f t="shared" si="0"/>
        <v>0</v>
      </c>
      <c r="M25" s="81"/>
      <c r="N25" s="84"/>
      <c r="O25" s="236"/>
      <c r="P25" s="78"/>
      <c r="Q25" s="80"/>
      <c r="R25" s="244"/>
      <c r="S25" s="78"/>
      <c r="T25" s="81"/>
      <c r="U25" s="26"/>
    </row>
    <row r="26" spans="3:21">
      <c r="C26" s="27"/>
      <c r="D26" s="28"/>
      <c r="E26" s="74"/>
      <c r="F26" s="74"/>
      <c r="G26" s="80"/>
      <c r="H26" s="80"/>
      <c r="I26" s="74"/>
      <c r="J26" s="80"/>
      <c r="K26" s="84"/>
      <c r="L26" s="108">
        <f t="shared" si="0"/>
        <v>0</v>
      </c>
      <c r="M26" s="81"/>
      <c r="N26" s="84"/>
      <c r="O26" s="236"/>
      <c r="P26" s="78"/>
      <c r="Q26" s="80"/>
      <c r="R26" s="244"/>
      <c r="S26" s="78"/>
      <c r="T26" s="81"/>
      <c r="U26" s="26"/>
    </row>
    <row r="27" spans="3:21" ht="13" thickBot="1">
      <c r="C27" s="27"/>
      <c r="D27" s="28"/>
      <c r="E27" s="75"/>
      <c r="F27" s="75"/>
      <c r="G27" s="85"/>
      <c r="H27" s="85"/>
      <c r="I27" s="75"/>
      <c r="J27" s="80"/>
      <c r="K27" s="84"/>
      <c r="L27" s="108">
        <f>SUM(J27:K27)-SUM(G27:H27)</f>
        <v>0</v>
      </c>
      <c r="M27" s="81"/>
      <c r="N27" s="84"/>
      <c r="O27" s="236"/>
      <c r="P27" s="78"/>
      <c r="Q27" s="80"/>
      <c r="R27" s="244"/>
      <c r="S27" s="78"/>
      <c r="T27" s="81"/>
      <c r="U27" s="26"/>
    </row>
    <row r="28" spans="3:21" ht="13.5" customHeight="1" thickTop="1">
      <c r="C28" s="111" t="s">
        <v>859</v>
      </c>
      <c r="D28" s="112"/>
      <c r="G28" s="117">
        <f>SUM(G17:G27)</f>
        <v>0</v>
      </c>
      <c r="H28" s="113">
        <f>SUM(H17:H27)</f>
        <v>0</v>
      </c>
      <c r="I28" s="105"/>
      <c r="J28" s="113">
        <f>SUM(J17:J27)</f>
        <v>0</v>
      </c>
      <c r="K28" s="113">
        <f>SUM(K17:K27)</f>
        <v>0</v>
      </c>
      <c r="L28" s="114">
        <f>SUM(L17:L27)</f>
        <v>0</v>
      </c>
      <c r="M28" s="113">
        <f>SUM(M17:M27)</f>
        <v>0</v>
      </c>
      <c r="N28" s="115">
        <f>SUM(N17:N27)</f>
        <v>0</v>
      </c>
      <c r="O28" s="237"/>
      <c r="P28" s="116"/>
      <c r="Q28" s="117">
        <f>SUM(Q17:Q27)</f>
        <v>0</v>
      </c>
      <c r="R28" s="245"/>
      <c r="S28" s="116"/>
      <c r="T28" s="117">
        <f>SUM(T17:T27)</f>
        <v>0</v>
      </c>
      <c r="U28" s="118"/>
    </row>
    <row r="29" spans="3:21" ht="4.5" customHeight="1">
      <c r="C29" s="119"/>
      <c r="G29" s="120"/>
      <c r="H29" s="120"/>
      <c r="I29" s="121"/>
      <c r="J29" s="102"/>
      <c r="K29" s="107"/>
      <c r="L29" s="122"/>
      <c r="M29" s="123"/>
      <c r="N29" s="124"/>
      <c r="O29" s="238"/>
      <c r="P29" s="109"/>
      <c r="Q29" s="120"/>
      <c r="S29" s="109"/>
      <c r="T29" s="123"/>
      <c r="U29" s="103"/>
    </row>
    <row r="30" spans="3:21" ht="13" hidden="1">
      <c r="C30" s="1418" t="s">
        <v>33</v>
      </c>
      <c r="D30" s="1384"/>
      <c r="E30" s="1384"/>
      <c r="F30" s="1384"/>
      <c r="G30" s="1384"/>
      <c r="H30" s="1384"/>
      <c r="I30" s="1384"/>
      <c r="J30" s="1384"/>
      <c r="K30" s="1384"/>
      <c r="L30" s="1384"/>
      <c r="M30" s="1384"/>
      <c r="N30" s="1384"/>
      <c r="O30" s="1384"/>
      <c r="P30" s="1384"/>
      <c r="Q30" s="1384"/>
      <c r="R30" s="1384"/>
      <c r="S30" s="1384"/>
      <c r="T30" s="1384"/>
      <c r="U30" s="1385"/>
    </row>
    <row r="31" spans="3:21" hidden="1">
      <c r="C31" s="820"/>
      <c r="E31" s="826"/>
      <c r="F31" s="826"/>
      <c r="G31" s="821"/>
      <c r="H31" s="821"/>
      <c r="I31" s="826"/>
      <c r="J31" s="821"/>
      <c r="K31" s="823"/>
      <c r="L31" s="101">
        <f>SUM(J31:K31)-SUM(G31:H31)</f>
        <v>0</v>
      </c>
      <c r="M31" s="822"/>
      <c r="N31" s="823"/>
      <c r="O31" s="824"/>
      <c r="P31" s="825"/>
      <c r="Q31" s="821"/>
      <c r="S31" s="825"/>
      <c r="T31" s="102"/>
      <c r="U31" s="103"/>
    </row>
    <row r="32" spans="3:21" hidden="1">
      <c r="C32" s="104"/>
      <c r="E32" s="105"/>
      <c r="F32" s="105"/>
      <c r="G32" s="106"/>
      <c r="H32" s="106"/>
      <c r="I32" s="105"/>
      <c r="J32" s="106"/>
      <c r="K32" s="106"/>
      <c r="L32" s="108">
        <f>SUM(J32:K32)-SUM(G32:H32)</f>
        <v>0</v>
      </c>
      <c r="M32" s="102"/>
      <c r="N32" s="107"/>
      <c r="O32" s="239"/>
      <c r="P32" s="109"/>
      <c r="Q32" s="106"/>
      <c r="S32" s="109"/>
      <c r="T32" s="102"/>
      <c r="U32" s="103"/>
    </row>
    <row r="33" spans="3:21" ht="15.75" hidden="1" customHeight="1">
      <c r="C33" s="104"/>
      <c r="D33" s="827"/>
      <c r="E33" s="828"/>
      <c r="F33" s="828"/>
      <c r="G33" s="829"/>
      <c r="H33" s="829"/>
      <c r="I33" s="828"/>
      <c r="J33" s="829"/>
      <c r="K33" s="829"/>
      <c r="L33" s="285">
        <f t="shared" ref="L33:L38" si="1">SUM(J33:K33)-SUM(G33:H33)</f>
        <v>0</v>
      </c>
      <c r="M33" s="102"/>
      <c r="N33" s="107"/>
      <c r="O33" s="239"/>
      <c r="P33" s="109"/>
      <c r="Q33" s="106"/>
      <c r="S33" s="109"/>
      <c r="T33" s="102"/>
      <c r="U33" s="103"/>
    </row>
    <row r="34" spans="3:21" hidden="1">
      <c r="C34" s="104"/>
      <c r="E34" s="105"/>
      <c r="F34" s="105"/>
      <c r="G34" s="106"/>
      <c r="H34" s="106"/>
      <c r="I34" s="105"/>
      <c r="J34" s="106"/>
      <c r="K34" s="106"/>
      <c r="L34" s="108">
        <f t="shared" si="1"/>
        <v>0</v>
      </c>
      <c r="M34" s="102"/>
      <c r="N34" s="107"/>
      <c r="O34" s="239"/>
      <c r="P34" s="109"/>
      <c r="Q34" s="106"/>
      <c r="S34" s="109"/>
      <c r="T34" s="102"/>
      <c r="U34" s="103"/>
    </row>
    <row r="35" spans="3:21" hidden="1">
      <c r="C35" s="104"/>
      <c r="E35" s="105"/>
      <c r="F35" s="105"/>
      <c r="G35" s="106"/>
      <c r="H35" s="106"/>
      <c r="I35" s="105"/>
      <c r="J35" s="106"/>
      <c r="K35" s="107"/>
      <c r="L35" s="108">
        <f t="shared" si="1"/>
        <v>0</v>
      </c>
      <c r="M35" s="102"/>
      <c r="N35" s="107"/>
      <c r="O35" s="239"/>
      <c r="P35" s="109"/>
      <c r="Q35" s="106"/>
      <c r="S35" s="109"/>
      <c r="T35" s="102"/>
      <c r="U35" s="103"/>
    </row>
    <row r="36" spans="3:21" hidden="1">
      <c r="C36" s="104"/>
      <c r="E36" s="105"/>
      <c r="F36" s="105"/>
      <c r="G36" s="106"/>
      <c r="H36" s="106"/>
      <c r="I36" s="105"/>
      <c r="J36" s="106"/>
      <c r="K36" s="107"/>
      <c r="L36" s="108">
        <f t="shared" si="1"/>
        <v>0</v>
      </c>
      <c r="M36" s="102"/>
      <c r="N36" s="107"/>
      <c r="O36" s="239"/>
      <c r="P36" s="109"/>
      <c r="Q36" s="106"/>
      <c r="S36" s="109"/>
      <c r="T36" s="102"/>
      <c r="U36" s="103"/>
    </row>
    <row r="37" spans="3:21" hidden="1">
      <c r="C37" s="104"/>
      <c r="E37" s="105"/>
      <c r="F37" s="105"/>
      <c r="G37" s="106"/>
      <c r="H37" s="106"/>
      <c r="I37" s="105"/>
      <c r="J37" s="106"/>
      <c r="K37" s="107"/>
      <c r="L37" s="108">
        <f t="shared" si="1"/>
        <v>0</v>
      </c>
      <c r="M37" s="102"/>
      <c r="N37" s="107"/>
      <c r="O37" s="239"/>
      <c r="P37" s="109"/>
      <c r="Q37" s="106"/>
      <c r="S37" s="109"/>
      <c r="T37" s="102"/>
      <c r="U37" s="103"/>
    </row>
    <row r="38" spans="3:21" hidden="1">
      <c r="C38" s="104"/>
      <c r="E38" s="105"/>
      <c r="F38" s="105"/>
      <c r="G38" s="106"/>
      <c r="H38" s="106"/>
      <c r="I38" s="105"/>
      <c r="J38" s="106"/>
      <c r="K38" s="107"/>
      <c r="L38" s="108">
        <f t="shared" si="1"/>
        <v>0</v>
      </c>
      <c r="M38" s="102"/>
      <c r="N38" s="107"/>
      <c r="O38" s="239"/>
      <c r="P38" s="109"/>
      <c r="Q38" s="106"/>
      <c r="S38" s="109"/>
      <c r="T38" s="102"/>
      <c r="U38" s="103"/>
    </row>
    <row r="39" spans="3:21" ht="13" hidden="1" thickBot="1">
      <c r="C39" s="104"/>
      <c r="E39" s="110"/>
      <c r="F39" s="105"/>
      <c r="G39" s="106"/>
      <c r="H39" s="106"/>
      <c r="I39" s="105"/>
      <c r="J39" s="106"/>
      <c r="K39" s="107"/>
      <c r="L39" s="108">
        <f>SUM(J39:K39)-SUM(G39:H39)</f>
        <v>0</v>
      </c>
      <c r="M39" s="102"/>
      <c r="N39" s="107"/>
      <c r="O39" s="239"/>
      <c r="P39" s="109"/>
      <c r="Q39" s="106"/>
      <c r="S39" s="109"/>
      <c r="T39" s="102"/>
      <c r="U39" s="103"/>
    </row>
    <row r="40" spans="3:21" ht="13" hidden="1" thickTop="1">
      <c r="C40" s="111" t="s">
        <v>859</v>
      </c>
      <c r="D40" s="112"/>
      <c r="E40" s="112"/>
      <c r="F40" s="112"/>
      <c r="G40" s="117">
        <f>SUM(G31:G39)</f>
        <v>0</v>
      </c>
      <c r="H40" s="117">
        <f>SUM(H31:H39)</f>
        <v>0</v>
      </c>
      <c r="I40" s="112"/>
      <c r="J40" s="117">
        <f>SUM(J31:J39)</f>
        <v>0</v>
      </c>
      <c r="K40" s="117">
        <f>SUM(K31:K39)</f>
        <v>0</v>
      </c>
      <c r="L40" s="114">
        <f>SUM(L31:L39)</f>
        <v>0</v>
      </c>
      <c r="M40" s="113">
        <f>SUM(M31:M39)</f>
        <v>0</v>
      </c>
      <c r="N40" s="115">
        <f>SUM(N31:N39)</f>
        <v>0</v>
      </c>
      <c r="O40" s="237"/>
      <c r="P40" s="116"/>
      <c r="Q40" s="117">
        <f>SUM(Q31:Q39)</f>
        <v>0</v>
      </c>
      <c r="R40" s="245"/>
      <c r="S40" s="116"/>
      <c r="T40" s="117">
        <f>SUM(T31:T39)</f>
        <v>0</v>
      </c>
      <c r="U40" s="118"/>
    </row>
    <row r="41" spans="3:21" ht="4.5" hidden="1" customHeight="1">
      <c r="C41" s="119"/>
      <c r="J41" s="106"/>
      <c r="K41" s="107"/>
      <c r="L41" s="122"/>
      <c r="M41" s="123"/>
      <c r="O41" s="238"/>
      <c r="P41" s="109"/>
      <c r="Q41" s="120"/>
      <c r="S41" s="109"/>
      <c r="T41" s="123"/>
      <c r="U41" s="103"/>
    </row>
    <row r="42" spans="3:21" ht="13" hidden="1">
      <c r="C42" s="1418" t="s">
        <v>212</v>
      </c>
      <c r="D42" s="1384"/>
      <c r="E42" s="1384"/>
      <c r="F42" s="1384"/>
      <c r="G42" s="1384"/>
      <c r="H42" s="1384"/>
      <c r="I42" s="1384"/>
      <c r="J42" s="1384"/>
      <c r="K42" s="1384"/>
      <c r="L42" s="1384"/>
      <c r="M42" s="1384"/>
      <c r="N42" s="1384"/>
      <c r="O42" s="1384"/>
      <c r="P42" s="1384"/>
      <c r="Q42" s="1384"/>
      <c r="R42" s="1384"/>
      <c r="S42" s="1384"/>
      <c r="T42" s="1384"/>
      <c r="U42" s="1385"/>
    </row>
    <row r="43" spans="3:21" hidden="1">
      <c r="C43" s="820"/>
      <c r="E43" s="826"/>
      <c r="F43" s="826"/>
      <c r="G43" s="821"/>
      <c r="H43" s="821"/>
      <c r="I43" s="826"/>
      <c r="J43" s="821"/>
      <c r="K43" s="823"/>
      <c r="L43" s="101">
        <f>SUM(J43:K43)-SUM(G43:H43)</f>
        <v>0</v>
      </c>
      <c r="M43" s="822"/>
      <c r="N43" s="823"/>
      <c r="O43" s="824"/>
      <c r="P43" s="825"/>
      <c r="Q43" s="821"/>
      <c r="S43" s="825"/>
      <c r="T43" s="102"/>
      <c r="U43" s="103"/>
    </row>
    <row r="44" spans="3:21" hidden="1">
      <c r="C44" s="104"/>
      <c r="E44" s="105"/>
      <c r="F44" s="105"/>
      <c r="G44" s="106"/>
      <c r="H44" s="106"/>
      <c r="I44" s="105"/>
      <c r="J44" s="106"/>
      <c r="K44" s="106"/>
      <c r="L44" s="108">
        <f>SUM(J44:K44)-SUM(G44:H44)</f>
        <v>0</v>
      </c>
      <c r="M44" s="102"/>
      <c r="N44" s="107"/>
      <c r="O44" s="239"/>
      <c r="P44" s="109"/>
      <c r="Q44" s="106"/>
      <c r="S44" s="109"/>
      <c r="T44" s="102"/>
      <c r="U44" s="103"/>
    </row>
    <row r="45" spans="3:21" hidden="1">
      <c r="C45" s="104"/>
      <c r="E45" s="105"/>
      <c r="F45" s="105"/>
      <c r="G45" s="106"/>
      <c r="H45" s="105"/>
      <c r="I45" s="105"/>
      <c r="J45" s="106"/>
      <c r="K45" s="105"/>
      <c r="L45" s="108">
        <f>SUM(J45:K45)-SUM(G45:H45)</f>
        <v>0</v>
      </c>
      <c r="M45" s="102"/>
      <c r="N45" s="107"/>
      <c r="O45" s="239"/>
      <c r="P45" s="109"/>
      <c r="Q45" s="106"/>
      <c r="S45" s="109"/>
      <c r="T45" s="102"/>
      <c r="U45" s="103"/>
    </row>
    <row r="46" spans="3:21" hidden="1">
      <c r="C46" s="104"/>
      <c r="E46" s="105"/>
      <c r="F46" s="105"/>
      <c r="G46" s="106"/>
      <c r="H46" s="106"/>
      <c r="I46" s="105"/>
      <c r="J46" s="106"/>
      <c r="K46" s="107"/>
      <c r="L46" s="108">
        <f>SUM(J46:K46)-SUM(G46:H46)</f>
        <v>0</v>
      </c>
      <c r="M46" s="102"/>
      <c r="N46" s="107"/>
      <c r="O46" s="239"/>
      <c r="P46" s="109"/>
      <c r="Q46" s="106"/>
      <c r="S46" s="109"/>
      <c r="T46" s="102"/>
      <c r="U46" s="103"/>
    </row>
    <row r="47" spans="3:21" ht="13" hidden="1" thickBot="1">
      <c r="C47" s="104"/>
      <c r="E47" s="110"/>
      <c r="F47" s="105"/>
      <c r="G47" s="106"/>
      <c r="H47" s="106"/>
      <c r="I47" s="105"/>
      <c r="J47" s="106"/>
      <c r="K47" s="107"/>
      <c r="L47" s="108">
        <f>SUM(J47:K47)-SUM(G47:H47)</f>
        <v>0</v>
      </c>
      <c r="M47" s="102"/>
      <c r="N47" s="107"/>
      <c r="O47" s="239"/>
      <c r="P47" s="109"/>
      <c r="Q47" s="106"/>
      <c r="S47" s="109"/>
      <c r="T47" s="102"/>
      <c r="U47" s="103"/>
    </row>
    <row r="48" spans="3:21" ht="13.5" hidden="1" customHeight="1" thickTop="1">
      <c r="C48" s="111" t="s">
        <v>859</v>
      </c>
      <c r="D48" s="112"/>
      <c r="E48" s="112"/>
      <c r="F48" s="112"/>
      <c r="G48" s="117">
        <f>SUM(G43:G47)</f>
        <v>0</v>
      </c>
      <c r="H48" s="117">
        <f>SUM(H43:H47)</f>
        <v>0</v>
      </c>
      <c r="I48" s="112"/>
      <c r="J48" s="117">
        <f>SUM(J43:J47)</f>
        <v>0</v>
      </c>
      <c r="K48" s="117">
        <f>SUM(K43:K47)</f>
        <v>0</v>
      </c>
      <c r="L48" s="114">
        <f>SUM(L43:L47)</f>
        <v>0</v>
      </c>
      <c r="M48" s="113">
        <f>SUM(M43:M47)</f>
        <v>0</v>
      </c>
      <c r="N48" s="115">
        <f>SUM(N43:N47)</f>
        <v>0</v>
      </c>
      <c r="O48" s="237"/>
      <c r="P48" s="116"/>
      <c r="Q48" s="117">
        <f>SUM(Q43:Q47)</f>
        <v>0</v>
      </c>
      <c r="R48" s="245"/>
      <c r="S48" s="116"/>
      <c r="T48" s="117">
        <f>SUM(T43:T47)</f>
        <v>0</v>
      </c>
      <c r="U48" s="118"/>
    </row>
    <row r="49" spans="3:21" ht="4.5" hidden="1" customHeight="1">
      <c r="C49" s="119"/>
      <c r="J49" s="106"/>
      <c r="K49" s="107"/>
      <c r="L49" s="122"/>
      <c r="M49" s="123"/>
      <c r="O49" s="238"/>
      <c r="P49" s="109"/>
      <c r="Q49" s="120"/>
      <c r="S49" s="109"/>
      <c r="T49" s="123"/>
      <c r="U49" s="103"/>
    </row>
    <row r="50" spans="3:21" ht="13">
      <c r="C50" s="1383" t="s">
        <v>918</v>
      </c>
      <c r="D50" s="1384"/>
      <c r="E50" s="1384"/>
      <c r="F50" s="1384"/>
      <c r="G50" s="1384"/>
      <c r="H50" s="1384"/>
      <c r="I50" s="1384"/>
      <c r="J50" s="1384"/>
      <c r="K50" s="1384"/>
      <c r="L50" s="1384"/>
      <c r="M50" s="1384"/>
      <c r="N50" s="1384"/>
      <c r="O50" s="1384"/>
      <c r="P50" s="1384"/>
      <c r="Q50" s="1384"/>
      <c r="R50" s="1384"/>
      <c r="S50" s="1384"/>
      <c r="T50" s="1384"/>
      <c r="U50" s="1385"/>
    </row>
    <row r="51" spans="3:21">
      <c r="C51" s="24"/>
      <c r="D51" s="28"/>
      <c r="E51" s="76"/>
      <c r="F51" s="76"/>
      <c r="G51" s="79"/>
      <c r="H51" s="86"/>
      <c r="I51" s="73"/>
      <c r="J51" s="79"/>
      <c r="K51" s="79"/>
      <c r="L51" s="101">
        <f>SUM(J51:K51)-SUM(G51:H51)</f>
        <v>0</v>
      </c>
      <c r="M51" s="83"/>
      <c r="N51" s="82"/>
      <c r="O51" s="235"/>
      <c r="P51" s="77"/>
      <c r="Q51" s="79"/>
      <c r="R51" s="244"/>
      <c r="S51" s="77"/>
      <c r="T51" s="81"/>
      <c r="U51" s="26"/>
    </row>
    <row r="52" spans="3:21">
      <c r="C52" s="27"/>
      <c r="D52" s="28"/>
      <c r="E52" s="74"/>
      <c r="F52" s="74"/>
      <c r="G52" s="80"/>
      <c r="H52" s="80"/>
      <c r="I52" s="74"/>
      <c r="J52" s="80"/>
      <c r="K52" s="74"/>
      <c r="L52" s="108">
        <f>SUM(J52:K52)-SUM(G52:H52)</f>
        <v>0</v>
      </c>
      <c r="M52" s="81"/>
      <c r="N52" s="84"/>
      <c r="O52" s="236"/>
      <c r="P52" s="78"/>
      <c r="Q52" s="80"/>
      <c r="R52" s="244"/>
      <c r="S52" s="78"/>
      <c r="T52" s="81"/>
      <c r="U52" s="26"/>
    </row>
    <row r="53" spans="3:21">
      <c r="C53" s="27"/>
      <c r="D53" s="28"/>
      <c r="E53" s="74"/>
      <c r="F53" s="74"/>
      <c r="G53" s="80"/>
      <c r="H53" s="74"/>
      <c r="I53" s="74"/>
      <c r="J53" s="80"/>
      <c r="K53" s="84"/>
      <c r="L53" s="108">
        <f>SUM(J53:K53)-SUM(G53:H53)</f>
        <v>0</v>
      </c>
      <c r="M53" s="81"/>
      <c r="N53" s="84"/>
      <c r="O53" s="236"/>
      <c r="P53" s="78"/>
      <c r="Q53" s="80"/>
      <c r="R53" s="244"/>
      <c r="S53" s="78"/>
      <c r="T53" s="81"/>
      <c r="U53" s="26"/>
    </row>
    <row r="54" spans="3:21">
      <c r="C54" s="27"/>
      <c r="D54" s="28"/>
      <c r="E54" s="74"/>
      <c r="F54" s="74"/>
      <c r="G54" s="80"/>
      <c r="H54" s="80"/>
      <c r="I54" s="74"/>
      <c r="J54" s="80"/>
      <c r="K54" s="84"/>
      <c r="L54" s="108">
        <f>SUM(J54:K54)-SUM(G54:H54)</f>
        <v>0</v>
      </c>
      <c r="M54" s="81"/>
      <c r="N54" s="84"/>
      <c r="O54" s="236"/>
      <c r="P54" s="78"/>
      <c r="Q54" s="80"/>
      <c r="R54" s="244"/>
      <c r="S54" s="78"/>
      <c r="T54" s="81"/>
      <c r="U54" s="26"/>
    </row>
    <row r="55" spans="3:21" ht="13" thickBot="1">
      <c r="C55" s="27"/>
      <c r="D55" s="28"/>
      <c r="E55" s="75"/>
      <c r="F55" s="74"/>
      <c r="G55" s="80"/>
      <c r="H55" s="80"/>
      <c r="I55" s="74"/>
      <c r="J55" s="80"/>
      <c r="K55" s="84"/>
      <c r="L55" s="108">
        <f>SUM(J55:K55)-SUM(G55:H55)</f>
        <v>0</v>
      </c>
      <c r="M55" s="81"/>
      <c r="N55" s="84"/>
      <c r="O55" s="236"/>
      <c r="P55" s="78"/>
      <c r="Q55" s="80"/>
      <c r="R55" s="244"/>
      <c r="S55" s="78"/>
      <c r="T55" s="81"/>
      <c r="U55" s="26"/>
    </row>
    <row r="56" spans="3:21" ht="13" thickTop="1">
      <c r="C56" s="111" t="s">
        <v>859</v>
      </c>
      <c r="D56" s="112"/>
      <c r="E56" s="112"/>
      <c r="F56" s="112"/>
      <c r="G56" s="117">
        <f>SUM(G51:G55)</f>
        <v>0</v>
      </c>
      <c r="H56" s="117">
        <f>SUM(H51:H55)</f>
        <v>0</v>
      </c>
      <c r="I56" s="112"/>
      <c r="J56" s="117">
        <f>SUM(J51:J55)</f>
        <v>0</v>
      </c>
      <c r="K56" s="117">
        <f>SUM(K51:K55)</f>
        <v>0</v>
      </c>
      <c r="L56" s="114">
        <f>SUM(L51:L55)</f>
        <v>0</v>
      </c>
      <c r="M56" s="113">
        <f>SUM(M51:M55)</f>
        <v>0</v>
      </c>
      <c r="N56" s="115">
        <f>SUM(N51:N55)</f>
        <v>0</v>
      </c>
      <c r="O56" s="237"/>
      <c r="P56" s="116"/>
      <c r="Q56" s="117">
        <f>SUM(Q51:Q55)</f>
        <v>0</v>
      </c>
      <c r="R56" s="245"/>
      <c r="S56" s="116"/>
      <c r="T56" s="117">
        <f>SUM(T51:T55)</f>
        <v>0</v>
      </c>
      <c r="U56" s="118"/>
    </row>
    <row r="57" spans="3:21" ht="4.5" customHeight="1">
      <c r="C57" s="119"/>
      <c r="G57" s="120"/>
      <c r="H57" s="120"/>
      <c r="I57" s="121"/>
      <c r="J57" s="106"/>
      <c r="K57" s="107"/>
      <c r="L57" s="122"/>
      <c r="M57" s="123"/>
      <c r="O57" s="238"/>
      <c r="P57" s="109"/>
      <c r="Q57" s="120"/>
      <c r="S57" s="109"/>
      <c r="T57" s="123"/>
      <c r="U57" s="103"/>
    </row>
    <row r="58" spans="3:21" ht="13">
      <c r="C58" s="1383" t="s">
        <v>919</v>
      </c>
      <c r="D58" s="1384"/>
      <c r="E58" s="1384"/>
      <c r="F58" s="1384"/>
      <c r="G58" s="1384"/>
      <c r="H58" s="1384"/>
      <c r="I58" s="1384"/>
      <c r="J58" s="1384"/>
      <c r="K58" s="1384"/>
      <c r="L58" s="1384"/>
      <c r="M58" s="1384"/>
      <c r="N58" s="1384"/>
      <c r="O58" s="1384"/>
      <c r="P58" s="1384"/>
      <c r="Q58" s="1384"/>
      <c r="R58" s="1384"/>
      <c r="S58" s="1384"/>
      <c r="T58" s="1384"/>
      <c r="U58" s="1385"/>
    </row>
    <row r="59" spans="3:21" ht="13">
      <c r="C59" s="376"/>
      <c r="D59" s="28"/>
      <c r="E59" s="76"/>
      <c r="F59" s="76"/>
      <c r="G59" s="79"/>
      <c r="H59" s="86"/>
      <c r="I59" s="73"/>
      <c r="J59" s="79"/>
      <c r="K59" s="79"/>
      <c r="L59" s="101">
        <f>SUM(J59:K59)-SUM(G59:H59)</f>
        <v>0</v>
      </c>
      <c r="M59" s="83"/>
      <c r="N59" s="82"/>
      <c r="O59" s="235"/>
      <c r="P59" s="77"/>
      <c r="Q59" s="79"/>
      <c r="R59" s="246"/>
      <c r="S59" s="77"/>
      <c r="T59" s="79"/>
      <c r="U59" s="29"/>
    </row>
    <row r="60" spans="3:21" ht="13">
      <c r="C60" s="30"/>
      <c r="D60" s="28"/>
      <c r="E60" s="74"/>
      <c r="F60" s="74"/>
      <c r="G60" s="80"/>
      <c r="H60" s="80"/>
      <c r="I60" s="74"/>
      <c r="J60" s="80"/>
      <c r="K60" s="80"/>
      <c r="L60" s="108">
        <f>SUM(J60:K60)-SUM(G60:H60)</f>
        <v>0</v>
      </c>
      <c r="M60" s="81"/>
      <c r="N60" s="84"/>
      <c r="O60" s="236"/>
      <c r="P60" s="78"/>
      <c r="Q60" s="80"/>
      <c r="R60" s="244"/>
      <c r="S60" s="78"/>
      <c r="T60" s="80"/>
      <c r="U60" s="26"/>
    </row>
    <row r="61" spans="3:21" ht="13">
      <c r="C61" s="30"/>
      <c r="D61" s="28"/>
      <c r="E61" s="74"/>
      <c r="F61" s="74"/>
      <c r="G61" s="80"/>
      <c r="H61" s="80"/>
      <c r="I61" s="74"/>
      <c r="J61" s="80"/>
      <c r="K61" s="74"/>
      <c r="L61" s="108">
        <f>SUM(J61:K61)-SUM(G61:H61)</f>
        <v>0</v>
      </c>
      <c r="M61" s="81"/>
      <c r="N61" s="84"/>
      <c r="O61" s="236"/>
      <c r="P61" s="78"/>
      <c r="Q61" s="80"/>
      <c r="R61" s="244"/>
      <c r="S61" s="78"/>
      <c r="T61" s="80"/>
      <c r="U61" s="26"/>
    </row>
    <row r="62" spans="3:21" ht="13">
      <c r="C62" s="30"/>
      <c r="D62" s="28"/>
      <c r="E62" s="74"/>
      <c r="F62" s="74"/>
      <c r="G62" s="80"/>
      <c r="H62" s="74"/>
      <c r="I62" s="74"/>
      <c r="J62" s="80"/>
      <c r="K62" s="84"/>
      <c r="L62" s="108">
        <f>SUM(J62:K62)-SUM(G62:H62)</f>
        <v>0</v>
      </c>
      <c r="M62" s="81"/>
      <c r="N62" s="84"/>
      <c r="O62" s="236"/>
      <c r="P62" s="78"/>
      <c r="Q62" s="80"/>
      <c r="R62" s="244"/>
      <c r="S62" s="78"/>
      <c r="T62" s="80"/>
      <c r="U62" s="26"/>
    </row>
    <row r="63" spans="3:21" ht="13" thickBot="1">
      <c r="C63" s="27"/>
      <c r="D63" s="28"/>
      <c r="E63" s="75"/>
      <c r="F63" s="75"/>
      <c r="G63" s="85"/>
      <c r="H63" s="85"/>
      <c r="I63" s="75"/>
      <c r="J63" s="85"/>
      <c r="K63" s="84"/>
      <c r="L63" s="108">
        <f>SUM(J63:K63)-SUM(G63:H63)</f>
        <v>0</v>
      </c>
      <c r="M63" s="81"/>
      <c r="N63" s="84"/>
      <c r="O63" s="240"/>
      <c r="P63" s="78"/>
      <c r="Q63" s="80"/>
      <c r="R63" s="244"/>
      <c r="S63" s="78"/>
      <c r="T63" s="81"/>
      <c r="U63" s="26"/>
    </row>
    <row r="64" spans="3:21" ht="13" thickTop="1">
      <c r="C64" s="111" t="s">
        <v>859</v>
      </c>
      <c r="D64" s="112"/>
      <c r="E64" s="112"/>
      <c r="F64" s="112"/>
      <c r="G64" s="117">
        <f>SUM(G59:G63)</f>
        <v>0</v>
      </c>
      <c r="H64" s="117">
        <f>SUM(H59:H63)</f>
        <v>0</v>
      </c>
      <c r="I64" s="112"/>
      <c r="J64" s="117">
        <f>SUM(J59:J63)</f>
        <v>0</v>
      </c>
      <c r="K64" s="117">
        <f>SUM(K59:K63)</f>
        <v>0</v>
      </c>
      <c r="L64" s="114">
        <f>SUM(L59:L63)</f>
        <v>0</v>
      </c>
      <c r="M64" s="113">
        <f>SUM(M59:M63)</f>
        <v>0</v>
      </c>
      <c r="N64" s="115">
        <f>SUM(N59:N63)</f>
        <v>0</v>
      </c>
      <c r="O64" s="237"/>
      <c r="P64" s="116"/>
      <c r="Q64" s="117">
        <f>SUM(Q59:Q63)</f>
        <v>0</v>
      </c>
      <c r="R64" s="245"/>
      <c r="S64" s="116"/>
      <c r="T64" s="117">
        <f>SUM(T59:T63)</f>
        <v>0</v>
      </c>
      <c r="U64" s="118"/>
    </row>
    <row r="65" spans="3:45" ht="4.5" customHeight="1">
      <c r="C65" s="119"/>
      <c r="G65" s="120"/>
      <c r="H65" s="120"/>
      <c r="I65" s="121"/>
      <c r="J65" s="106"/>
      <c r="K65" s="107"/>
      <c r="L65" s="122"/>
      <c r="M65" s="123"/>
      <c r="O65" s="238"/>
      <c r="P65" s="109"/>
      <c r="Q65" s="120"/>
      <c r="S65" s="109"/>
      <c r="T65" s="123"/>
      <c r="U65" s="103"/>
    </row>
    <row r="66" spans="3:45" ht="13">
      <c r="C66" s="1383" t="s">
        <v>920</v>
      </c>
      <c r="D66" s="1384"/>
      <c r="E66" s="1384"/>
      <c r="F66" s="1384"/>
      <c r="G66" s="1384"/>
      <c r="H66" s="1384"/>
      <c r="I66" s="1384"/>
      <c r="J66" s="1384"/>
      <c r="K66" s="1384"/>
      <c r="L66" s="1384"/>
      <c r="M66" s="1384"/>
      <c r="N66" s="1384"/>
      <c r="O66" s="1384"/>
      <c r="P66" s="1384"/>
      <c r="Q66" s="1384"/>
      <c r="R66" s="1384"/>
      <c r="S66" s="1384"/>
      <c r="T66" s="1384"/>
      <c r="U66" s="1385"/>
    </row>
    <row r="67" spans="3:45">
      <c r="C67" s="24"/>
      <c r="D67" s="28"/>
      <c r="E67" s="76"/>
      <c r="F67" s="76"/>
      <c r="G67" s="79"/>
      <c r="H67" s="86"/>
      <c r="I67" s="73"/>
      <c r="J67" s="79"/>
      <c r="K67" s="79"/>
      <c r="L67" s="125">
        <f>SUM(J67:K67)-SUM(G67:H67)</f>
        <v>0</v>
      </c>
      <c r="M67" s="83"/>
      <c r="N67" s="82"/>
      <c r="O67" s="235"/>
      <c r="P67" s="77"/>
      <c r="Q67" s="79"/>
      <c r="R67" s="244"/>
      <c r="S67" s="77"/>
      <c r="T67" s="81"/>
      <c r="U67" s="26"/>
    </row>
    <row r="68" spans="3:45">
      <c r="C68" s="27"/>
      <c r="D68" s="28"/>
      <c r="E68" s="74"/>
      <c r="F68" s="74"/>
      <c r="G68" s="80"/>
      <c r="H68" s="74"/>
      <c r="I68" s="74"/>
      <c r="J68" s="80"/>
      <c r="K68" s="80"/>
      <c r="L68" s="126">
        <f>SUM(J68:K68)-SUM(G68:H68)</f>
        <v>0</v>
      </c>
      <c r="M68" s="81"/>
      <c r="N68" s="84"/>
      <c r="O68" s="236"/>
      <c r="P68" s="78"/>
      <c r="Q68" s="80"/>
      <c r="R68" s="244"/>
      <c r="S68" s="78"/>
      <c r="T68" s="81"/>
      <c r="U68" s="26"/>
    </row>
    <row r="69" spans="3:45">
      <c r="C69" s="27"/>
      <c r="D69" s="28"/>
      <c r="E69" s="74"/>
      <c r="F69" s="74"/>
      <c r="G69" s="80"/>
      <c r="H69" s="80"/>
      <c r="I69" s="74"/>
      <c r="J69" s="80"/>
      <c r="K69" s="80"/>
      <c r="L69" s="126">
        <f>SUM(J69:K69)-SUM(G69:H69)</f>
        <v>0</v>
      </c>
      <c r="M69" s="81"/>
      <c r="N69" s="84"/>
      <c r="O69" s="236"/>
      <c r="P69" s="78"/>
      <c r="Q69" s="80"/>
      <c r="R69" s="244"/>
      <c r="S69" s="78"/>
      <c r="T69" s="81"/>
      <c r="U69" s="26"/>
    </row>
    <row r="70" spans="3:45" ht="13" thickBot="1">
      <c r="C70" s="27"/>
      <c r="D70" s="28"/>
      <c r="E70" s="75"/>
      <c r="F70" s="74"/>
      <c r="G70" s="80"/>
      <c r="H70" s="80"/>
      <c r="I70" s="74"/>
      <c r="J70" s="80"/>
      <c r="K70" s="80"/>
      <c r="L70" s="126">
        <f>SUM(J70:K70)-SUM(G70:H70)</f>
        <v>0</v>
      </c>
      <c r="M70" s="81"/>
      <c r="N70" s="84"/>
      <c r="O70" s="236"/>
      <c r="P70" s="78"/>
      <c r="Q70" s="80"/>
      <c r="R70" s="244"/>
      <c r="S70" s="78"/>
      <c r="T70" s="81"/>
      <c r="U70" s="26"/>
    </row>
    <row r="71" spans="3:45" ht="13" thickTop="1">
      <c r="C71" s="111" t="s">
        <v>859</v>
      </c>
      <c r="D71" s="112"/>
      <c r="E71" s="112"/>
      <c r="F71" s="112"/>
      <c r="G71" s="117">
        <f>SUM(G67:G70)</f>
        <v>0</v>
      </c>
      <c r="H71" s="117">
        <f>SUM(H67:H70)</f>
        <v>0</v>
      </c>
      <c r="I71" s="112"/>
      <c r="J71" s="117">
        <f>SUM(J67:J70)</f>
        <v>0</v>
      </c>
      <c r="K71" s="117">
        <f>SUM(K67:K70)</f>
        <v>0</v>
      </c>
      <c r="L71" s="114">
        <f>SUM(L67:L70)</f>
        <v>0</v>
      </c>
      <c r="M71" s="113">
        <f>SUM(M67:M70)</f>
        <v>0</v>
      </c>
      <c r="N71" s="115">
        <f>SUM(N67:N70)</f>
        <v>0</v>
      </c>
      <c r="O71" s="237"/>
      <c r="P71" s="116"/>
      <c r="Q71" s="117">
        <f>SUM(Q67:Q70)</f>
        <v>0</v>
      </c>
      <c r="R71" s="245"/>
      <c r="S71" s="116"/>
      <c r="T71" s="117">
        <f>SUM(T67:T70)</f>
        <v>0</v>
      </c>
      <c r="U71" s="118"/>
    </row>
    <row r="72" spans="3:45" ht="4.5" customHeight="1" thickBot="1">
      <c r="C72" s="127"/>
      <c r="G72" s="298"/>
      <c r="H72" s="298"/>
      <c r="I72" s="110"/>
      <c r="J72" s="106"/>
      <c r="K72" s="107"/>
      <c r="L72" s="108"/>
      <c r="M72" s="102"/>
      <c r="O72" s="239"/>
      <c r="P72" s="109"/>
      <c r="Q72" s="106"/>
      <c r="S72" s="109"/>
      <c r="T72" s="102"/>
      <c r="U72" s="103"/>
    </row>
    <row r="73" spans="3:45" ht="19.5" customHeight="1" thickTop="1" thickBot="1">
      <c r="C73" s="1380" t="s">
        <v>155</v>
      </c>
      <c r="D73" s="1381"/>
      <c r="E73" s="1382"/>
      <c r="F73" s="128"/>
      <c r="G73" s="129">
        <f>SUM(G71,G64,G56,G48,G40,G28)</f>
        <v>0</v>
      </c>
      <c r="H73" s="129">
        <f>SUM(H71,H64,H56,H48,H40,H28)</f>
        <v>0</v>
      </c>
      <c r="I73" s="128"/>
      <c r="J73" s="129">
        <f>SUM(J71,J64,J56,J48,J40,J28)</f>
        <v>0</v>
      </c>
      <c r="K73" s="129">
        <f>SUM(K71,K64,K56,K48,K40,K28)</f>
        <v>0</v>
      </c>
      <c r="L73" s="130">
        <f>SUM(L71,L64,L56,L48,L40,L28)</f>
        <v>0</v>
      </c>
      <c r="M73" s="131">
        <f>SUM(M71,M64,M56,M48,M40,M28)</f>
        <v>0</v>
      </c>
      <c r="N73" s="132">
        <f>SUM(N28,N40,N48,N56,N64,N71)</f>
        <v>0</v>
      </c>
      <c r="O73" s="241"/>
      <c r="P73" s="133"/>
      <c r="Q73" s="134"/>
      <c r="R73" s="247"/>
      <c r="S73" s="133"/>
      <c r="T73" s="134"/>
      <c r="U73" s="135"/>
    </row>
    <row r="74" spans="3:45" ht="13.5" customHeight="1" thickTop="1">
      <c r="C74" s="136"/>
      <c r="D74" s="137"/>
      <c r="E74" s="137"/>
      <c r="F74" s="137"/>
      <c r="G74" s="1391" t="s">
        <v>231</v>
      </c>
      <c r="H74" s="1392"/>
      <c r="I74" s="137"/>
      <c r="J74" s="1391" t="s">
        <v>230</v>
      </c>
      <c r="K74" s="1392"/>
      <c r="L74" s="138"/>
      <c r="M74" s="1376" t="s">
        <v>154</v>
      </c>
      <c r="N74" s="1377"/>
      <c r="O74" s="242"/>
      <c r="P74" s="139"/>
      <c r="Q74" s="140"/>
      <c r="R74" s="248"/>
      <c r="S74" s="139"/>
      <c r="T74" s="140"/>
      <c r="U74" s="141"/>
    </row>
    <row r="75" spans="3:45" ht="18" customHeight="1" thickBot="1">
      <c r="C75" s="260"/>
      <c r="D75" s="261"/>
      <c r="E75" s="142" t="s">
        <v>5655</v>
      </c>
      <c r="F75" s="142"/>
      <c r="G75" s="1389">
        <f>G73+H73</f>
        <v>0</v>
      </c>
      <c r="H75" s="1390"/>
      <c r="I75" s="142"/>
      <c r="J75" s="1397">
        <f>J73+K73</f>
        <v>0</v>
      </c>
      <c r="K75" s="1398"/>
      <c r="L75" s="143">
        <f>L73</f>
        <v>0</v>
      </c>
      <c r="M75" s="1374">
        <f>SUM(M73,N73)</f>
        <v>0</v>
      </c>
      <c r="N75" s="1375"/>
      <c r="O75" s="243"/>
      <c r="P75" s="144"/>
      <c r="Q75" s="145"/>
      <c r="R75" s="249"/>
      <c r="S75" s="144"/>
      <c r="T75" s="145"/>
      <c r="U75" s="146"/>
    </row>
    <row r="76" spans="3:45" ht="7.5" customHeight="1">
      <c r="Y76" s="830"/>
    </row>
    <row r="77" spans="3:45">
      <c r="W77" s="597"/>
      <c r="X77" s="597"/>
      <c r="Y77" s="597"/>
      <c r="Z77" s="597"/>
      <c r="AA77" s="597"/>
      <c r="AB77" s="597"/>
      <c r="AC77" s="597"/>
    </row>
    <row r="79" spans="3:45" ht="18.75" customHeight="1">
      <c r="C79" s="862" t="s">
        <v>5654</v>
      </c>
      <c r="D79" s="862"/>
      <c r="E79" s="862"/>
      <c r="F79" s="862"/>
      <c r="G79" s="862"/>
      <c r="H79" s="862"/>
      <c r="I79" s="862"/>
      <c r="J79" s="862"/>
      <c r="K79" s="862"/>
      <c r="L79" s="862"/>
      <c r="M79" s="862"/>
      <c r="N79" s="862"/>
      <c r="O79" s="862"/>
      <c r="P79" s="862"/>
      <c r="Q79" s="862"/>
      <c r="R79" s="862"/>
      <c r="S79" s="862"/>
      <c r="T79" s="862"/>
      <c r="U79" s="862"/>
      <c r="V79" s="862"/>
      <c r="W79" s="862"/>
      <c r="X79" s="862"/>
      <c r="Y79" s="862"/>
      <c r="Z79" s="862"/>
      <c r="AA79" s="862"/>
      <c r="AB79" s="862"/>
      <c r="AC79" s="862"/>
      <c r="AD79" s="476"/>
      <c r="AE79" s="476"/>
      <c r="AF79" s="476"/>
      <c r="AG79" s="476"/>
      <c r="AH79" s="476"/>
      <c r="AI79" s="476"/>
      <c r="AJ79" s="476"/>
      <c r="AK79" s="476"/>
      <c r="AL79" s="476"/>
      <c r="AM79" s="476"/>
      <c r="AN79" s="476"/>
      <c r="AO79" s="476"/>
      <c r="AP79" s="476"/>
      <c r="AQ79" s="476"/>
      <c r="AR79" s="476"/>
      <c r="AS79" s="476"/>
    </row>
    <row r="80" spans="3:45" ht="13">
      <c r="C80" s="831"/>
      <c r="D80" s="831"/>
      <c r="E80" s="831"/>
      <c r="F80" s="831"/>
      <c r="G80" s="831"/>
      <c r="H80" s="831"/>
      <c r="I80" s="831"/>
      <c r="J80" s="831"/>
      <c r="K80" s="831"/>
      <c r="L80" s="831"/>
      <c r="M80" s="51"/>
      <c r="N80" s="51"/>
      <c r="O80" s="51"/>
      <c r="P80" s="51"/>
      <c r="Q80" s="51"/>
      <c r="R80" s="51"/>
      <c r="S80" s="51"/>
      <c r="T80" s="51"/>
      <c r="AD80" s="476"/>
      <c r="AE80" s="476"/>
      <c r="AF80" s="476"/>
      <c r="AG80" s="476"/>
      <c r="AH80" s="476"/>
      <c r="AI80" s="476"/>
      <c r="AJ80" s="476"/>
      <c r="AK80" s="476"/>
      <c r="AL80" s="476"/>
      <c r="AM80" s="476"/>
      <c r="AN80" s="476"/>
      <c r="AO80" s="476"/>
      <c r="AP80" s="476"/>
      <c r="AQ80" s="476"/>
      <c r="AR80" s="476"/>
      <c r="AS80" s="476"/>
    </row>
    <row r="81" spans="3:45" ht="24.75" customHeight="1">
      <c r="C81" s="1319" t="s">
        <v>5616</v>
      </c>
      <c r="D81" s="1319"/>
      <c r="E81" s="1319"/>
      <c r="F81" s="1319"/>
      <c r="G81" s="1319"/>
      <c r="H81" s="1319"/>
      <c r="I81" s="832"/>
      <c r="J81" s="832"/>
      <c r="K81" s="832"/>
      <c r="L81" s="832"/>
      <c r="M81" s="832"/>
      <c r="N81" s="832"/>
      <c r="O81" s="832"/>
      <c r="P81" s="832"/>
      <c r="Q81" s="832"/>
      <c r="R81" s="832"/>
      <c r="S81" s="832"/>
      <c r="T81" s="832"/>
      <c r="U81" s="832"/>
      <c r="V81" s="832"/>
      <c r="W81" s="833"/>
      <c r="X81" s="833"/>
      <c r="Y81" s="833"/>
      <c r="Z81" s="833"/>
      <c r="AA81" s="833"/>
      <c r="AB81" s="833"/>
      <c r="AC81" s="833"/>
      <c r="AD81" s="599"/>
      <c r="AE81" s="599"/>
      <c r="AF81" s="599"/>
      <c r="AG81" s="599"/>
      <c r="AH81" s="599"/>
      <c r="AI81" s="599"/>
      <c r="AJ81" s="599"/>
      <c r="AK81" s="599"/>
      <c r="AL81" s="599"/>
      <c r="AM81" s="599"/>
      <c r="AN81" s="599"/>
      <c r="AO81" s="599"/>
      <c r="AP81" s="599"/>
      <c r="AQ81" s="599"/>
      <c r="AR81" s="599"/>
      <c r="AS81" s="599"/>
    </row>
    <row r="83" spans="3:45" s="585" customFormat="1">
      <c r="G83" s="589"/>
      <c r="H83" s="589"/>
      <c r="J83" s="589"/>
      <c r="K83" s="589"/>
      <c r="L83" s="589"/>
      <c r="M83" s="589"/>
      <c r="N83" s="589"/>
      <c r="O83" s="590"/>
      <c r="P83" s="591"/>
      <c r="Q83" s="589"/>
      <c r="R83" s="590"/>
      <c r="S83" s="591"/>
      <c r="T83" s="589"/>
    </row>
    <row r="84" spans="3:45" s="585" customFormat="1">
      <c r="G84" s="589"/>
      <c r="H84" s="589"/>
      <c r="J84" s="589"/>
      <c r="K84" s="589"/>
      <c r="L84" s="589"/>
      <c r="M84" s="589"/>
      <c r="N84" s="589"/>
      <c r="O84" s="590"/>
      <c r="P84" s="591"/>
      <c r="Q84" s="589"/>
      <c r="R84" s="590"/>
      <c r="S84" s="591"/>
      <c r="T84" s="589"/>
    </row>
    <row r="85" spans="3:45" s="585" customFormat="1">
      <c r="G85" s="589"/>
      <c r="H85" s="589"/>
      <c r="J85" s="589"/>
      <c r="K85" s="589"/>
      <c r="L85" s="589"/>
      <c r="M85" s="589"/>
      <c r="N85" s="589"/>
      <c r="O85" s="590"/>
      <c r="P85" s="591"/>
      <c r="Q85" s="589"/>
      <c r="R85" s="590"/>
      <c r="S85" s="591"/>
      <c r="T85" s="589"/>
    </row>
    <row r="86" spans="3:45" s="585" customFormat="1">
      <c r="G86" s="589"/>
      <c r="H86" s="589"/>
      <c r="J86" s="589"/>
      <c r="K86" s="589"/>
      <c r="L86" s="589"/>
      <c r="M86" s="589"/>
      <c r="N86" s="589"/>
      <c r="O86" s="590"/>
      <c r="P86" s="591"/>
      <c r="Q86" s="589"/>
      <c r="R86" s="590"/>
      <c r="S86" s="591"/>
      <c r="T86" s="589"/>
    </row>
    <row r="87" spans="3:45" s="585" customFormat="1">
      <c r="G87" s="589"/>
      <c r="H87" s="589"/>
      <c r="J87" s="589"/>
      <c r="K87" s="589"/>
      <c r="L87" s="589"/>
      <c r="M87" s="589"/>
      <c r="N87" s="589"/>
      <c r="O87" s="590"/>
      <c r="P87" s="591"/>
      <c r="Q87" s="589"/>
      <c r="R87" s="590"/>
      <c r="S87" s="591"/>
      <c r="T87" s="589"/>
    </row>
    <row r="88" spans="3:45" s="585" customFormat="1">
      <c r="G88" s="589"/>
      <c r="H88" s="589"/>
      <c r="J88" s="589"/>
      <c r="K88" s="589"/>
      <c r="L88" s="589"/>
      <c r="M88" s="589"/>
      <c r="N88" s="589"/>
      <c r="O88" s="590"/>
      <c r="P88" s="591"/>
      <c r="Q88" s="589"/>
      <c r="R88" s="590"/>
      <c r="S88" s="591"/>
      <c r="T88" s="589"/>
    </row>
    <row r="89" spans="3:45" s="585" customFormat="1">
      <c r="G89" s="589"/>
      <c r="H89" s="589"/>
      <c r="J89" s="589"/>
      <c r="K89" s="589"/>
      <c r="L89" s="589"/>
      <c r="M89" s="589"/>
      <c r="N89" s="589"/>
      <c r="O89" s="590"/>
      <c r="P89" s="591"/>
      <c r="Q89" s="589"/>
      <c r="R89" s="590"/>
      <c r="S89" s="591"/>
      <c r="T89" s="589"/>
    </row>
    <row r="90" spans="3:45" s="585" customFormat="1">
      <c r="G90" s="589"/>
      <c r="H90" s="589"/>
      <c r="J90" s="589"/>
      <c r="K90" s="589"/>
      <c r="L90" s="589"/>
      <c r="M90" s="589"/>
      <c r="N90" s="589"/>
      <c r="O90" s="590"/>
      <c r="P90" s="591"/>
      <c r="Q90" s="589"/>
      <c r="R90" s="590"/>
      <c r="S90" s="591"/>
      <c r="T90" s="589"/>
    </row>
    <row r="91" spans="3:45" s="585" customFormat="1">
      <c r="G91" s="589"/>
      <c r="H91" s="589"/>
      <c r="J91" s="589"/>
      <c r="K91" s="589"/>
      <c r="L91" s="589"/>
      <c r="M91" s="589"/>
      <c r="N91" s="589"/>
      <c r="O91" s="590"/>
      <c r="P91" s="591"/>
      <c r="Q91" s="589"/>
      <c r="R91" s="590"/>
      <c r="S91" s="591"/>
      <c r="T91" s="589"/>
    </row>
    <row r="92" spans="3:45" s="585" customFormat="1">
      <c r="G92" s="589"/>
      <c r="H92" s="589"/>
      <c r="J92" s="589"/>
      <c r="K92" s="589"/>
      <c r="L92" s="589"/>
      <c r="M92" s="589"/>
      <c r="N92" s="589"/>
      <c r="O92" s="590"/>
      <c r="P92" s="591"/>
      <c r="Q92" s="589"/>
      <c r="R92" s="590"/>
      <c r="S92" s="591"/>
      <c r="T92" s="589"/>
    </row>
    <row r="93" spans="3:45" s="585" customFormat="1">
      <c r="G93" s="589"/>
      <c r="H93" s="589"/>
      <c r="J93" s="589"/>
      <c r="K93" s="589"/>
      <c r="L93" s="589"/>
      <c r="M93" s="589"/>
      <c r="N93" s="589"/>
      <c r="O93" s="590"/>
      <c r="P93" s="591"/>
      <c r="Q93" s="589"/>
      <c r="R93" s="590"/>
      <c r="S93" s="591"/>
      <c r="T93" s="589"/>
    </row>
    <row r="94" spans="3:45" s="585" customFormat="1">
      <c r="G94" s="589"/>
      <c r="H94" s="589"/>
      <c r="J94" s="589"/>
      <c r="K94" s="589"/>
      <c r="L94" s="589"/>
      <c r="M94" s="589"/>
      <c r="N94" s="589"/>
      <c r="O94" s="590"/>
      <c r="P94" s="591"/>
      <c r="Q94" s="589"/>
      <c r="R94" s="590"/>
      <c r="S94" s="591"/>
      <c r="T94" s="589"/>
    </row>
    <row r="95" spans="3:45" s="585" customFormat="1">
      <c r="G95" s="589"/>
      <c r="H95" s="589"/>
      <c r="J95" s="589"/>
      <c r="K95" s="589"/>
      <c r="L95" s="589"/>
      <c r="M95" s="589"/>
      <c r="N95" s="589"/>
      <c r="O95" s="590"/>
      <c r="P95" s="591"/>
      <c r="Q95" s="589"/>
      <c r="R95" s="590"/>
      <c r="S95" s="591"/>
      <c r="T95" s="589"/>
    </row>
    <row r="96" spans="3:45" s="585" customFormat="1">
      <c r="G96" s="589"/>
      <c r="H96" s="589"/>
      <c r="J96" s="589"/>
      <c r="K96" s="589"/>
      <c r="L96" s="589"/>
      <c r="M96" s="589"/>
      <c r="N96" s="589"/>
      <c r="O96" s="590"/>
      <c r="P96" s="591"/>
      <c r="Q96" s="589"/>
      <c r="R96" s="590"/>
      <c r="S96" s="591"/>
      <c r="T96" s="589"/>
    </row>
    <row r="97" spans="7:20" s="585" customFormat="1">
      <c r="G97" s="589"/>
      <c r="H97" s="589"/>
      <c r="J97" s="589"/>
      <c r="K97" s="589"/>
      <c r="L97" s="589"/>
      <c r="M97" s="589"/>
      <c r="N97" s="589"/>
      <c r="O97" s="590"/>
      <c r="P97" s="591"/>
      <c r="Q97" s="589"/>
      <c r="R97" s="590"/>
      <c r="S97" s="591"/>
      <c r="T97" s="589"/>
    </row>
    <row r="98" spans="7:20" s="585" customFormat="1">
      <c r="G98" s="589"/>
      <c r="H98" s="589"/>
      <c r="J98" s="589"/>
      <c r="K98" s="589"/>
      <c r="L98" s="589"/>
      <c r="M98" s="589"/>
      <c r="N98" s="589"/>
      <c r="O98" s="590"/>
      <c r="P98" s="591"/>
      <c r="Q98" s="589"/>
      <c r="R98" s="590"/>
      <c r="S98" s="591"/>
      <c r="T98" s="589"/>
    </row>
    <row r="99" spans="7:20" s="585" customFormat="1">
      <c r="G99" s="589"/>
      <c r="H99" s="589"/>
      <c r="J99" s="589"/>
      <c r="K99" s="589"/>
      <c r="L99" s="589"/>
      <c r="M99" s="589"/>
      <c r="N99" s="589"/>
      <c r="O99" s="590"/>
      <c r="P99" s="591"/>
      <c r="Q99" s="589"/>
      <c r="R99" s="590"/>
      <c r="S99" s="591"/>
      <c r="T99" s="589"/>
    </row>
    <row r="100" spans="7:20" s="585" customFormat="1">
      <c r="G100" s="589"/>
      <c r="H100" s="589"/>
      <c r="J100" s="589"/>
      <c r="K100" s="589"/>
      <c r="L100" s="589"/>
      <c r="M100" s="589"/>
      <c r="N100" s="589"/>
      <c r="O100" s="590"/>
      <c r="P100" s="591"/>
      <c r="Q100" s="589"/>
      <c r="R100" s="590"/>
      <c r="S100" s="591"/>
      <c r="T100" s="589"/>
    </row>
    <row r="101" spans="7:20" s="585" customFormat="1">
      <c r="G101" s="589"/>
      <c r="H101" s="589"/>
      <c r="J101" s="589"/>
      <c r="K101" s="589"/>
      <c r="L101" s="589"/>
      <c r="M101" s="589"/>
      <c r="N101" s="589"/>
      <c r="O101" s="590"/>
      <c r="P101" s="591"/>
      <c r="Q101" s="589"/>
      <c r="R101" s="590"/>
      <c r="S101" s="591"/>
      <c r="T101" s="589"/>
    </row>
    <row r="102" spans="7:20" s="585" customFormat="1">
      <c r="G102" s="589"/>
      <c r="H102" s="589"/>
      <c r="J102" s="589"/>
      <c r="K102" s="589"/>
      <c r="L102" s="589"/>
      <c r="M102" s="589"/>
      <c r="N102" s="589"/>
      <c r="O102" s="590"/>
      <c r="P102" s="591"/>
      <c r="Q102" s="589"/>
      <c r="R102" s="590"/>
      <c r="S102" s="591"/>
      <c r="T102" s="589"/>
    </row>
    <row r="103" spans="7:20" s="585" customFormat="1">
      <c r="G103" s="589"/>
      <c r="H103" s="589"/>
      <c r="J103" s="589"/>
      <c r="K103" s="589"/>
      <c r="L103" s="589"/>
      <c r="M103" s="589"/>
      <c r="N103" s="589"/>
      <c r="O103" s="590"/>
      <c r="P103" s="591"/>
      <c r="Q103" s="589"/>
      <c r="R103" s="590"/>
      <c r="S103" s="591"/>
      <c r="T103" s="589"/>
    </row>
    <row r="104" spans="7:20" s="585" customFormat="1">
      <c r="G104" s="589"/>
      <c r="H104" s="589"/>
      <c r="J104" s="589"/>
      <c r="K104" s="589"/>
      <c r="L104" s="589"/>
      <c r="M104" s="589"/>
      <c r="N104" s="589"/>
      <c r="O104" s="590"/>
      <c r="P104" s="591"/>
      <c r="Q104" s="589"/>
      <c r="R104" s="590"/>
      <c r="S104" s="591"/>
      <c r="T104" s="589"/>
    </row>
    <row r="105" spans="7:20" s="585" customFormat="1">
      <c r="G105" s="589"/>
      <c r="H105" s="589"/>
      <c r="J105" s="589"/>
      <c r="K105" s="589"/>
      <c r="L105" s="589"/>
      <c r="M105" s="589"/>
      <c r="N105" s="589"/>
      <c r="O105" s="590"/>
      <c r="P105" s="591"/>
      <c r="Q105" s="589"/>
      <c r="R105" s="590"/>
      <c r="S105" s="591"/>
      <c r="T105" s="589"/>
    </row>
    <row r="106" spans="7:20" s="585" customFormat="1">
      <c r="G106" s="589"/>
      <c r="H106" s="589"/>
      <c r="J106" s="589"/>
      <c r="K106" s="589"/>
      <c r="L106" s="589"/>
      <c r="M106" s="589"/>
      <c r="N106" s="589"/>
      <c r="O106" s="590"/>
      <c r="P106" s="591"/>
      <c r="Q106" s="589"/>
      <c r="R106" s="590"/>
      <c r="S106" s="591"/>
      <c r="T106" s="589"/>
    </row>
    <row r="107" spans="7:20" s="585" customFormat="1">
      <c r="G107" s="589"/>
      <c r="H107" s="589"/>
      <c r="J107" s="589"/>
      <c r="K107" s="589"/>
      <c r="L107" s="589"/>
      <c r="M107" s="589"/>
      <c r="N107" s="589"/>
      <c r="O107" s="590"/>
      <c r="P107" s="591"/>
      <c r="Q107" s="589"/>
      <c r="R107" s="590"/>
      <c r="S107" s="591"/>
      <c r="T107" s="589"/>
    </row>
    <row r="108" spans="7:20" s="585" customFormat="1">
      <c r="G108" s="589"/>
      <c r="H108" s="589"/>
      <c r="J108" s="589"/>
      <c r="K108" s="589"/>
      <c r="L108" s="589"/>
      <c r="M108" s="589"/>
      <c r="N108" s="589"/>
      <c r="O108" s="590"/>
      <c r="P108" s="591"/>
      <c r="Q108" s="589"/>
      <c r="R108" s="590"/>
      <c r="S108" s="591"/>
      <c r="T108" s="589"/>
    </row>
    <row r="109" spans="7:20" s="585" customFormat="1">
      <c r="G109" s="589"/>
      <c r="H109" s="589"/>
      <c r="J109" s="589"/>
      <c r="K109" s="589"/>
      <c r="L109" s="589"/>
      <c r="M109" s="589"/>
      <c r="N109" s="589"/>
      <c r="O109" s="590"/>
      <c r="P109" s="591"/>
      <c r="Q109" s="589"/>
      <c r="R109" s="590"/>
      <c r="S109" s="591"/>
      <c r="T109" s="589"/>
    </row>
    <row r="110" spans="7:20" s="585" customFormat="1">
      <c r="G110" s="589"/>
      <c r="H110" s="589"/>
      <c r="J110" s="589"/>
      <c r="K110" s="589"/>
      <c r="L110" s="589"/>
      <c r="M110" s="589"/>
      <c r="N110" s="589"/>
      <c r="O110" s="590"/>
      <c r="P110" s="591"/>
      <c r="Q110" s="589"/>
      <c r="R110" s="590"/>
      <c r="S110" s="591"/>
      <c r="T110" s="589"/>
    </row>
    <row r="111" spans="7:20" s="585" customFormat="1">
      <c r="G111" s="589"/>
      <c r="H111" s="589"/>
      <c r="J111" s="589"/>
      <c r="K111" s="589"/>
      <c r="L111" s="589"/>
      <c r="M111" s="589"/>
      <c r="N111" s="589"/>
      <c r="O111" s="590"/>
      <c r="P111" s="591"/>
      <c r="Q111" s="589"/>
      <c r="R111" s="590"/>
      <c r="S111" s="591"/>
      <c r="T111" s="589"/>
    </row>
    <row r="112" spans="7:20" s="585" customFormat="1">
      <c r="G112" s="589"/>
      <c r="H112" s="589"/>
      <c r="J112" s="589"/>
      <c r="K112" s="589"/>
      <c r="L112" s="589"/>
      <c r="M112" s="589"/>
      <c r="N112" s="589"/>
      <c r="O112" s="590"/>
      <c r="P112" s="591"/>
      <c r="Q112" s="589"/>
      <c r="R112" s="590"/>
      <c r="S112" s="591"/>
      <c r="T112" s="589"/>
    </row>
    <row r="113" spans="7:20" s="585" customFormat="1">
      <c r="G113" s="589"/>
      <c r="H113" s="589"/>
      <c r="J113" s="589"/>
      <c r="K113" s="589"/>
      <c r="L113" s="589"/>
      <c r="M113" s="589"/>
      <c r="N113" s="589"/>
      <c r="O113" s="590"/>
      <c r="P113" s="591"/>
      <c r="Q113" s="589"/>
      <c r="R113" s="590"/>
      <c r="S113" s="591"/>
      <c r="T113" s="589"/>
    </row>
    <row r="114" spans="7:20" s="585" customFormat="1">
      <c r="G114" s="589"/>
      <c r="H114" s="589"/>
      <c r="J114" s="589"/>
      <c r="K114" s="589"/>
      <c r="L114" s="589"/>
      <c r="M114" s="589"/>
      <c r="N114" s="589"/>
      <c r="O114" s="590"/>
      <c r="P114" s="591"/>
      <c r="Q114" s="589"/>
      <c r="R114" s="590"/>
      <c r="S114" s="591"/>
      <c r="T114" s="589"/>
    </row>
    <row r="115" spans="7:20" s="585" customFormat="1">
      <c r="G115" s="589"/>
      <c r="H115" s="589"/>
      <c r="J115" s="589"/>
      <c r="K115" s="589"/>
      <c r="L115" s="589"/>
      <c r="M115" s="589"/>
      <c r="N115" s="589"/>
      <c r="O115" s="590"/>
      <c r="P115" s="591"/>
      <c r="Q115" s="589"/>
      <c r="R115" s="590"/>
      <c r="S115" s="591"/>
      <c r="T115" s="589"/>
    </row>
    <row r="116" spans="7:20" s="585" customFormat="1">
      <c r="G116" s="589"/>
      <c r="H116" s="589"/>
      <c r="J116" s="589"/>
      <c r="K116" s="589"/>
      <c r="L116" s="589"/>
      <c r="M116" s="589"/>
      <c r="N116" s="589"/>
      <c r="O116" s="590"/>
      <c r="P116" s="591"/>
      <c r="Q116" s="589"/>
      <c r="R116" s="590"/>
      <c r="S116" s="591"/>
      <c r="T116" s="589"/>
    </row>
    <row r="117" spans="7:20" s="585" customFormat="1">
      <c r="G117" s="589"/>
      <c r="H117" s="589"/>
      <c r="J117" s="589"/>
      <c r="K117" s="589"/>
      <c r="L117" s="589"/>
      <c r="M117" s="589"/>
      <c r="N117" s="589"/>
      <c r="O117" s="590"/>
      <c r="P117" s="591"/>
      <c r="Q117" s="589"/>
      <c r="R117" s="590"/>
      <c r="S117" s="591"/>
      <c r="T117" s="589"/>
    </row>
    <row r="118" spans="7:20" s="585" customFormat="1">
      <c r="G118" s="589"/>
      <c r="H118" s="589"/>
      <c r="J118" s="589"/>
      <c r="K118" s="589"/>
      <c r="L118" s="589"/>
      <c r="M118" s="589"/>
      <c r="N118" s="589"/>
      <c r="O118" s="590"/>
      <c r="P118" s="591"/>
      <c r="Q118" s="589"/>
      <c r="R118" s="590"/>
      <c r="S118" s="591"/>
      <c r="T118" s="589"/>
    </row>
    <row r="119" spans="7:20" s="585" customFormat="1">
      <c r="G119" s="589"/>
      <c r="H119" s="589"/>
      <c r="J119" s="589"/>
      <c r="K119" s="589"/>
      <c r="L119" s="589"/>
      <c r="M119" s="589"/>
      <c r="N119" s="589"/>
      <c r="O119" s="590"/>
      <c r="P119" s="591"/>
      <c r="Q119" s="589"/>
      <c r="R119" s="590"/>
      <c r="S119" s="591"/>
      <c r="T119" s="589"/>
    </row>
    <row r="120" spans="7:20" s="585" customFormat="1">
      <c r="G120" s="589"/>
      <c r="H120" s="589"/>
      <c r="J120" s="589"/>
      <c r="K120" s="589"/>
      <c r="L120" s="589"/>
      <c r="M120" s="589"/>
      <c r="N120" s="589"/>
      <c r="O120" s="590"/>
      <c r="P120" s="591"/>
      <c r="Q120" s="589"/>
      <c r="R120" s="590"/>
      <c r="S120" s="591"/>
      <c r="T120" s="589"/>
    </row>
    <row r="121" spans="7:20" s="585" customFormat="1">
      <c r="G121" s="589"/>
      <c r="H121" s="589"/>
      <c r="J121" s="589"/>
      <c r="K121" s="589"/>
      <c r="L121" s="589"/>
      <c r="M121" s="589"/>
      <c r="N121" s="589"/>
      <c r="O121" s="590"/>
      <c r="P121" s="591"/>
      <c r="Q121" s="589"/>
      <c r="R121" s="590"/>
      <c r="S121" s="591"/>
      <c r="T121" s="589"/>
    </row>
    <row r="122" spans="7:20" s="585" customFormat="1">
      <c r="G122" s="589"/>
      <c r="H122" s="589"/>
      <c r="J122" s="589"/>
      <c r="K122" s="589"/>
      <c r="L122" s="589"/>
      <c r="M122" s="589"/>
      <c r="N122" s="589"/>
      <c r="O122" s="590"/>
      <c r="P122" s="591"/>
      <c r="Q122" s="589"/>
      <c r="R122" s="590"/>
      <c r="S122" s="591"/>
      <c r="T122" s="589"/>
    </row>
    <row r="123" spans="7:20" s="585" customFormat="1">
      <c r="G123" s="589"/>
      <c r="H123" s="589"/>
      <c r="J123" s="589"/>
      <c r="K123" s="589"/>
      <c r="L123" s="589"/>
      <c r="M123" s="589"/>
      <c r="N123" s="589"/>
      <c r="O123" s="590"/>
      <c r="P123" s="591"/>
      <c r="Q123" s="589"/>
      <c r="R123" s="590"/>
      <c r="S123" s="591"/>
      <c r="T123" s="589"/>
    </row>
    <row r="124" spans="7:20" s="585" customFormat="1">
      <c r="G124" s="589"/>
      <c r="H124" s="589"/>
      <c r="J124" s="589"/>
      <c r="K124" s="589"/>
      <c r="L124" s="589"/>
      <c r="M124" s="589"/>
      <c r="N124" s="589"/>
      <c r="O124" s="590"/>
      <c r="P124" s="591"/>
      <c r="Q124" s="589"/>
      <c r="R124" s="590"/>
      <c r="S124" s="591"/>
      <c r="T124" s="589"/>
    </row>
    <row r="125" spans="7:20" s="585" customFormat="1">
      <c r="G125" s="589"/>
      <c r="H125" s="589"/>
      <c r="J125" s="589"/>
      <c r="K125" s="589"/>
      <c r="L125" s="589"/>
      <c r="M125" s="589"/>
      <c r="N125" s="589"/>
      <c r="O125" s="590"/>
      <c r="P125" s="591"/>
      <c r="Q125" s="589"/>
      <c r="R125" s="590"/>
      <c r="S125" s="591"/>
      <c r="T125" s="589"/>
    </row>
    <row r="126" spans="7:20" s="585" customFormat="1">
      <c r="G126" s="589"/>
      <c r="H126" s="589"/>
      <c r="J126" s="589"/>
      <c r="K126" s="589"/>
      <c r="L126" s="589"/>
      <c r="M126" s="589"/>
      <c r="N126" s="589"/>
      <c r="O126" s="590"/>
      <c r="P126" s="591"/>
      <c r="Q126" s="589"/>
      <c r="R126" s="590"/>
      <c r="S126" s="591"/>
      <c r="T126" s="589"/>
    </row>
    <row r="127" spans="7:20" s="585" customFormat="1">
      <c r="G127" s="589"/>
      <c r="H127" s="589"/>
      <c r="J127" s="589"/>
      <c r="K127" s="589"/>
      <c r="L127" s="589"/>
      <c r="M127" s="589"/>
      <c r="N127" s="589"/>
      <c r="O127" s="590"/>
      <c r="P127" s="591"/>
      <c r="Q127" s="589"/>
      <c r="R127" s="590"/>
      <c r="S127" s="591"/>
      <c r="T127" s="589"/>
    </row>
    <row r="128" spans="7:20" s="585" customFormat="1">
      <c r="G128" s="589"/>
      <c r="H128" s="589"/>
      <c r="J128" s="589"/>
      <c r="K128" s="589"/>
      <c r="L128" s="589"/>
      <c r="M128" s="589"/>
      <c r="N128" s="589"/>
      <c r="O128" s="590"/>
      <c r="P128" s="591"/>
      <c r="Q128" s="589"/>
      <c r="R128" s="590"/>
      <c r="S128" s="591"/>
      <c r="T128" s="589"/>
    </row>
    <row r="129" spans="7:20" s="585" customFormat="1">
      <c r="G129" s="589"/>
      <c r="H129" s="589"/>
      <c r="J129" s="589"/>
      <c r="K129" s="589"/>
      <c r="L129" s="589"/>
      <c r="M129" s="589"/>
      <c r="N129" s="589"/>
      <c r="O129" s="590"/>
      <c r="P129" s="591"/>
      <c r="Q129" s="589"/>
      <c r="R129" s="590"/>
      <c r="S129" s="591"/>
      <c r="T129" s="589"/>
    </row>
    <row r="130" spans="7:20" s="585" customFormat="1">
      <c r="G130" s="589"/>
      <c r="H130" s="589"/>
      <c r="J130" s="589"/>
      <c r="K130" s="589"/>
      <c r="L130" s="589"/>
      <c r="M130" s="589"/>
      <c r="N130" s="589"/>
      <c r="O130" s="590"/>
      <c r="P130" s="591"/>
      <c r="Q130" s="589"/>
      <c r="R130" s="590"/>
      <c r="S130" s="591"/>
      <c r="T130" s="589"/>
    </row>
    <row r="131" spans="7:20" s="585" customFormat="1">
      <c r="G131" s="589"/>
      <c r="H131" s="589"/>
      <c r="J131" s="589"/>
      <c r="K131" s="589"/>
      <c r="L131" s="589"/>
      <c r="M131" s="589"/>
      <c r="N131" s="589"/>
      <c r="O131" s="590"/>
      <c r="P131" s="591"/>
      <c r="Q131" s="589"/>
      <c r="R131" s="590"/>
      <c r="S131" s="591"/>
      <c r="T131" s="589"/>
    </row>
    <row r="132" spans="7:20" s="585" customFormat="1">
      <c r="G132" s="589"/>
      <c r="H132" s="589"/>
      <c r="J132" s="589"/>
      <c r="K132" s="589"/>
      <c r="L132" s="589"/>
      <c r="M132" s="589"/>
      <c r="N132" s="589"/>
      <c r="O132" s="590"/>
      <c r="P132" s="591"/>
      <c r="Q132" s="589"/>
      <c r="R132" s="590"/>
      <c r="S132" s="591"/>
      <c r="T132" s="589"/>
    </row>
    <row r="133" spans="7:20" s="585" customFormat="1">
      <c r="G133" s="589"/>
      <c r="H133" s="589"/>
      <c r="J133" s="589"/>
      <c r="K133" s="589"/>
      <c r="L133" s="589"/>
      <c r="M133" s="589"/>
      <c r="N133" s="589"/>
      <c r="O133" s="590"/>
      <c r="P133" s="591"/>
      <c r="Q133" s="589"/>
      <c r="R133" s="590"/>
      <c r="S133" s="591"/>
      <c r="T133" s="589"/>
    </row>
    <row r="134" spans="7:20" s="585" customFormat="1">
      <c r="G134" s="589"/>
      <c r="H134" s="589"/>
      <c r="J134" s="589"/>
      <c r="K134" s="589"/>
      <c r="L134" s="589"/>
      <c r="M134" s="589"/>
      <c r="N134" s="589"/>
      <c r="O134" s="590"/>
      <c r="P134" s="591"/>
      <c r="Q134" s="589"/>
      <c r="R134" s="590"/>
      <c r="S134" s="591"/>
      <c r="T134" s="589"/>
    </row>
    <row r="135" spans="7:20" s="585" customFormat="1">
      <c r="G135" s="589"/>
      <c r="H135" s="589"/>
      <c r="J135" s="589"/>
      <c r="K135" s="589"/>
      <c r="L135" s="589"/>
      <c r="M135" s="589"/>
      <c r="N135" s="589"/>
      <c r="O135" s="590"/>
      <c r="P135" s="591"/>
      <c r="Q135" s="589"/>
      <c r="R135" s="590"/>
      <c r="S135" s="591"/>
      <c r="T135" s="589"/>
    </row>
    <row r="136" spans="7:20" s="585" customFormat="1">
      <c r="G136" s="589"/>
      <c r="H136" s="589"/>
      <c r="J136" s="589"/>
      <c r="K136" s="589"/>
      <c r="L136" s="589"/>
      <c r="M136" s="589"/>
      <c r="N136" s="589"/>
      <c r="O136" s="590"/>
      <c r="P136" s="591"/>
      <c r="Q136" s="589"/>
      <c r="R136" s="590"/>
      <c r="S136" s="591"/>
      <c r="T136" s="589"/>
    </row>
    <row r="137" spans="7:20" s="585" customFormat="1">
      <c r="G137" s="589"/>
      <c r="H137" s="589"/>
      <c r="J137" s="589"/>
      <c r="K137" s="589"/>
      <c r="L137" s="589"/>
      <c r="M137" s="589"/>
      <c r="N137" s="589"/>
      <c r="O137" s="590"/>
      <c r="P137" s="591"/>
      <c r="Q137" s="589"/>
      <c r="R137" s="590"/>
      <c r="S137" s="591"/>
      <c r="T137" s="589"/>
    </row>
    <row r="138" spans="7:20" s="585" customFormat="1">
      <c r="G138" s="589"/>
      <c r="H138" s="589"/>
      <c r="J138" s="589"/>
      <c r="K138" s="589"/>
      <c r="L138" s="589"/>
      <c r="M138" s="589"/>
      <c r="N138" s="589"/>
      <c r="O138" s="590"/>
      <c r="P138" s="591"/>
      <c r="Q138" s="589"/>
      <c r="R138" s="590"/>
      <c r="S138" s="591"/>
      <c r="T138" s="589"/>
    </row>
    <row r="139" spans="7:20" s="585" customFormat="1">
      <c r="G139" s="589"/>
      <c r="H139" s="589"/>
      <c r="J139" s="589"/>
      <c r="K139" s="589"/>
      <c r="L139" s="589"/>
      <c r="M139" s="589"/>
      <c r="N139" s="589"/>
      <c r="O139" s="590"/>
      <c r="P139" s="591"/>
      <c r="Q139" s="589"/>
      <c r="R139" s="590"/>
      <c r="S139" s="591"/>
      <c r="T139" s="589"/>
    </row>
    <row r="140" spans="7:20" s="585" customFormat="1">
      <c r="G140" s="589"/>
      <c r="H140" s="589"/>
      <c r="J140" s="589"/>
      <c r="K140" s="589"/>
      <c r="L140" s="589"/>
      <c r="M140" s="589"/>
      <c r="N140" s="589"/>
      <c r="O140" s="590"/>
      <c r="P140" s="591"/>
      <c r="Q140" s="589"/>
      <c r="R140" s="590"/>
      <c r="S140" s="591"/>
      <c r="T140" s="589"/>
    </row>
    <row r="141" spans="7:20" s="585" customFormat="1">
      <c r="G141" s="589"/>
      <c r="H141" s="589"/>
      <c r="J141" s="589"/>
      <c r="K141" s="589"/>
      <c r="L141" s="589"/>
      <c r="M141" s="589"/>
      <c r="N141" s="589"/>
      <c r="O141" s="590"/>
      <c r="P141" s="591"/>
      <c r="Q141" s="589"/>
      <c r="R141" s="590"/>
      <c r="S141" s="591"/>
      <c r="T141" s="589"/>
    </row>
    <row r="142" spans="7:20" s="585" customFormat="1">
      <c r="G142" s="589"/>
      <c r="H142" s="589"/>
      <c r="J142" s="589"/>
      <c r="K142" s="589"/>
      <c r="L142" s="589"/>
      <c r="M142" s="589"/>
      <c r="N142" s="589"/>
      <c r="O142" s="590"/>
      <c r="P142" s="591"/>
      <c r="Q142" s="589"/>
      <c r="R142" s="590"/>
      <c r="S142" s="591"/>
      <c r="T142" s="589"/>
    </row>
    <row r="143" spans="7:20" s="585" customFormat="1">
      <c r="G143" s="589"/>
      <c r="H143" s="589"/>
      <c r="J143" s="589"/>
      <c r="K143" s="589"/>
      <c r="L143" s="589"/>
      <c r="M143" s="589"/>
      <c r="N143" s="589"/>
      <c r="O143" s="590"/>
      <c r="P143" s="591"/>
      <c r="Q143" s="589"/>
      <c r="R143" s="590"/>
      <c r="S143" s="591"/>
      <c r="T143" s="589"/>
    </row>
    <row r="144" spans="7:20" s="585" customFormat="1">
      <c r="G144" s="589"/>
      <c r="H144" s="589"/>
      <c r="J144" s="589"/>
      <c r="K144" s="589"/>
      <c r="L144" s="589"/>
      <c r="M144" s="589"/>
      <c r="N144" s="589"/>
      <c r="O144" s="590"/>
      <c r="P144" s="591"/>
      <c r="Q144" s="589"/>
      <c r="R144" s="590"/>
      <c r="S144" s="591"/>
      <c r="T144" s="589"/>
    </row>
    <row r="145" spans="7:20" s="585" customFormat="1">
      <c r="G145" s="589"/>
      <c r="H145" s="589"/>
      <c r="J145" s="589"/>
      <c r="K145" s="589"/>
      <c r="L145" s="589"/>
      <c r="M145" s="589"/>
      <c r="N145" s="589"/>
      <c r="O145" s="590"/>
      <c r="P145" s="591"/>
      <c r="Q145" s="589"/>
      <c r="R145" s="590"/>
      <c r="S145" s="591"/>
      <c r="T145" s="589"/>
    </row>
    <row r="146" spans="7:20" s="585" customFormat="1">
      <c r="G146" s="589"/>
      <c r="H146" s="589"/>
      <c r="J146" s="589"/>
      <c r="K146" s="589"/>
      <c r="L146" s="589"/>
      <c r="M146" s="589"/>
      <c r="N146" s="589"/>
      <c r="O146" s="590"/>
      <c r="P146" s="591"/>
      <c r="Q146" s="589"/>
      <c r="R146" s="590"/>
      <c r="S146" s="591"/>
      <c r="T146" s="589"/>
    </row>
    <row r="147" spans="7:20" s="585" customFormat="1">
      <c r="G147" s="589"/>
      <c r="H147" s="589"/>
      <c r="J147" s="589"/>
      <c r="K147" s="589"/>
      <c r="L147" s="589"/>
      <c r="M147" s="589"/>
      <c r="N147" s="589"/>
      <c r="O147" s="590"/>
      <c r="P147" s="591"/>
      <c r="Q147" s="589"/>
      <c r="R147" s="590"/>
      <c r="S147" s="591"/>
      <c r="T147" s="589"/>
    </row>
    <row r="148" spans="7:20" s="585" customFormat="1">
      <c r="G148" s="589"/>
      <c r="H148" s="589"/>
      <c r="J148" s="589"/>
      <c r="K148" s="589"/>
      <c r="L148" s="589"/>
      <c r="M148" s="589"/>
      <c r="N148" s="589"/>
      <c r="O148" s="590"/>
      <c r="P148" s="591"/>
      <c r="Q148" s="589"/>
      <c r="R148" s="590"/>
      <c r="S148" s="591"/>
      <c r="T148" s="589"/>
    </row>
    <row r="149" spans="7:20" s="585" customFormat="1">
      <c r="G149" s="589"/>
      <c r="H149" s="589"/>
      <c r="J149" s="589"/>
      <c r="K149" s="589"/>
      <c r="L149" s="589"/>
      <c r="M149" s="589"/>
      <c r="N149" s="589"/>
      <c r="O149" s="590"/>
      <c r="P149" s="591"/>
      <c r="Q149" s="589"/>
      <c r="R149" s="590"/>
      <c r="S149" s="591"/>
      <c r="T149" s="589"/>
    </row>
    <row r="150" spans="7:20" s="585" customFormat="1">
      <c r="G150" s="589"/>
      <c r="H150" s="589"/>
      <c r="J150" s="589"/>
      <c r="K150" s="589"/>
      <c r="L150" s="589"/>
      <c r="M150" s="589"/>
      <c r="N150" s="589"/>
      <c r="O150" s="590"/>
      <c r="P150" s="591"/>
      <c r="Q150" s="589"/>
      <c r="R150" s="590"/>
      <c r="S150" s="591"/>
      <c r="T150" s="589"/>
    </row>
    <row r="151" spans="7:20" s="585" customFormat="1">
      <c r="G151" s="589"/>
      <c r="H151" s="589"/>
      <c r="J151" s="589"/>
      <c r="K151" s="589"/>
      <c r="L151" s="589"/>
      <c r="M151" s="589"/>
      <c r="N151" s="589"/>
      <c r="O151" s="590"/>
      <c r="P151" s="591"/>
      <c r="Q151" s="589"/>
      <c r="R151" s="590"/>
      <c r="S151" s="591"/>
      <c r="T151" s="589"/>
    </row>
    <row r="152" spans="7:20" s="585" customFormat="1">
      <c r="G152" s="589"/>
      <c r="H152" s="589"/>
      <c r="J152" s="589"/>
      <c r="K152" s="589"/>
      <c r="L152" s="589"/>
      <c r="M152" s="589"/>
      <c r="N152" s="589"/>
      <c r="O152" s="590"/>
      <c r="P152" s="591"/>
      <c r="Q152" s="589"/>
      <c r="R152" s="590"/>
      <c r="S152" s="591"/>
      <c r="T152" s="589"/>
    </row>
    <row r="153" spans="7:20" s="585" customFormat="1">
      <c r="G153" s="589"/>
      <c r="H153" s="589"/>
      <c r="J153" s="589"/>
      <c r="K153" s="589"/>
      <c r="L153" s="589"/>
      <c r="M153" s="589"/>
      <c r="N153" s="589"/>
      <c r="O153" s="590"/>
      <c r="P153" s="591"/>
      <c r="Q153" s="589"/>
      <c r="R153" s="590"/>
      <c r="S153" s="591"/>
      <c r="T153" s="589"/>
    </row>
    <row r="154" spans="7:20" s="585" customFormat="1">
      <c r="G154" s="589"/>
      <c r="H154" s="589"/>
      <c r="J154" s="589"/>
      <c r="K154" s="589"/>
      <c r="L154" s="589"/>
      <c r="M154" s="589"/>
      <c r="N154" s="589"/>
      <c r="O154" s="590"/>
      <c r="P154" s="591"/>
      <c r="Q154" s="589"/>
      <c r="R154" s="590"/>
      <c r="S154" s="591"/>
      <c r="T154" s="589"/>
    </row>
    <row r="155" spans="7:20" s="585" customFormat="1">
      <c r="G155" s="589"/>
      <c r="H155" s="589"/>
      <c r="J155" s="589"/>
      <c r="K155" s="589"/>
      <c r="L155" s="589"/>
      <c r="M155" s="589"/>
      <c r="N155" s="589"/>
      <c r="O155" s="590"/>
      <c r="P155" s="591"/>
      <c r="Q155" s="589"/>
      <c r="R155" s="590"/>
      <c r="S155" s="591"/>
      <c r="T155" s="589"/>
    </row>
    <row r="156" spans="7:20" s="585" customFormat="1">
      <c r="G156" s="589"/>
      <c r="H156" s="589"/>
      <c r="J156" s="589"/>
      <c r="K156" s="589"/>
      <c r="L156" s="589"/>
      <c r="M156" s="589"/>
      <c r="N156" s="589"/>
      <c r="O156" s="590"/>
      <c r="P156" s="591"/>
      <c r="Q156" s="589"/>
      <c r="R156" s="590"/>
      <c r="S156" s="591"/>
      <c r="T156" s="589"/>
    </row>
    <row r="157" spans="7:20" s="585" customFormat="1">
      <c r="G157" s="589"/>
      <c r="H157" s="589"/>
      <c r="J157" s="589"/>
      <c r="K157" s="589"/>
      <c r="L157" s="589"/>
      <c r="M157" s="589"/>
      <c r="N157" s="589"/>
      <c r="O157" s="590"/>
      <c r="P157" s="591"/>
      <c r="Q157" s="589"/>
      <c r="R157" s="590"/>
      <c r="S157" s="591"/>
      <c r="T157" s="589"/>
    </row>
    <row r="158" spans="7:20" s="585" customFormat="1">
      <c r="G158" s="589"/>
      <c r="H158" s="589"/>
      <c r="J158" s="589"/>
      <c r="K158" s="589"/>
      <c r="L158" s="589"/>
      <c r="M158" s="589"/>
      <c r="N158" s="589"/>
      <c r="O158" s="590"/>
      <c r="P158" s="591"/>
      <c r="Q158" s="589"/>
      <c r="R158" s="590"/>
      <c r="S158" s="591"/>
      <c r="T158" s="589"/>
    </row>
    <row r="159" spans="7:20" s="585" customFormat="1">
      <c r="G159" s="589"/>
      <c r="H159" s="589"/>
      <c r="J159" s="589"/>
      <c r="K159" s="589"/>
      <c r="L159" s="589"/>
      <c r="M159" s="589"/>
      <c r="N159" s="589"/>
      <c r="O159" s="590"/>
      <c r="P159" s="591"/>
      <c r="Q159" s="589"/>
      <c r="R159" s="590"/>
      <c r="S159" s="591"/>
      <c r="T159" s="589"/>
    </row>
    <row r="160" spans="7:20" s="585" customFormat="1">
      <c r="G160" s="589"/>
      <c r="H160" s="589"/>
      <c r="J160" s="589"/>
      <c r="K160" s="589"/>
      <c r="L160" s="589"/>
      <c r="M160" s="589"/>
      <c r="N160" s="589"/>
      <c r="O160" s="590"/>
      <c r="P160" s="591"/>
      <c r="Q160" s="589"/>
      <c r="R160" s="590"/>
      <c r="S160" s="591"/>
      <c r="T160" s="589"/>
    </row>
    <row r="161" spans="7:20" s="585" customFormat="1">
      <c r="G161" s="589"/>
      <c r="H161" s="589"/>
      <c r="J161" s="589"/>
      <c r="K161" s="589"/>
      <c r="L161" s="589"/>
      <c r="M161" s="589"/>
      <c r="N161" s="589"/>
      <c r="O161" s="590"/>
      <c r="P161" s="591"/>
      <c r="Q161" s="589"/>
      <c r="R161" s="590"/>
      <c r="S161" s="591"/>
      <c r="T161" s="589"/>
    </row>
    <row r="162" spans="7:20" s="585" customFormat="1">
      <c r="G162" s="589"/>
      <c r="H162" s="589"/>
      <c r="J162" s="589"/>
      <c r="K162" s="589"/>
      <c r="L162" s="589"/>
      <c r="M162" s="589"/>
      <c r="N162" s="589"/>
      <c r="O162" s="590"/>
      <c r="P162" s="591"/>
      <c r="Q162" s="589"/>
      <c r="R162" s="590"/>
      <c r="S162" s="591"/>
      <c r="T162" s="589"/>
    </row>
    <row r="163" spans="7:20" s="585" customFormat="1">
      <c r="G163" s="589"/>
      <c r="H163" s="589"/>
      <c r="J163" s="589"/>
      <c r="K163" s="589"/>
      <c r="L163" s="589"/>
      <c r="M163" s="589"/>
      <c r="N163" s="589"/>
      <c r="O163" s="590"/>
      <c r="P163" s="591"/>
      <c r="Q163" s="589"/>
      <c r="R163" s="590"/>
      <c r="S163" s="591"/>
      <c r="T163" s="589"/>
    </row>
    <row r="164" spans="7:20" s="585" customFormat="1">
      <c r="G164" s="589"/>
      <c r="H164" s="589"/>
      <c r="J164" s="589"/>
      <c r="K164" s="589"/>
      <c r="L164" s="589"/>
      <c r="M164" s="589"/>
      <c r="N164" s="589"/>
      <c r="O164" s="590"/>
      <c r="P164" s="591"/>
      <c r="Q164" s="589"/>
      <c r="R164" s="590"/>
      <c r="S164" s="591"/>
      <c r="T164" s="589"/>
    </row>
    <row r="165" spans="7:20" s="585" customFormat="1">
      <c r="G165" s="589"/>
      <c r="H165" s="589"/>
      <c r="J165" s="589"/>
      <c r="K165" s="589"/>
      <c r="L165" s="589"/>
      <c r="M165" s="589"/>
      <c r="N165" s="589"/>
      <c r="O165" s="590"/>
      <c r="P165" s="591"/>
      <c r="Q165" s="589"/>
      <c r="R165" s="590"/>
      <c r="S165" s="591"/>
      <c r="T165" s="589"/>
    </row>
    <row r="166" spans="7:20" s="585" customFormat="1">
      <c r="G166" s="589"/>
      <c r="H166" s="589"/>
      <c r="J166" s="589"/>
      <c r="K166" s="589"/>
      <c r="L166" s="589"/>
      <c r="M166" s="589"/>
      <c r="N166" s="589"/>
      <c r="O166" s="590"/>
      <c r="P166" s="591"/>
      <c r="Q166" s="589"/>
      <c r="R166" s="590"/>
      <c r="S166" s="591"/>
      <c r="T166" s="589"/>
    </row>
    <row r="167" spans="7:20" s="585" customFormat="1">
      <c r="G167" s="589"/>
      <c r="H167" s="589"/>
      <c r="J167" s="589"/>
      <c r="K167" s="589"/>
      <c r="L167" s="589"/>
      <c r="M167" s="589"/>
      <c r="N167" s="589"/>
      <c r="O167" s="590"/>
      <c r="P167" s="591"/>
      <c r="Q167" s="589"/>
      <c r="R167" s="590"/>
      <c r="S167" s="591"/>
      <c r="T167" s="589"/>
    </row>
    <row r="168" spans="7:20" s="585" customFormat="1">
      <c r="G168" s="589"/>
      <c r="H168" s="589"/>
      <c r="J168" s="589"/>
      <c r="K168" s="589"/>
      <c r="L168" s="589"/>
      <c r="M168" s="589"/>
      <c r="N168" s="589"/>
      <c r="O168" s="590"/>
      <c r="P168" s="591"/>
      <c r="Q168" s="589"/>
      <c r="R168" s="590"/>
      <c r="S168" s="591"/>
      <c r="T168" s="589"/>
    </row>
    <row r="169" spans="7:20" s="585" customFormat="1">
      <c r="G169" s="589"/>
      <c r="H169" s="589"/>
      <c r="J169" s="589"/>
      <c r="K169" s="589"/>
      <c r="L169" s="589"/>
      <c r="M169" s="589"/>
      <c r="N169" s="589"/>
      <c r="O169" s="590"/>
      <c r="P169" s="591"/>
      <c r="Q169" s="589"/>
      <c r="R169" s="590"/>
      <c r="S169" s="591"/>
      <c r="T169" s="589"/>
    </row>
    <row r="170" spans="7:20" s="585" customFormat="1">
      <c r="G170" s="589"/>
      <c r="H170" s="589"/>
      <c r="J170" s="589"/>
      <c r="K170" s="589"/>
      <c r="L170" s="589"/>
      <c r="M170" s="589"/>
      <c r="N170" s="589"/>
      <c r="O170" s="590"/>
      <c r="P170" s="591"/>
      <c r="Q170" s="589"/>
      <c r="R170" s="590"/>
      <c r="S170" s="591"/>
      <c r="T170" s="589"/>
    </row>
    <row r="171" spans="7:20" s="585" customFormat="1">
      <c r="G171" s="589"/>
      <c r="H171" s="589"/>
      <c r="J171" s="589"/>
      <c r="K171" s="589"/>
      <c r="L171" s="589"/>
      <c r="M171" s="589"/>
      <c r="N171" s="589"/>
      <c r="O171" s="590"/>
      <c r="P171" s="591"/>
      <c r="Q171" s="589"/>
      <c r="R171" s="590"/>
      <c r="S171" s="591"/>
      <c r="T171" s="589"/>
    </row>
    <row r="172" spans="7:20" s="585" customFormat="1">
      <c r="G172" s="589"/>
      <c r="H172" s="589"/>
      <c r="J172" s="589"/>
      <c r="K172" s="589"/>
      <c r="L172" s="589"/>
      <c r="M172" s="589"/>
      <c r="N172" s="589"/>
      <c r="O172" s="590"/>
      <c r="P172" s="591"/>
      <c r="Q172" s="589"/>
      <c r="R172" s="590"/>
      <c r="S172" s="591"/>
      <c r="T172" s="589"/>
    </row>
    <row r="173" spans="7:20" s="585" customFormat="1">
      <c r="G173" s="589"/>
      <c r="H173" s="589"/>
      <c r="J173" s="589"/>
      <c r="K173" s="589"/>
      <c r="L173" s="589"/>
      <c r="M173" s="589"/>
      <c r="N173" s="589"/>
      <c r="O173" s="590"/>
      <c r="P173" s="591"/>
      <c r="Q173" s="589"/>
      <c r="R173" s="590"/>
      <c r="S173" s="591"/>
      <c r="T173" s="589"/>
    </row>
    <row r="174" spans="7:20" s="585" customFormat="1">
      <c r="G174" s="589"/>
      <c r="H174" s="589"/>
      <c r="J174" s="589"/>
      <c r="K174" s="589"/>
      <c r="L174" s="589"/>
      <c r="M174" s="589"/>
      <c r="N174" s="589"/>
      <c r="O174" s="590"/>
      <c r="P174" s="591"/>
      <c r="Q174" s="589"/>
      <c r="R174" s="590"/>
      <c r="S174" s="591"/>
      <c r="T174" s="589"/>
    </row>
    <row r="175" spans="7:20" s="585" customFormat="1">
      <c r="G175" s="589"/>
      <c r="H175" s="589"/>
      <c r="J175" s="589"/>
      <c r="K175" s="589"/>
      <c r="L175" s="589"/>
      <c r="M175" s="589"/>
      <c r="N175" s="589"/>
      <c r="O175" s="590"/>
      <c r="P175" s="591"/>
      <c r="Q175" s="589"/>
      <c r="R175" s="590"/>
      <c r="S175" s="591"/>
      <c r="T175" s="589"/>
    </row>
    <row r="176" spans="7:20" s="585" customFormat="1">
      <c r="G176" s="589"/>
      <c r="H176" s="589"/>
      <c r="J176" s="589"/>
      <c r="K176" s="589"/>
      <c r="L176" s="589"/>
      <c r="M176" s="589"/>
      <c r="N176" s="589"/>
      <c r="O176" s="590"/>
      <c r="P176" s="591"/>
      <c r="Q176" s="589"/>
      <c r="R176" s="590"/>
      <c r="S176" s="591"/>
      <c r="T176" s="589"/>
    </row>
    <row r="177" spans="7:20" s="585" customFormat="1">
      <c r="G177" s="589"/>
      <c r="H177" s="589"/>
      <c r="J177" s="589"/>
      <c r="K177" s="589"/>
      <c r="L177" s="589"/>
      <c r="M177" s="589"/>
      <c r="N177" s="589"/>
      <c r="O177" s="590"/>
      <c r="P177" s="591"/>
      <c r="Q177" s="589"/>
      <c r="R177" s="590"/>
      <c r="S177" s="591"/>
      <c r="T177" s="589"/>
    </row>
    <row r="178" spans="7:20" s="585" customFormat="1">
      <c r="G178" s="589"/>
      <c r="H178" s="589"/>
      <c r="J178" s="589"/>
      <c r="K178" s="589"/>
      <c r="L178" s="589"/>
      <c r="M178" s="589"/>
      <c r="N178" s="589"/>
      <c r="O178" s="590"/>
      <c r="P178" s="591"/>
      <c r="Q178" s="589"/>
      <c r="R178" s="590"/>
      <c r="S178" s="591"/>
      <c r="T178" s="589"/>
    </row>
    <row r="179" spans="7:20" s="585" customFormat="1">
      <c r="G179" s="589"/>
      <c r="H179" s="589"/>
      <c r="J179" s="589"/>
      <c r="K179" s="589"/>
      <c r="L179" s="589"/>
      <c r="M179" s="589"/>
      <c r="N179" s="589"/>
      <c r="O179" s="590"/>
      <c r="P179" s="591"/>
      <c r="Q179" s="589"/>
      <c r="R179" s="590"/>
      <c r="S179" s="591"/>
      <c r="T179" s="589"/>
    </row>
    <row r="180" spans="7:20" s="585" customFormat="1">
      <c r="G180" s="589"/>
      <c r="H180" s="589"/>
      <c r="J180" s="589"/>
      <c r="K180" s="589"/>
      <c r="L180" s="589"/>
      <c r="M180" s="589"/>
      <c r="N180" s="589"/>
      <c r="O180" s="590"/>
      <c r="P180" s="591"/>
      <c r="Q180" s="589"/>
      <c r="R180" s="590"/>
      <c r="S180" s="591"/>
      <c r="T180" s="589"/>
    </row>
    <row r="181" spans="7:20" s="585" customFormat="1">
      <c r="G181" s="589"/>
      <c r="H181" s="589"/>
      <c r="J181" s="589"/>
      <c r="K181" s="589"/>
      <c r="L181" s="589"/>
      <c r="M181" s="589"/>
      <c r="N181" s="589"/>
      <c r="O181" s="590"/>
      <c r="P181" s="591"/>
      <c r="Q181" s="589"/>
      <c r="R181" s="590"/>
      <c r="S181" s="591"/>
      <c r="T181" s="589"/>
    </row>
    <row r="182" spans="7:20" s="585" customFormat="1">
      <c r="G182" s="589"/>
      <c r="H182" s="589"/>
      <c r="J182" s="589"/>
      <c r="K182" s="589"/>
      <c r="L182" s="589"/>
      <c r="M182" s="589"/>
      <c r="N182" s="589"/>
      <c r="O182" s="590"/>
      <c r="P182" s="591"/>
      <c r="Q182" s="589"/>
      <c r="R182" s="590"/>
      <c r="S182" s="591"/>
      <c r="T182" s="589"/>
    </row>
    <row r="183" spans="7:20" s="585" customFormat="1">
      <c r="G183" s="589"/>
      <c r="H183" s="589"/>
      <c r="J183" s="589"/>
      <c r="K183" s="589"/>
      <c r="L183" s="589"/>
      <c r="M183" s="589"/>
      <c r="N183" s="589"/>
      <c r="O183" s="590"/>
      <c r="P183" s="591"/>
      <c r="Q183" s="589"/>
      <c r="R183" s="590"/>
      <c r="S183" s="591"/>
      <c r="T183" s="589"/>
    </row>
    <row r="184" spans="7:20" s="585" customFormat="1">
      <c r="G184" s="589"/>
      <c r="H184" s="589"/>
      <c r="J184" s="589"/>
      <c r="K184" s="589"/>
      <c r="L184" s="589"/>
      <c r="M184" s="589"/>
      <c r="N184" s="589"/>
      <c r="O184" s="590"/>
      <c r="P184" s="591"/>
      <c r="Q184" s="589"/>
      <c r="R184" s="590"/>
      <c r="S184" s="591"/>
      <c r="T184" s="589"/>
    </row>
    <row r="185" spans="7:20" s="585" customFormat="1">
      <c r="G185" s="589"/>
      <c r="H185" s="589"/>
      <c r="J185" s="589"/>
      <c r="K185" s="589"/>
      <c r="L185" s="589"/>
      <c r="M185" s="589"/>
      <c r="N185" s="589"/>
      <c r="O185" s="590"/>
      <c r="P185" s="591"/>
      <c r="Q185" s="589"/>
      <c r="R185" s="590"/>
      <c r="S185" s="591"/>
      <c r="T185" s="589"/>
    </row>
    <row r="186" spans="7:20" s="585" customFormat="1">
      <c r="G186" s="589"/>
      <c r="H186" s="589"/>
      <c r="J186" s="589"/>
      <c r="K186" s="589"/>
      <c r="L186" s="589"/>
      <c r="M186" s="589"/>
      <c r="N186" s="589"/>
      <c r="O186" s="590"/>
      <c r="P186" s="591"/>
      <c r="Q186" s="589"/>
      <c r="R186" s="590"/>
      <c r="S186" s="591"/>
      <c r="T186" s="589"/>
    </row>
    <row r="187" spans="7:20" s="585" customFormat="1">
      <c r="G187" s="589"/>
      <c r="H187" s="589"/>
      <c r="J187" s="589"/>
      <c r="K187" s="589"/>
      <c r="L187" s="589"/>
      <c r="M187" s="589"/>
      <c r="N187" s="589"/>
      <c r="O187" s="590"/>
      <c r="P187" s="591"/>
      <c r="Q187" s="589"/>
      <c r="R187" s="590"/>
      <c r="S187" s="591"/>
      <c r="T187" s="589"/>
    </row>
    <row r="188" spans="7:20" s="585" customFormat="1">
      <c r="G188" s="589"/>
      <c r="H188" s="589"/>
      <c r="J188" s="589"/>
      <c r="K188" s="589"/>
      <c r="L188" s="589"/>
      <c r="M188" s="589"/>
      <c r="N188" s="589"/>
      <c r="O188" s="590"/>
      <c r="P188" s="591"/>
      <c r="Q188" s="589"/>
      <c r="R188" s="590"/>
      <c r="S188" s="591"/>
      <c r="T188" s="589"/>
    </row>
    <row r="189" spans="7:20" s="585" customFormat="1">
      <c r="G189" s="589"/>
      <c r="H189" s="589"/>
      <c r="J189" s="589"/>
      <c r="K189" s="589"/>
      <c r="L189" s="589"/>
      <c r="M189" s="589"/>
      <c r="N189" s="589"/>
      <c r="O189" s="590"/>
      <c r="P189" s="591"/>
      <c r="Q189" s="589"/>
      <c r="R189" s="590"/>
      <c r="S189" s="591"/>
      <c r="T189" s="589"/>
    </row>
    <row r="190" spans="7:20" s="585" customFormat="1">
      <c r="G190" s="589"/>
      <c r="H190" s="589"/>
      <c r="J190" s="589"/>
      <c r="K190" s="589"/>
      <c r="L190" s="589"/>
      <c r="M190" s="589"/>
      <c r="N190" s="589"/>
      <c r="O190" s="590"/>
      <c r="P190" s="591"/>
      <c r="Q190" s="589"/>
      <c r="R190" s="590"/>
      <c r="S190" s="591"/>
      <c r="T190" s="589"/>
    </row>
    <row r="191" spans="7:20" s="585" customFormat="1">
      <c r="G191" s="589"/>
      <c r="H191" s="589"/>
      <c r="J191" s="589"/>
      <c r="K191" s="589"/>
      <c r="L191" s="589"/>
      <c r="M191" s="589"/>
      <c r="N191" s="589"/>
      <c r="O191" s="590"/>
      <c r="P191" s="591"/>
      <c r="Q191" s="589"/>
      <c r="R191" s="590"/>
      <c r="S191" s="591"/>
      <c r="T191" s="589"/>
    </row>
    <row r="192" spans="7:20" s="585" customFormat="1">
      <c r="G192" s="589"/>
      <c r="H192" s="589"/>
      <c r="J192" s="589"/>
      <c r="K192" s="589"/>
      <c r="L192" s="589"/>
      <c r="M192" s="589"/>
      <c r="N192" s="589"/>
      <c r="O192" s="590"/>
      <c r="P192" s="591"/>
      <c r="Q192" s="589"/>
      <c r="R192" s="590"/>
      <c r="S192" s="591"/>
      <c r="T192" s="589"/>
    </row>
    <row r="193" spans="4:20" s="585" customFormat="1">
      <c r="G193" s="589"/>
      <c r="H193" s="589"/>
      <c r="J193" s="589"/>
      <c r="K193" s="589"/>
      <c r="L193" s="589"/>
      <c r="M193" s="589"/>
      <c r="N193" s="589"/>
      <c r="O193" s="590"/>
      <c r="P193" s="591"/>
      <c r="Q193" s="589"/>
      <c r="R193" s="590"/>
      <c r="S193" s="591"/>
      <c r="T193" s="589"/>
    </row>
    <row r="194" spans="4:20" s="585" customFormat="1">
      <c r="D194" s="592"/>
      <c r="G194" s="589"/>
      <c r="H194" s="589"/>
      <c r="J194" s="589"/>
      <c r="K194" s="589"/>
      <c r="L194" s="589"/>
      <c r="M194" s="589"/>
      <c r="N194" s="589"/>
      <c r="O194" s="590"/>
      <c r="P194" s="591"/>
      <c r="Q194" s="589"/>
      <c r="R194" s="590"/>
      <c r="S194" s="591"/>
      <c r="T194" s="589"/>
    </row>
    <row r="195" spans="4:20" s="585" customFormat="1">
      <c r="D195" s="593"/>
      <c r="G195" s="589"/>
      <c r="H195" s="589"/>
      <c r="J195" s="589"/>
      <c r="K195" s="589"/>
      <c r="L195" s="589"/>
      <c r="M195" s="589"/>
      <c r="N195" s="589"/>
      <c r="O195" s="590"/>
      <c r="P195" s="591"/>
      <c r="Q195" s="589"/>
      <c r="R195" s="590"/>
      <c r="S195" s="591"/>
      <c r="T195" s="589"/>
    </row>
    <row r="196" spans="4:20" s="585" customFormat="1">
      <c r="D196" s="593"/>
      <c r="G196" s="589"/>
      <c r="H196" s="589"/>
      <c r="J196" s="589"/>
      <c r="K196" s="589"/>
      <c r="L196" s="589"/>
      <c r="M196" s="589"/>
      <c r="N196" s="589"/>
      <c r="O196" s="590"/>
      <c r="P196" s="591"/>
      <c r="Q196" s="589"/>
      <c r="R196" s="590"/>
      <c r="S196" s="591"/>
      <c r="T196" s="589"/>
    </row>
    <row r="197" spans="4:20" s="585" customFormat="1">
      <c r="D197" s="593"/>
      <c r="G197" s="589"/>
      <c r="H197" s="589"/>
      <c r="J197" s="589"/>
      <c r="K197" s="589"/>
      <c r="L197" s="589"/>
      <c r="M197" s="589"/>
      <c r="N197" s="589"/>
      <c r="O197" s="590"/>
      <c r="P197" s="591"/>
      <c r="Q197" s="589"/>
      <c r="R197" s="590"/>
      <c r="S197" s="591"/>
      <c r="T197" s="589"/>
    </row>
    <row r="198" spans="4:20" s="585" customFormat="1" ht="6" customHeight="1">
      <c r="D198" s="593"/>
      <c r="G198" s="589"/>
      <c r="H198" s="589"/>
      <c r="J198" s="589"/>
      <c r="K198" s="589"/>
      <c r="L198" s="589"/>
      <c r="M198" s="589"/>
      <c r="N198" s="589"/>
      <c r="O198" s="590"/>
      <c r="P198" s="591"/>
      <c r="Q198" s="589"/>
      <c r="R198" s="590"/>
      <c r="S198" s="591"/>
      <c r="T198" s="589"/>
    </row>
    <row r="199" spans="4:20" s="585" customFormat="1">
      <c r="G199" s="589"/>
      <c r="H199" s="589"/>
      <c r="J199" s="589"/>
      <c r="K199" s="589"/>
      <c r="L199" s="589"/>
      <c r="M199" s="589"/>
      <c r="N199" s="589"/>
      <c r="O199" s="590"/>
      <c r="P199" s="591"/>
      <c r="Q199" s="589"/>
      <c r="R199" s="590"/>
      <c r="S199" s="591"/>
      <c r="T199" s="589"/>
    </row>
    <row r="200" spans="4:20" s="585" customFormat="1">
      <c r="G200" s="589"/>
      <c r="H200" s="589"/>
      <c r="J200" s="589"/>
      <c r="K200" s="589"/>
      <c r="L200" s="589"/>
      <c r="M200" s="589"/>
      <c r="N200" s="589"/>
      <c r="O200" s="590"/>
      <c r="P200" s="591"/>
      <c r="Q200" s="589"/>
      <c r="R200" s="590"/>
      <c r="S200" s="591"/>
      <c r="T200" s="589"/>
    </row>
    <row r="201" spans="4:20" s="585" customFormat="1">
      <c r="G201" s="589"/>
      <c r="H201" s="589"/>
      <c r="J201" s="589"/>
      <c r="K201" s="589"/>
      <c r="L201" s="589"/>
      <c r="M201" s="589"/>
      <c r="N201" s="589"/>
      <c r="O201" s="590"/>
      <c r="P201" s="591"/>
      <c r="Q201" s="589"/>
      <c r="R201" s="590"/>
      <c r="S201" s="591"/>
      <c r="T201" s="589"/>
    </row>
    <row r="202" spans="4:20" s="585" customFormat="1">
      <c r="G202" s="589"/>
      <c r="H202" s="589"/>
      <c r="J202" s="589"/>
      <c r="K202" s="589"/>
      <c r="L202" s="589"/>
      <c r="M202" s="589"/>
      <c r="N202" s="589"/>
      <c r="O202" s="590"/>
      <c r="P202" s="591"/>
      <c r="Q202" s="589"/>
      <c r="R202" s="590"/>
      <c r="S202" s="591"/>
      <c r="T202" s="589"/>
    </row>
    <row r="203" spans="4:20" s="585" customFormat="1">
      <c r="G203" s="589"/>
      <c r="H203" s="589"/>
      <c r="J203" s="589"/>
      <c r="K203" s="589"/>
      <c r="L203" s="589"/>
      <c r="M203" s="589"/>
      <c r="N203" s="589"/>
      <c r="O203" s="590"/>
      <c r="P203" s="591"/>
      <c r="Q203" s="589"/>
      <c r="R203" s="590"/>
      <c r="S203" s="591"/>
      <c r="T203" s="589"/>
    </row>
    <row r="204" spans="4:20" s="585" customFormat="1">
      <c r="G204" s="589"/>
      <c r="H204" s="589"/>
      <c r="J204" s="589"/>
      <c r="K204" s="589"/>
      <c r="L204" s="589"/>
      <c r="M204" s="589"/>
      <c r="N204" s="589"/>
      <c r="O204" s="590"/>
      <c r="P204" s="591"/>
      <c r="Q204" s="589"/>
      <c r="R204" s="590"/>
      <c r="S204" s="591"/>
      <c r="T204" s="589"/>
    </row>
    <row r="205" spans="4:20" s="585" customFormat="1">
      <c r="G205" s="589"/>
      <c r="H205" s="589"/>
      <c r="J205" s="589"/>
      <c r="K205" s="589"/>
      <c r="L205" s="589"/>
      <c r="M205" s="589"/>
      <c r="N205" s="589"/>
      <c r="O205" s="590"/>
      <c r="P205" s="591"/>
      <c r="Q205" s="589"/>
      <c r="R205" s="590"/>
      <c r="S205" s="591"/>
      <c r="T205" s="589"/>
    </row>
    <row r="206" spans="4:20" s="585" customFormat="1">
      <c r="G206" s="589"/>
      <c r="H206" s="589"/>
      <c r="J206" s="589"/>
      <c r="K206" s="589"/>
      <c r="L206" s="589"/>
      <c r="M206" s="589"/>
      <c r="N206" s="589"/>
      <c r="O206" s="590"/>
      <c r="P206" s="591"/>
      <c r="Q206" s="589"/>
      <c r="R206" s="590"/>
      <c r="S206" s="591"/>
      <c r="T206" s="589"/>
    </row>
    <row r="207" spans="4:20" s="585" customFormat="1">
      <c r="G207" s="589"/>
      <c r="H207" s="589"/>
      <c r="J207" s="589"/>
      <c r="K207" s="589"/>
      <c r="L207" s="589"/>
      <c r="M207" s="589"/>
      <c r="N207" s="589"/>
      <c r="O207" s="590"/>
      <c r="P207" s="591"/>
      <c r="Q207" s="589"/>
      <c r="R207" s="590"/>
      <c r="S207" s="591"/>
      <c r="T207" s="589"/>
    </row>
    <row r="208" spans="4:20" s="585" customFormat="1">
      <c r="G208" s="589"/>
      <c r="H208" s="589"/>
      <c r="J208" s="589"/>
      <c r="K208" s="589"/>
      <c r="L208" s="589"/>
      <c r="M208" s="589"/>
      <c r="N208" s="589"/>
      <c r="O208" s="590"/>
      <c r="P208" s="591"/>
      <c r="Q208" s="589"/>
      <c r="R208" s="590"/>
      <c r="S208" s="591"/>
      <c r="T208" s="589"/>
    </row>
    <row r="209" spans="7:20" s="585" customFormat="1">
      <c r="G209" s="589"/>
      <c r="H209" s="589"/>
      <c r="J209" s="589"/>
      <c r="K209" s="589"/>
      <c r="L209" s="589"/>
      <c r="M209" s="589"/>
      <c r="N209" s="589"/>
      <c r="O209" s="590"/>
      <c r="P209" s="591"/>
      <c r="Q209" s="589"/>
      <c r="R209" s="590"/>
      <c r="S209" s="591"/>
      <c r="T209" s="589"/>
    </row>
    <row r="210" spans="7:20" s="585" customFormat="1">
      <c r="G210" s="589"/>
      <c r="H210" s="589"/>
      <c r="J210" s="589"/>
      <c r="K210" s="589"/>
      <c r="L210" s="589"/>
      <c r="M210" s="589"/>
      <c r="N210" s="589"/>
      <c r="O210" s="590"/>
      <c r="P210" s="591"/>
      <c r="Q210" s="589"/>
      <c r="R210" s="590"/>
      <c r="S210" s="591"/>
      <c r="T210" s="589"/>
    </row>
    <row r="211" spans="7:20" s="585" customFormat="1">
      <c r="G211" s="589"/>
      <c r="H211" s="589"/>
      <c r="J211" s="589"/>
      <c r="K211" s="589"/>
      <c r="L211" s="589"/>
      <c r="M211" s="589"/>
      <c r="N211" s="589"/>
      <c r="O211" s="590"/>
      <c r="P211" s="591"/>
      <c r="Q211" s="589"/>
      <c r="R211" s="590"/>
      <c r="S211" s="591"/>
      <c r="T211" s="589"/>
    </row>
    <row r="212" spans="7:20" s="585" customFormat="1">
      <c r="G212" s="589"/>
      <c r="H212" s="589"/>
      <c r="J212" s="589"/>
      <c r="K212" s="589"/>
      <c r="L212" s="589"/>
      <c r="M212" s="589"/>
      <c r="N212" s="589"/>
      <c r="O212" s="590"/>
      <c r="P212" s="591"/>
      <c r="Q212" s="589"/>
      <c r="R212" s="590"/>
      <c r="S212" s="591"/>
      <c r="T212" s="589"/>
    </row>
    <row r="213" spans="7:20" s="585" customFormat="1">
      <c r="G213" s="589"/>
      <c r="H213" s="589"/>
      <c r="J213" s="589"/>
      <c r="K213" s="589"/>
      <c r="L213" s="589"/>
      <c r="M213" s="589"/>
      <c r="N213" s="589"/>
      <c r="O213" s="590"/>
      <c r="P213" s="591"/>
      <c r="Q213" s="589"/>
      <c r="R213" s="590"/>
      <c r="S213" s="591"/>
      <c r="T213" s="589"/>
    </row>
    <row r="214" spans="7:20" s="585" customFormat="1">
      <c r="G214" s="589"/>
      <c r="H214" s="589"/>
      <c r="J214" s="589"/>
      <c r="K214" s="589"/>
      <c r="L214" s="589"/>
      <c r="M214" s="589"/>
      <c r="N214" s="589"/>
      <c r="O214" s="590"/>
      <c r="P214" s="591"/>
      <c r="Q214" s="589"/>
      <c r="R214" s="590"/>
      <c r="S214" s="591"/>
      <c r="T214" s="589"/>
    </row>
    <row r="215" spans="7:20" s="585" customFormat="1">
      <c r="G215" s="589"/>
      <c r="H215" s="589"/>
      <c r="J215" s="589"/>
      <c r="K215" s="589"/>
      <c r="L215" s="589"/>
      <c r="M215" s="589"/>
      <c r="N215" s="589"/>
      <c r="O215" s="590"/>
      <c r="P215" s="591"/>
      <c r="Q215" s="589"/>
      <c r="R215" s="590"/>
      <c r="S215" s="591"/>
      <c r="T215" s="589"/>
    </row>
    <row r="216" spans="7:20" s="585" customFormat="1">
      <c r="G216" s="589"/>
      <c r="H216" s="589"/>
      <c r="J216" s="589"/>
      <c r="K216" s="589"/>
      <c r="L216" s="589"/>
      <c r="M216" s="589"/>
      <c r="N216" s="589"/>
      <c r="O216" s="590"/>
      <c r="P216" s="591"/>
      <c r="Q216" s="589"/>
      <c r="R216" s="590"/>
      <c r="S216" s="591"/>
      <c r="T216" s="589"/>
    </row>
    <row r="217" spans="7:20" s="585" customFormat="1">
      <c r="G217" s="589"/>
      <c r="H217" s="589"/>
      <c r="J217" s="589"/>
      <c r="K217" s="589"/>
      <c r="L217" s="589"/>
      <c r="M217" s="589"/>
      <c r="N217" s="589"/>
      <c r="O217" s="590"/>
      <c r="P217" s="591"/>
      <c r="Q217" s="589"/>
      <c r="R217" s="590"/>
      <c r="S217" s="591"/>
      <c r="T217" s="589"/>
    </row>
    <row r="218" spans="7:20" s="585" customFormat="1">
      <c r="G218" s="589"/>
      <c r="H218" s="589"/>
      <c r="J218" s="589"/>
      <c r="K218" s="589"/>
      <c r="L218" s="589"/>
      <c r="M218" s="589"/>
      <c r="N218" s="589"/>
      <c r="O218" s="590"/>
      <c r="P218" s="591"/>
      <c r="Q218" s="589"/>
      <c r="R218" s="590"/>
      <c r="S218" s="591"/>
      <c r="T218" s="589"/>
    </row>
    <row r="219" spans="7:20" s="585" customFormat="1">
      <c r="G219" s="589"/>
      <c r="H219" s="589"/>
      <c r="J219" s="589"/>
      <c r="K219" s="589"/>
      <c r="L219" s="589"/>
      <c r="M219" s="589"/>
      <c r="N219" s="589"/>
      <c r="O219" s="590"/>
      <c r="P219" s="591"/>
      <c r="Q219" s="589"/>
      <c r="R219" s="590"/>
      <c r="S219" s="591"/>
      <c r="T219" s="589"/>
    </row>
    <row r="220" spans="7:20" s="585" customFormat="1">
      <c r="G220" s="589"/>
      <c r="H220" s="589"/>
      <c r="J220" s="589"/>
      <c r="K220" s="589"/>
      <c r="L220" s="589"/>
      <c r="M220" s="589"/>
      <c r="N220" s="589"/>
      <c r="O220" s="590"/>
      <c r="P220" s="591"/>
      <c r="Q220" s="589"/>
      <c r="R220" s="590"/>
      <c r="S220" s="591"/>
      <c r="T220" s="589"/>
    </row>
    <row r="221" spans="7:20" s="585" customFormat="1">
      <c r="G221" s="589"/>
      <c r="H221" s="589"/>
      <c r="J221" s="589"/>
      <c r="K221" s="589"/>
      <c r="L221" s="589"/>
      <c r="M221" s="589"/>
      <c r="N221" s="589"/>
      <c r="O221" s="590"/>
      <c r="P221" s="591"/>
      <c r="Q221" s="589"/>
      <c r="R221" s="590"/>
      <c r="S221" s="591"/>
      <c r="T221" s="589"/>
    </row>
    <row r="222" spans="7:20" s="585" customFormat="1">
      <c r="G222" s="589"/>
      <c r="H222" s="589"/>
      <c r="J222" s="589"/>
      <c r="K222" s="589"/>
      <c r="L222" s="589"/>
      <c r="M222" s="589"/>
      <c r="N222" s="589"/>
      <c r="O222" s="590"/>
      <c r="P222" s="591"/>
      <c r="Q222" s="589"/>
      <c r="R222" s="590"/>
      <c r="S222" s="591"/>
      <c r="T222" s="589"/>
    </row>
    <row r="223" spans="7:20" s="585" customFormat="1">
      <c r="G223" s="589"/>
      <c r="H223" s="589"/>
      <c r="J223" s="589"/>
      <c r="K223" s="589"/>
      <c r="L223" s="589"/>
      <c r="M223" s="589"/>
      <c r="N223" s="589"/>
      <c r="O223" s="590"/>
      <c r="P223" s="591"/>
      <c r="Q223" s="589"/>
      <c r="R223" s="590"/>
      <c r="S223" s="591"/>
      <c r="T223" s="589"/>
    </row>
    <row r="224" spans="7:20" s="585" customFormat="1">
      <c r="G224" s="589"/>
      <c r="H224" s="589"/>
      <c r="J224" s="589"/>
      <c r="K224" s="589"/>
      <c r="L224" s="589"/>
      <c r="M224" s="589"/>
      <c r="N224" s="589"/>
      <c r="O224" s="590"/>
      <c r="P224" s="591"/>
      <c r="Q224" s="589"/>
      <c r="R224" s="590"/>
      <c r="S224" s="591"/>
      <c r="T224" s="589"/>
    </row>
    <row r="225" spans="7:20" s="585" customFormat="1">
      <c r="G225" s="589"/>
      <c r="H225" s="589"/>
      <c r="J225" s="589"/>
      <c r="K225" s="589"/>
      <c r="L225" s="589"/>
      <c r="M225" s="589"/>
      <c r="N225" s="589"/>
      <c r="O225" s="590"/>
      <c r="P225" s="591"/>
      <c r="Q225" s="589"/>
      <c r="R225" s="590"/>
      <c r="S225" s="591"/>
      <c r="T225" s="589"/>
    </row>
    <row r="226" spans="7:20" s="585" customFormat="1">
      <c r="G226" s="589"/>
      <c r="H226" s="589"/>
      <c r="J226" s="589"/>
      <c r="K226" s="589"/>
      <c r="L226" s="589"/>
      <c r="M226" s="589"/>
      <c r="N226" s="589"/>
      <c r="O226" s="590"/>
      <c r="P226" s="591"/>
      <c r="Q226" s="589"/>
      <c r="R226" s="590"/>
      <c r="S226" s="591"/>
      <c r="T226" s="589"/>
    </row>
    <row r="227" spans="7:20" s="585" customFormat="1">
      <c r="G227" s="589"/>
      <c r="H227" s="589"/>
      <c r="J227" s="589"/>
      <c r="K227" s="589"/>
      <c r="L227" s="589"/>
      <c r="M227" s="589"/>
      <c r="N227" s="589"/>
      <c r="O227" s="590"/>
      <c r="P227" s="591"/>
      <c r="Q227" s="589"/>
      <c r="R227" s="590"/>
      <c r="S227" s="591"/>
      <c r="T227" s="589"/>
    </row>
    <row r="228" spans="7:20" s="585" customFormat="1">
      <c r="G228" s="589"/>
      <c r="H228" s="589"/>
      <c r="J228" s="589"/>
      <c r="K228" s="589"/>
      <c r="L228" s="589"/>
      <c r="M228" s="589"/>
      <c r="N228" s="589"/>
      <c r="O228" s="590"/>
      <c r="P228" s="591"/>
      <c r="Q228" s="589"/>
      <c r="R228" s="590"/>
      <c r="S228" s="591"/>
      <c r="T228" s="589"/>
    </row>
    <row r="229" spans="7:20" s="585" customFormat="1">
      <c r="G229" s="589"/>
      <c r="H229" s="589"/>
      <c r="J229" s="589"/>
      <c r="K229" s="589"/>
      <c r="L229" s="589"/>
      <c r="M229" s="589"/>
      <c r="N229" s="589"/>
      <c r="O229" s="590"/>
      <c r="P229" s="591"/>
      <c r="Q229" s="589"/>
      <c r="R229" s="590"/>
      <c r="S229" s="591"/>
      <c r="T229" s="589"/>
    </row>
    <row r="230" spans="7:20" s="585" customFormat="1">
      <c r="G230" s="589"/>
      <c r="H230" s="589"/>
      <c r="J230" s="589"/>
      <c r="K230" s="589"/>
      <c r="L230" s="589"/>
      <c r="M230" s="589"/>
      <c r="N230" s="589"/>
      <c r="O230" s="590"/>
      <c r="P230" s="591"/>
      <c r="Q230" s="589"/>
      <c r="R230" s="590"/>
      <c r="S230" s="591"/>
      <c r="T230" s="589"/>
    </row>
    <row r="231" spans="7:20" s="585" customFormat="1">
      <c r="G231" s="589"/>
      <c r="H231" s="589"/>
      <c r="J231" s="589"/>
      <c r="K231" s="589"/>
      <c r="L231" s="589"/>
      <c r="M231" s="589"/>
      <c r="N231" s="589"/>
      <c r="O231" s="590"/>
      <c r="P231" s="591"/>
      <c r="Q231" s="589"/>
      <c r="R231" s="590"/>
      <c r="S231" s="591"/>
      <c r="T231" s="589"/>
    </row>
    <row r="232" spans="7:20" s="585" customFormat="1">
      <c r="G232" s="589"/>
      <c r="H232" s="589"/>
      <c r="J232" s="589"/>
      <c r="K232" s="589"/>
      <c r="L232" s="589"/>
      <c r="M232" s="589"/>
      <c r="N232" s="589"/>
      <c r="O232" s="590"/>
      <c r="P232" s="591"/>
      <c r="Q232" s="589"/>
      <c r="R232" s="590"/>
      <c r="S232" s="591"/>
      <c r="T232" s="589"/>
    </row>
    <row r="233" spans="7:20" s="585" customFormat="1">
      <c r="G233" s="589"/>
      <c r="H233" s="589"/>
      <c r="J233" s="589"/>
      <c r="K233" s="589"/>
      <c r="L233" s="589"/>
      <c r="M233" s="589"/>
      <c r="N233" s="589"/>
      <c r="O233" s="590"/>
      <c r="P233" s="591"/>
      <c r="Q233" s="589"/>
      <c r="R233" s="590"/>
      <c r="S233" s="591"/>
      <c r="T233" s="589"/>
    </row>
    <row r="234" spans="7:20" s="585" customFormat="1">
      <c r="G234" s="589"/>
      <c r="H234" s="589"/>
      <c r="J234" s="589"/>
      <c r="K234" s="589"/>
      <c r="L234" s="589"/>
      <c r="M234" s="589"/>
      <c r="N234" s="589"/>
      <c r="O234" s="590"/>
      <c r="P234" s="591"/>
      <c r="Q234" s="589"/>
      <c r="R234" s="590"/>
      <c r="S234" s="591"/>
      <c r="T234" s="589"/>
    </row>
    <row r="235" spans="7:20" s="585" customFormat="1">
      <c r="G235" s="589"/>
      <c r="H235" s="589"/>
      <c r="J235" s="589"/>
      <c r="K235" s="589"/>
      <c r="L235" s="589"/>
      <c r="M235" s="589"/>
      <c r="N235" s="589"/>
      <c r="O235" s="590"/>
      <c r="P235" s="591"/>
      <c r="Q235" s="589"/>
      <c r="R235" s="590"/>
      <c r="S235" s="591"/>
      <c r="T235" s="589"/>
    </row>
    <row r="236" spans="7:20" s="585" customFormat="1">
      <c r="G236" s="589"/>
      <c r="H236" s="589"/>
      <c r="J236" s="589"/>
      <c r="K236" s="589"/>
      <c r="L236" s="589"/>
      <c r="M236" s="589"/>
      <c r="N236" s="589"/>
      <c r="O236" s="590"/>
      <c r="P236" s="591"/>
      <c r="Q236" s="589"/>
      <c r="R236" s="590"/>
      <c r="S236" s="591"/>
      <c r="T236" s="589"/>
    </row>
    <row r="237" spans="7:20" s="585" customFormat="1">
      <c r="G237" s="589"/>
      <c r="H237" s="589"/>
      <c r="J237" s="589"/>
      <c r="K237" s="589"/>
      <c r="L237" s="589"/>
      <c r="M237" s="589"/>
      <c r="N237" s="589"/>
      <c r="O237" s="590"/>
      <c r="P237" s="591"/>
      <c r="Q237" s="589"/>
      <c r="R237" s="590"/>
      <c r="S237" s="591"/>
      <c r="T237" s="589"/>
    </row>
    <row r="238" spans="7:20" s="585" customFormat="1">
      <c r="G238" s="589"/>
      <c r="H238" s="589"/>
      <c r="J238" s="589"/>
      <c r="K238" s="589"/>
      <c r="L238" s="589"/>
      <c r="M238" s="589"/>
      <c r="N238" s="589"/>
      <c r="O238" s="590"/>
      <c r="P238" s="591"/>
      <c r="Q238" s="589"/>
      <c r="R238" s="590"/>
      <c r="S238" s="591"/>
      <c r="T238" s="589"/>
    </row>
    <row r="239" spans="7:20" s="585" customFormat="1">
      <c r="G239" s="589"/>
      <c r="H239" s="589"/>
      <c r="J239" s="589"/>
      <c r="K239" s="589"/>
      <c r="L239" s="589"/>
      <c r="M239" s="589"/>
      <c r="N239" s="589"/>
      <c r="O239" s="590"/>
      <c r="P239" s="591"/>
      <c r="Q239" s="589"/>
      <c r="R239" s="590"/>
      <c r="S239" s="591"/>
      <c r="T239" s="589"/>
    </row>
    <row r="240" spans="7:20" s="585" customFormat="1">
      <c r="G240" s="589"/>
      <c r="H240" s="589"/>
      <c r="J240" s="589"/>
      <c r="K240" s="589"/>
      <c r="L240" s="589"/>
      <c r="M240" s="589"/>
      <c r="N240" s="589"/>
      <c r="O240" s="590"/>
      <c r="P240" s="591"/>
      <c r="Q240" s="589"/>
      <c r="R240" s="590"/>
      <c r="S240" s="591"/>
      <c r="T240" s="589"/>
    </row>
    <row r="241" spans="7:20" s="585" customFormat="1">
      <c r="G241" s="589"/>
      <c r="H241" s="589"/>
      <c r="J241" s="589"/>
      <c r="K241" s="589"/>
      <c r="L241" s="589"/>
      <c r="M241" s="589"/>
      <c r="N241" s="589"/>
      <c r="O241" s="590"/>
      <c r="P241" s="591"/>
      <c r="Q241" s="589"/>
      <c r="R241" s="590"/>
      <c r="S241" s="591"/>
      <c r="T241" s="589"/>
    </row>
    <row r="242" spans="7:20" s="585" customFormat="1">
      <c r="G242" s="589"/>
      <c r="H242" s="589"/>
      <c r="J242" s="589"/>
      <c r="K242" s="589"/>
      <c r="L242" s="589"/>
      <c r="M242" s="589"/>
      <c r="N242" s="589"/>
      <c r="O242" s="590"/>
      <c r="P242" s="591"/>
      <c r="Q242" s="589"/>
      <c r="R242" s="590"/>
      <c r="S242" s="591"/>
      <c r="T242" s="589"/>
    </row>
    <row r="243" spans="7:20" s="585" customFormat="1">
      <c r="G243" s="589"/>
      <c r="H243" s="589"/>
      <c r="J243" s="589"/>
      <c r="K243" s="589"/>
      <c r="L243" s="589"/>
      <c r="M243" s="589"/>
      <c r="N243" s="589"/>
      <c r="O243" s="590"/>
      <c r="P243" s="591"/>
      <c r="Q243" s="589"/>
      <c r="R243" s="590"/>
      <c r="S243" s="591"/>
      <c r="T243" s="589"/>
    </row>
    <row r="244" spans="7:20" s="585" customFormat="1">
      <c r="G244" s="589"/>
      <c r="H244" s="589"/>
      <c r="J244" s="589"/>
      <c r="K244" s="589"/>
      <c r="L244" s="589"/>
      <c r="M244" s="589"/>
      <c r="N244" s="589"/>
      <c r="O244" s="590"/>
      <c r="P244" s="591"/>
      <c r="Q244" s="589"/>
      <c r="R244" s="590"/>
      <c r="S244" s="591"/>
      <c r="T244" s="589"/>
    </row>
    <row r="245" spans="7:20" s="585" customFormat="1">
      <c r="G245" s="589"/>
      <c r="H245" s="589"/>
      <c r="J245" s="589"/>
      <c r="K245" s="589"/>
      <c r="L245" s="589"/>
      <c r="M245" s="589"/>
      <c r="N245" s="589"/>
      <c r="O245" s="590"/>
      <c r="P245" s="591"/>
      <c r="Q245" s="589"/>
      <c r="R245" s="590"/>
      <c r="S245" s="591"/>
      <c r="T245" s="589"/>
    </row>
    <row r="246" spans="7:20" s="585" customFormat="1">
      <c r="G246" s="589"/>
      <c r="H246" s="589"/>
      <c r="J246" s="589"/>
      <c r="K246" s="589"/>
      <c r="L246" s="589"/>
      <c r="M246" s="589"/>
      <c r="N246" s="589"/>
      <c r="O246" s="590"/>
      <c r="P246" s="591"/>
      <c r="Q246" s="589"/>
      <c r="R246" s="590"/>
      <c r="S246" s="591"/>
      <c r="T246" s="589"/>
    </row>
    <row r="247" spans="7:20" s="585" customFormat="1">
      <c r="G247" s="589"/>
      <c r="H247" s="589"/>
      <c r="J247" s="589"/>
      <c r="K247" s="589"/>
      <c r="L247" s="589"/>
      <c r="M247" s="589"/>
      <c r="N247" s="589"/>
      <c r="O247" s="590"/>
      <c r="P247" s="591"/>
      <c r="Q247" s="589"/>
      <c r="R247" s="590"/>
      <c r="S247" s="591"/>
      <c r="T247" s="589"/>
    </row>
    <row r="248" spans="7:20" s="585" customFormat="1">
      <c r="G248" s="589"/>
      <c r="H248" s="589"/>
      <c r="J248" s="589"/>
      <c r="K248" s="589"/>
      <c r="L248" s="589"/>
      <c r="M248" s="589"/>
      <c r="N248" s="589"/>
      <c r="O248" s="590"/>
      <c r="P248" s="591"/>
      <c r="Q248" s="589"/>
      <c r="R248" s="590"/>
      <c r="S248" s="591"/>
      <c r="T248" s="589"/>
    </row>
    <row r="249" spans="7:20" s="585" customFormat="1">
      <c r="G249" s="589"/>
      <c r="H249" s="589"/>
      <c r="J249" s="589"/>
      <c r="K249" s="589"/>
      <c r="L249" s="589"/>
      <c r="M249" s="589"/>
      <c r="N249" s="589"/>
      <c r="O249" s="590"/>
      <c r="P249" s="591"/>
      <c r="Q249" s="589"/>
      <c r="R249" s="590"/>
      <c r="S249" s="591"/>
      <c r="T249" s="589"/>
    </row>
    <row r="250" spans="7:20" s="585" customFormat="1">
      <c r="G250" s="589"/>
      <c r="H250" s="589"/>
      <c r="J250" s="589"/>
      <c r="K250" s="589"/>
      <c r="L250" s="589"/>
      <c r="M250" s="589"/>
      <c r="N250" s="589"/>
      <c r="O250" s="590"/>
      <c r="P250" s="591"/>
      <c r="Q250" s="589"/>
      <c r="R250" s="590"/>
      <c r="S250" s="591"/>
      <c r="T250" s="589"/>
    </row>
    <row r="251" spans="7:20" s="585" customFormat="1">
      <c r="G251" s="589"/>
      <c r="H251" s="589"/>
      <c r="J251" s="589"/>
      <c r="K251" s="589"/>
      <c r="L251" s="589"/>
      <c r="M251" s="589"/>
      <c r="N251" s="589"/>
      <c r="O251" s="590"/>
      <c r="P251" s="591"/>
      <c r="Q251" s="589"/>
      <c r="R251" s="590"/>
      <c r="S251" s="591"/>
      <c r="T251" s="589"/>
    </row>
    <row r="252" spans="7:20" s="585" customFormat="1">
      <c r="G252" s="589"/>
      <c r="H252" s="589"/>
      <c r="J252" s="589"/>
      <c r="K252" s="589"/>
      <c r="L252" s="589"/>
      <c r="M252" s="589"/>
      <c r="N252" s="589"/>
      <c r="O252" s="590"/>
      <c r="P252" s="591"/>
      <c r="Q252" s="589"/>
      <c r="R252" s="590"/>
      <c r="S252" s="591"/>
      <c r="T252" s="589"/>
    </row>
    <row r="253" spans="7:20" s="585" customFormat="1">
      <c r="G253" s="589"/>
      <c r="H253" s="589"/>
      <c r="J253" s="589"/>
      <c r="K253" s="589"/>
      <c r="L253" s="589"/>
      <c r="M253" s="589"/>
      <c r="N253" s="589"/>
      <c r="O253" s="590"/>
      <c r="P253" s="591"/>
      <c r="Q253" s="589"/>
      <c r="R253" s="590"/>
      <c r="S253" s="591"/>
      <c r="T253" s="589"/>
    </row>
    <row r="254" spans="7:20" s="585" customFormat="1">
      <c r="G254" s="589"/>
      <c r="H254" s="589"/>
      <c r="J254" s="589"/>
      <c r="K254" s="589"/>
      <c r="L254" s="589"/>
      <c r="M254" s="589"/>
      <c r="N254" s="589"/>
      <c r="O254" s="590"/>
      <c r="P254" s="591"/>
      <c r="Q254" s="589"/>
      <c r="R254" s="590"/>
      <c r="S254" s="591"/>
      <c r="T254" s="589"/>
    </row>
    <row r="255" spans="7:20" s="585" customFormat="1">
      <c r="G255" s="589"/>
      <c r="H255" s="589"/>
      <c r="J255" s="589"/>
      <c r="K255" s="589"/>
      <c r="L255" s="589"/>
      <c r="M255" s="589"/>
      <c r="N255" s="589"/>
      <c r="O255" s="590"/>
      <c r="P255" s="591"/>
      <c r="Q255" s="589"/>
      <c r="R255" s="590"/>
      <c r="S255" s="591"/>
      <c r="T255" s="589"/>
    </row>
    <row r="256" spans="7:20" s="585" customFormat="1">
      <c r="G256" s="589"/>
      <c r="H256" s="589"/>
      <c r="J256" s="589"/>
      <c r="K256" s="589"/>
      <c r="L256" s="589"/>
      <c r="M256" s="589"/>
      <c r="N256" s="589"/>
      <c r="O256" s="590"/>
      <c r="P256" s="591"/>
      <c r="Q256" s="589"/>
      <c r="R256" s="590"/>
      <c r="S256" s="591"/>
      <c r="T256" s="589"/>
    </row>
    <row r="257" spans="7:20" s="585" customFormat="1">
      <c r="G257" s="589"/>
      <c r="H257" s="589"/>
      <c r="J257" s="589"/>
      <c r="K257" s="589"/>
      <c r="L257" s="589"/>
      <c r="M257" s="589"/>
      <c r="N257" s="589"/>
      <c r="O257" s="590"/>
      <c r="P257" s="591"/>
      <c r="Q257" s="589"/>
      <c r="R257" s="590"/>
      <c r="S257" s="591"/>
      <c r="T257" s="589"/>
    </row>
    <row r="258" spans="7:20" s="585" customFormat="1">
      <c r="G258" s="589"/>
      <c r="H258" s="589"/>
      <c r="J258" s="589"/>
      <c r="K258" s="589"/>
      <c r="L258" s="589"/>
      <c r="M258" s="589"/>
      <c r="N258" s="589"/>
      <c r="O258" s="590"/>
      <c r="P258" s="591"/>
      <c r="Q258" s="589"/>
      <c r="R258" s="590"/>
      <c r="S258" s="591"/>
      <c r="T258" s="589"/>
    </row>
    <row r="259" spans="7:20" s="585" customFormat="1">
      <c r="G259" s="589"/>
      <c r="H259" s="589"/>
      <c r="J259" s="589"/>
      <c r="K259" s="589"/>
      <c r="L259" s="589"/>
      <c r="M259" s="589"/>
      <c r="N259" s="589"/>
      <c r="O259" s="590"/>
      <c r="P259" s="591"/>
      <c r="Q259" s="589"/>
      <c r="R259" s="590"/>
      <c r="S259" s="591"/>
      <c r="T259" s="589"/>
    </row>
    <row r="260" spans="7:20" s="585" customFormat="1">
      <c r="G260" s="589"/>
      <c r="H260" s="589"/>
      <c r="J260" s="589"/>
      <c r="K260" s="589"/>
      <c r="L260" s="589"/>
      <c r="M260" s="589"/>
      <c r="N260" s="589"/>
      <c r="O260" s="590"/>
      <c r="P260" s="591"/>
      <c r="Q260" s="589"/>
      <c r="R260" s="590"/>
      <c r="S260" s="591"/>
      <c r="T260" s="589"/>
    </row>
    <row r="261" spans="7:20" s="585" customFormat="1">
      <c r="G261" s="589"/>
      <c r="H261" s="589"/>
      <c r="J261" s="589"/>
      <c r="K261" s="589"/>
      <c r="L261" s="589"/>
      <c r="M261" s="589"/>
      <c r="N261" s="589"/>
      <c r="O261" s="590"/>
      <c r="P261" s="591"/>
      <c r="Q261" s="589"/>
      <c r="R261" s="590"/>
      <c r="S261" s="591"/>
      <c r="T261" s="589"/>
    </row>
    <row r="262" spans="7:20" s="585" customFormat="1">
      <c r="G262" s="589"/>
      <c r="H262" s="589"/>
      <c r="J262" s="589"/>
      <c r="K262" s="589"/>
      <c r="L262" s="589"/>
      <c r="M262" s="589"/>
      <c r="N262" s="589"/>
      <c r="O262" s="590"/>
      <c r="P262" s="591"/>
      <c r="Q262" s="589"/>
      <c r="R262" s="590"/>
      <c r="S262" s="591"/>
      <c r="T262" s="589"/>
    </row>
    <row r="263" spans="7:20" s="585" customFormat="1">
      <c r="G263" s="589"/>
      <c r="H263" s="589"/>
      <c r="J263" s="589"/>
      <c r="K263" s="589"/>
      <c r="L263" s="589"/>
      <c r="M263" s="589"/>
      <c r="N263" s="589"/>
      <c r="O263" s="590"/>
      <c r="P263" s="591"/>
      <c r="Q263" s="589"/>
      <c r="R263" s="590"/>
      <c r="S263" s="591"/>
      <c r="T263" s="589"/>
    </row>
    <row r="264" spans="7:20" s="585" customFormat="1">
      <c r="G264" s="589"/>
      <c r="H264" s="589"/>
      <c r="J264" s="589"/>
      <c r="K264" s="589"/>
      <c r="L264" s="589"/>
      <c r="M264" s="589"/>
      <c r="N264" s="589"/>
      <c r="O264" s="590"/>
      <c r="P264" s="591"/>
      <c r="Q264" s="589"/>
      <c r="R264" s="590"/>
      <c r="S264" s="591"/>
      <c r="T264" s="589"/>
    </row>
    <row r="265" spans="7:20" s="585" customFormat="1">
      <c r="G265" s="589"/>
      <c r="H265" s="589"/>
      <c r="J265" s="589"/>
      <c r="K265" s="589"/>
      <c r="L265" s="589"/>
      <c r="M265" s="589"/>
      <c r="N265" s="589"/>
      <c r="O265" s="590"/>
      <c r="P265" s="591"/>
      <c r="Q265" s="589"/>
      <c r="R265" s="590"/>
      <c r="S265" s="591"/>
      <c r="T265" s="589"/>
    </row>
    <row r="266" spans="7:20" s="585" customFormat="1">
      <c r="G266" s="589"/>
      <c r="H266" s="589"/>
      <c r="J266" s="589"/>
      <c r="K266" s="589"/>
      <c r="L266" s="589"/>
      <c r="M266" s="589"/>
      <c r="N266" s="589"/>
      <c r="O266" s="590"/>
      <c r="P266" s="591"/>
      <c r="Q266" s="589"/>
      <c r="R266" s="590"/>
      <c r="S266" s="591"/>
      <c r="T266" s="589"/>
    </row>
    <row r="267" spans="7:20" s="585" customFormat="1">
      <c r="G267" s="589"/>
      <c r="H267" s="589"/>
      <c r="J267" s="589"/>
      <c r="K267" s="589"/>
      <c r="L267" s="589"/>
      <c r="M267" s="589"/>
      <c r="N267" s="589"/>
      <c r="O267" s="590"/>
      <c r="P267" s="591"/>
      <c r="Q267" s="589"/>
      <c r="R267" s="590"/>
      <c r="S267" s="591"/>
      <c r="T267" s="589"/>
    </row>
    <row r="268" spans="7:20" s="585" customFormat="1">
      <c r="G268" s="589"/>
      <c r="H268" s="589"/>
      <c r="J268" s="589"/>
      <c r="K268" s="589"/>
      <c r="L268" s="589"/>
      <c r="M268" s="589"/>
      <c r="N268" s="589"/>
      <c r="O268" s="590"/>
      <c r="P268" s="591"/>
      <c r="Q268" s="589"/>
      <c r="R268" s="590"/>
      <c r="S268" s="591"/>
      <c r="T268" s="589"/>
    </row>
    <row r="269" spans="7:20" s="585" customFormat="1">
      <c r="G269" s="589"/>
      <c r="H269" s="589"/>
      <c r="J269" s="589"/>
      <c r="K269" s="589"/>
      <c r="L269" s="589"/>
      <c r="M269" s="589"/>
      <c r="N269" s="589"/>
      <c r="O269" s="590"/>
      <c r="P269" s="591"/>
      <c r="Q269" s="589"/>
      <c r="R269" s="590"/>
      <c r="S269" s="591"/>
      <c r="T269" s="589"/>
    </row>
    <row r="270" spans="7:20" s="585" customFormat="1">
      <c r="G270" s="589"/>
      <c r="H270" s="589"/>
      <c r="J270" s="589"/>
      <c r="K270" s="589"/>
      <c r="L270" s="589"/>
      <c r="M270" s="589"/>
      <c r="N270" s="589"/>
      <c r="O270" s="590"/>
      <c r="P270" s="591"/>
      <c r="Q270" s="589"/>
      <c r="R270" s="590"/>
      <c r="S270" s="591"/>
      <c r="T270" s="589"/>
    </row>
    <row r="271" spans="7:20" s="585" customFormat="1">
      <c r="G271" s="589"/>
      <c r="H271" s="589"/>
      <c r="J271" s="589"/>
      <c r="K271" s="589"/>
      <c r="L271" s="589"/>
      <c r="M271" s="589"/>
      <c r="N271" s="589"/>
      <c r="O271" s="590"/>
      <c r="P271" s="591"/>
      <c r="Q271" s="589"/>
      <c r="R271" s="590"/>
      <c r="S271" s="591"/>
      <c r="T271" s="589"/>
    </row>
    <row r="272" spans="7:20" s="585" customFormat="1">
      <c r="G272" s="589"/>
      <c r="H272" s="589"/>
      <c r="J272" s="589"/>
      <c r="K272" s="589"/>
      <c r="L272" s="589"/>
      <c r="M272" s="589"/>
      <c r="N272" s="589"/>
      <c r="O272" s="590"/>
      <c r="P272" s="591"/>
      <c r="Q272" s="589"/>
      <c r="R272" s="590"/>
      <c r="S272" s="591"/>
      <c r="T272" s="589"/>
    </row>
    <row r="273" spans="7:20" s="585" customFormat="1">
      <c r="G273" s="589"/>
      <c r="H273" s="589"/>
      <c r="J273" s="589"/>
      <c r="K273" s="589"/>
      <c r="L273" s="589"/>
      <c r="M273" s="589"/>
      <c r="N273" s="589"/>
      <c r="O273" s="590"/>
      <c r="P273" s="591"/>
      <c r="Q273" s="589"/>
      <c r="R273" s="590"/>
      <c r="S273" s="591"/>
      <c r="T273" s="589"/>
    </row>
    <row r="274" spans="7:20" s="585" customFormat="1">
      <c r="G274" s="589"/>
      <c r="H274" s="589"/>
      <c r="J274" s="589"/>
      <c r="K274" s="589"/>
      <c r="L274" s="589"/>
      <c r="M274" s="589"/>
      <c r="N274" s="589"/>
      <c r="O274" s="590"/>
      <c r="P274" s="591"/>
      <c r="Q274" s="589"/>
      <c r="R274" s="590"/>
      <c r="S274" s="591"/>
      <c r="T274" s="589"/>
    </row>
    <row r="275" spans="7:20" s="585" customFormat="1">
      <c r="G275" s="589"/>
      <c r="H275" s="589"/>
      <c r="J275" s="589"/>
      <c r="K275" s="589"/>
      <c r="L275" s="589"/>
      <c r="M275" s="589"/>
      <c r="N275" s="589"/>
      <c r="O275" s="590"/>
      <c r="P275" s="591"/>
      <c r="Q275" s="589"/>
      <c r="R275" s="590"/>
      <c r="S275" s="591"/>
      <c r="T275" s="589"/>
    </row>
    <row r="276" spans="7:20" s="585" customFormat="1">
      <c r="G276" s="589"/>
      <c r="H276" s="589"/>
      <c r="J276" s="589"/>
      <c r="K276" s="589"/>
      <c r="L276" s="589"/>
      <c r="M276" s="589"/>
      <c r="N276" s="589"/>
      <c r="O276" s="590"/>
      <c r="P276" s="591"/>
      <c r="Q276" s="589"/>
      <c r="R276" s="590"/>
      <c r="S276" s="591"/>
      <c r="T276" s="589"/>
    </row>
    <row r="277" spans="7:20" s="585" customFormat="1">
      <c r="G277" s="589"/>
      <c r="H277" s="589"/>
      <c r="J277" s="589"/>
      <c r="K277" s="589"/>
      <c r="L277" s="589"/>
      <c r="M277" s="589"/>
      <c r="N277" s="589"/>
      <c r="O277" s="590"/>
      <c r="P277" s="591"/>
      <c r="Q277" s="589"/>
      <c r="R277" s="590"/>
      <c r="S277" s="591"/>
      <c r="T277" s="589"/>
    </row>
    <row r="278" spans="7:20" s="585" customFormat="1">
      <c r="G278" s="589"/>
      <c r="H278" s="589"/>
      <c r="J278" s="589"/>
      <c r="K278" s="589"/>
      <c r="L278" s="589"/>
      <c r="M278" s="589"/>
      <c r="N278" s="589"/>
      <c r="O278" s="590"/>
      <c r="P278" s="591"/>
      <c r="Q278" s="589"/>
      <c r="R278" s="590"/>
      <c r="S278" s="591"/>
      <c r="T278" s="589"/>
    </row>
    <row r="279" spans="7:20" s="585" customFormat="1">
      <c r="G279" s="589"/>
      <c r="H279" s="589"/>
      <c r="J279" s="589"/>
      <c r="K279" s="589"/>
      <c r="L279" s="589"/>
      <c r="M279" s="589"/>
      <c r="N279" s="589"/>
      <c r="O279" s="590"/>
      <c r="P279" s="591"/>
      <c r="Q279" s="589"/>
      <c r="R279" s="590"/>
      <c r="S279" s="591"/>
      <c r="T279" s="589"/>
    </row>
    <row r="280" spans="7:20" s="585" customFormat="1">
      <c r="G280" s="589"/>
      <c r="H280" s="589"/>
      <c r="J280" s="589"/>
      <c r="K280" s="589"/>
      <c r="L280" s="589"/>
      <c r="M280" s="589"/>
      <c r="N280" s="589"/>
      <c r="O280" s="590"/>
      <c r="P280" s="591"/>
      <c r="Q280" s="589"/>
      <c r="R280" s="590"/>
      <c r="S280" s="591"/>
      <c r="T280" s="589"/>
    </row>
    <row r="281" spans="7:20" s="585" customFormat="1">
      <c r="G281" s="589"/>
      <c r="H281" s="589"/>
      <c r="J281" s="589"/>
      <c r="K281" s="589"/>
      <c r="L281" s="589"/>
      <c r="M281" s="589"/>
      <c r="N281" s="589"/>
      <c r="O281" s="590"/>
      <c r="P281" s="591"/>
      <c r="Q281" s="589"/>
      <c r="R281" s="590"/>
      <c r="S281" s="591"/>
      <c r="T281" s="589"/>
    </row>
    <row r="282" spans="7:20" s="585" customFormat="1">
      <c r="G282" s="589"/>
      <c r="H282" s="589"/>
      <c r="J282" s="589"/>
      <c r="K282" s="589"/>
      <c r="L282" s="589"/>
      <c r="M282" s="589"/>
      <c r="N282" s="589"/>
      <c r="O282" s="590"/>
      <c r="P282" s="591"/>
      <c r="Q282" s="589"/>
      <c r="R282" s="590"/>
      <c r="S282" s="591"/>
      <c r="T282" s="589"/>
    </row>
    <row r="283" spans="7:20" s="585" customFormat="1">
      <c r="G283" s="589"/>
      <c r="H283" s="589"/>
      <c r="J283" s="589"/>
      <c r="K283" s="589"/>
      <c r="L283" s="589"/>
      <c r="M283" s="589"/>
      <c r="N283" s="589"/>
      <c r="O283" s="590"/>
      <c r="P283" s="591"/>
      <c r="Q283" s="589"/>
      <c r="R283" s="590"/>
      <c r="S283" s="591"/>
      <c r="T283" s="589"/>
    </row>
    <row r="284" spans="7:20" s="585" customFormat="1">
      <c r="G284" s="589"/>
      <c r="H284" s="589"/>
      <c r="J284" s="589"/>
      <c r="K284" s="589"/>
      <c r="L284" s="589"/>
      <c r="M284" s="589"/>
      <c r="N284" s="589"/>
      <c r="O284" s="590"/>
      <c r="P284" s="591"/>
      <c r="Q284" s="589"/>
      <c r="R284" s="590"/>
      <c r="S284" s="591"/>
      <c r="T284" s="589"/>
    </row>
    <row r="285" spans="7:20" s="585" customFormat="1">
      <c r="G285" s="589"/>
      <c r="H285" s="589"/>
      <c r="J285" s="589"/>
      <c r="K285" s="589"/>
      <c r="L285" s="589"/>
      <c r="M285" s="589"/>
      <c r="N285" s="589"/>
      <c r="O285" s="590"/>
      <c r="P285" s="591"/>
      <c r="Q285" s="589"/>
      <c r="R285" s="590"/>
      <c r="S285" s="591"/>
      <c r="T285" s="589"/>
    </row>
    <row r="286" spans="7:20" s="585" customFormat="1">
      <c r="G286" s="589"/>
      <c r="H286" s="589"/>
      <c r="J286" s="589"/>
      <c r="K286" s="589"/>
      <c r="L286" s="589"/>
      <c r="M286" s="589"/>
      <c r="N286" s="589"/>
      <c r="O286" s="590"/>
      <c r="P286" s="591"/>
      <c r="Q286" s="589"/>
      <c r="R286" s="590"/>
      <c r="S286" s="591"/>
      <c r="T286" s="589"/>
    </row>
    <row r="287" spans="7:20" s="585" customFormat="1">
      <c r="G287" s="589"/>
      <c r="H287" s="589"/>
      <c r="J287" s="589"/>
      <c r="K287" s="589"/>
      <c r="L287" s="589"/>
      <c r="M287" s="589"/>
      <c r="N287" s="589"/>
      <c r="O287" s="590"/>
      <c r="P287" s="591"/>
      <c r="Q287" s="589"/>
      <c r="R287" s="590"/>
      <c r="S287" s="591"/>
      <c r="T287" s="589"/>
    </row>
    <row r="288" spans="7:20" s="585" customFormat="1">
      <c r="G288" s="589"/>
      <c r="H288" s="589"/>
      <c r="J288" s="589"/>
      <c r="K288" s="589"/>
      <c r="L288" s="589"/>
      <c r="M288" s="589"/>
      <c r="N288" s="589"/>
      <c r="O288" s="590"/>
      <c r="P288" s="591"/>
      <c r="Q288" s="589"/>
      <c r="R288" s="590"/>
      <c r="S288" s="591"/>
      <c r="T288" s="589"/>
    </row>
    <row r="289" spans="7:20" s="585" customFormat="1">
      <c r="G289" s="589"/>
      <c r="H289" s="589"/>
      <c r="J289" s="589"/>
      <c r="K289" s="589"/>
      <c r="L289" s="589"/>
      <c r="M289" s="589"/>
      <c r="N289" s="589"/>
      <c r="O289" s="590"/>
      <c r="P289" s="591"/>
      <c r="Q289" s="589"/>
      <c r="R289" s="590"/>
      <c r="S289" s="591"/>
      <c r="T289" s="589"/>
    </row>
    <row r="290" spans="7:20" s="585" customFormat="1">
      <c r="G290" s="589"/>
      <c r="H290" s="589"/>
      <c r="J290" s="589"/>
      <c r="K290" s="589"/>
      <c r="L290" s="589"/>
      <c r="M290" s="589"/>
      <c r="N290" s="589"/>
      <c r="O290" s="590"/>
      <c r="P290" s="591"/>
      <c r="Q290" s="589"/>
      <c r="R290" s="590"/>
      <c r="S290" s="591"/>
      <c r="T290" s="589"/>
    </row>
    <row r="291" spans="7:20" s="585" customFormat="1">
      <c r="G291" s="589"/>
      <c r="H291" s="589"/>
      <c r="J291" s="589"/>
      <c r="K291" s="589"/>
      <c r="L291" s="589"/>
      <c r="M291" s="589"/>
      <c r="N291" s="589"/>
      <c r="O291" s="590"/>
      <c r="P291" s="591"/>
      <c r="Q291" s="589"/>
      <c r="R291" s="590"/>
      <c r="S291" s="591"/>
      <c r="T291" s="589"/>
    </row>
    <row r="292" spans="7:20" s="585" customFormat="1">
      <c r="G292" s="589"/>
      <c r="H292" s="589"/>
      <c r="J292" s="589"/>
      <c r="K292" s="589"/>
      <c r="L292" s="589"/>
      <c r="M292" s="589"/>
      <c r="N292" s="589"/>
      <c r="O292" s="590"/>
      <c r="P292" s="591"/>
      <c r="Q292" s="589"/>
      <c r="R292" s="590"/>
      <c r="S292" s="591"/>
      <c r="T292" s="589"/>
    </row>
    <row r="293" spans="7:20" s="585" customFormat="1">
      <c r="G293" s="589"/>
      <c r="H293" s="589"/>
      <c r="J293" s="589"/>
      <c r="K293" s="589"/>
      <c r="L293" s="589"/>
      <c r="M293" s="589"/>
      <c r="N293" s="589"/>
      <c r="O293" s="590"/>
      <c r="P293" s="591"/>
      <c r="Q293" s="589"/>
      <c r="R293" s="590"/>
      <c r="S293" s="591"/>
      <c r="T293" s="589"/>
    </row>
    <row r="294" spans="7:20" s="585" customFormat="1">
      <c r="G294" s="589"/>
      <c r="H294" s="589"/>
      <c r="J294" s="589"/>
      <c r="K294" s="589"/>
      <c r="L294" s="589"/>
      <c r="M294" s="589"/>
      <c r="N294" s="589"/>
      <c r="O294" s="590"/>
      <c r="P294" s="591"/>
      <c r="Q294" s="589"/>
      <c r="R294" s="590"/>
      <c r="S294" s="591"/>
      <c r="T294" s="589"/>
    </row>
    <row r="295" spans="7:20" s="585" customFormat="1">
      <c r="G295" s="589"/>
      <c r="H295" s="589"/>
      <c r="J295" s="589"/>
      <c r="K295" s="589"/>
      <c r="L295" s="589"/>
      <c r="M295" s="589"/>
      <c r="N295" s="589"/>
      <c r="O295" s="590"/>
      <c r="P295" s="591"/>
      <c r="Q295" s="589"/>
      <c r="R295" s="590"/>
      <c r="S295" s="591"/>
      <c r="T295" s="589"/>
    </row>
    <row r="296" spans="7:20" s="585" customFormat="1">
      <c r="G296" s="589"/>
      <c r="H296" s="589"/>
      <c r="J296" s="589"/>
      <c r="K296" s="589"/>
      <c r="L296" s="589"/>
      <c r="M296" s="589"/>
      <c r="N296" s="589"/>
      <c r="O296" s="590"/>
      <c r="P296" s="591"/>
      <c r="Q296" s="589"/>
      <c r="R296" s="590"/>
      <c r="S296" s="591"/>
      <c r="T296" s="589"/>
    </row>
    <row r="297" spans="7:20" s="585" customFormat="1">
      <c r="G297" s="589"/>
      <c r="H297" s="589"/>
      <c r="J297" s="589"/>
      <c r="K297" s="589"/>
      <c r="L297" s="589"/>
      <c r="M297" s="589"/>
      <c r="N297" s="589"/>
      <c r="O297" s="590"/>
      <c r="P297" s="591"/>
      <c r="Q297" s="589"/>
      <c r="R297" s="590"/>
      <c r="S297" s="591"/>
      <c r="T297" s="589"/>
    </row>
    <row r="298" spans="7:20" s="585" customFormat="1">
      <c r="G298" s="589"/>
      <c r="H298" s="589"/>
      <c r="J298" s="589"/>
      <c r="K298" s="589"/>
      <c r="L298" s="589"/>
      <c r="M298" s="589"/>
      <c r="N298" s="589"/>
      <c r="O298" s="590"/>
      <c r="P298" s="591"/>
      <c r="Q298" s="589"/>
      <c r="R298" s="590"/>
      <c r="S298" s="591"/>
      <c r="T298" s="589"/>
    </row>
    <row r="299" spans="7:20" s="585" customFormat="1">
      <c r="G299" s="589"/>
      <c r="H299" s="589"/>
      <c r="J299" s="589"/>
      <c r="K299" s="589"/>
      <c r="L299" s="589"/>
      <c r="M299" s="589"/>
      <c r="N299" s="589"/>
      <c r="O299" s="590"/>
      <c r="P299" s="591"/>
      <c r="Q299" s="589"/>
      <c r="R299" s="590"/>
      <c r="S299" s="591"/>
      <c r="T299" s="589"/>
    </row>
    <row r="300" spans="7:20" s="585" customFormat="1">
      <c r="G300" s="589"/>
      <c r="H300" s="589"/>
      <c r="J300" s="589"/>
      <c r="K300" s="589"/>
      <c r="L300" s="589"/>
      <c r="M300" s="589"/>
      <c r="N300" s="589"/>
      <c r="O300" s="590"/>
      <c r="P300" s="591"/>
      <c r="Q300" s="589"/>
      <c r="R300" s="590"/>
      <c r="S300" s="591"/>
      <c r="T300" s="589"/>
    </row>
    <row r="301" spans="7:20" s="585" customFormat="1">
      <c r="G301" s="589"/>
      <c r="H301" s="589"/>
      <c r="J301" s="589"/>
      <c r="K301" s="589"/>
      <c r="L301" s="589"/>
      <c r="M301" s="589"/>
      <c r="N301" s="589"/>
      <c r="O301" s="590"/>
      <c r="P301" s="591"/>
      <c r="Q301" s="589"/>
      <c r="R301" s="590"/>
      <c r="S301" s="591"/>
      <c r="T301" s="589"/>
    </row>
    <row r="302" spans="7:20" s="585" customFormat="1">
      <c r="G302" s="589"/>
      <c r="H302" s="589"/>
      <c r="J302" s="589"/>
      <c r="K302" s="589"/>
      <c r="L302" s="589"/>
      <c r="M302" s="589"/>
      <c r="N302" s="589"/>
      <c r="O302" s="590"/>
      <c r="P302" s="591"/>
      <c r="Q302" s="589"/>
      <c r="R302" s="590"/>
      <c r="S302" s="591"/>
      <c r="T302" s="589"/>
    </row>
    <row r="303" spans="7:20" s="585" customFormat="1">
      <c r="G303" s="589"/>
      <c r="H303" s="589"/>
      <c r="J303" s="589"/>
      <c r="K303" s="589"/>
      <c r="L303" s="589"/>
      <c r="M303" s="589"/>
      <c r="N303" s="589"/>
      <c r="O303" s="590"/>
      <c r="P303" s="591"/>
      <c r="Q303" s="589"/>
      <c r="R303" s="590"/>
      <c r="S303" s="591"/>
      <c r="T303" s="589"/>
    </row>
    <row r="304" spans="7:20" s="585" customFormat="1">
      <c r="G304" s="589"/>
      <c r="H304" s="589"/>
      <c r="J304" s="589"/>
      <c r="K304" s="589"/>
      <c r="L304" s="589"/>
      <c r="M304" s="589"/>
      <c r="N304" s="589"/>
      <c r="O304" s="590"/>
      <c r="P304" s="591"/>
      <c r="Q304" s="589"/>
      <c r="R304" s="590"/>
      <c r="S304" s="591"/>
      <c r="T304" s="589"/>
    </row>
    <row r="305" spans="7:20" s="585" customFormat="1">
      <c r="G305" s="589"/>
      <c r="H305" s="589"/>
      <c r="J305" s="589"/>
      <c r="K305" s="589"/>
      <c r="L305" s="589"/>
      <c r="M305" s="589"/>
      <c r="N305" s="589"/>
      <c r="O305" s="590"/>
      <c r="P305" s="591"/>
      <c r="Q305" s="589"/>
      <c r="R305" s="590"/>
      <c r="S305" s="591"/>
      <c r="T305" s="589"/>
    </row>
    <row r="306" spans="7:20" s="585" customFormat="1">
      <c r="G306" s="589"/>
      <c r="H306" s="589"/>
      <c r="J306" s="589"/>
      <c r="K306" s="589"/>
      <c r="L306" s="589"/>
      <c r="M306" s="589"/>
      <c r="N306" s="589"/>
      <c r="O306" s="590"/>
      <c r="P306" s="591"/>
      <c r="Q306" s="589"/>
      <c r="R306" s="590"/>
      <c r="S306" s="591"/>
      <c r="T306" s="589"/>
    </row>
    <row r="307" spans="7:20" s="585" customFormat="1">
      <c r="G307" s="589"/>
      <c r="H307" s="589"/>
      <c r="J307" s="589"/>
      <c r="K307" s="589"/>
      <c r="L307" s="589"/>
      <c r="M307" s="589"/>
      <c r="N307" s="589"/>
      <c r="O307" s="590"/>
      <c r="P307" s="591"/>
      <c r="Q307" s="589"/>
      <c r="R307" s="590"/>
      <c r="S307" s="591"/>
      <c r="T307" s="589"/>
    </row>
    <row r="308" spans="7:20" s="585" customFormat="1">
      <c r="G308" s="589"/>
      <c r="H308" s="589"/>
      <c r="J308" s="589"/>
      <c r="K308" s="589"/>
      <c r="L308" s="589"/>
      <c r="M308" s="589"/>
      <c r="N308" s="589"/>
      <c r="O308" s="590"/>
      <c r="P308" s="591"/>
      <c r="Q308" s="589"/>
      <c r="R308" s="590"/>
      <c r="S308" s="591"/>
      <c r="T308" s="589"/>
    </row>
    <row r="309" spans="7:20" s="585" customFormat="1">
      <c r="G309" s="589"/>
      <c r="H309" s="589"/>
      <c r="J309" s="589"/>
      <c r="K309" s="589"/>
      <c r="L309" s="589"/>
      <c r="M309" s="589"/>
      <c r="N309" s="589"/>
      <c r="O309" s="590"/>
      <c r="P309" s="591"/>
      <c r="Q309" s="589"/>
      <c r="R309" s="590"/>
      <c r="S309" s="591"/>
      <c r="T309" s="589"/>
    </row>
    <row r="310" spans="7:20" s="585" customFormat="1">
      <c r="G310" s="589"/>
      <c r="H310" s="589"/>
      <c r="J310" s="589"/>
      <c r="K310" s="589"/>
      <c r="L310" s="589"/>
      <c r="M310" s="589"/>
      <c r="N310" s="589"/>
      <c r="O310" s="590"/>
      <c r="P310" s="591"/>
      <c r="Q310" s="589"/>
      <c r="R310" s="590"/>
      <c r="S310" s="591"/>
      <c r="T310" s="589"/>
    </row>
    <row r="311" spans="7:20" s="585" customFormat="1">
      <c r="G311" s="589"/>
      <c r="H311" s="589"/>
      <c r="J311" s="589"/>
      <c r="K311" s="589"/>
      <c r="L311" s="589"/>
      <c r="M311" s="589"/>
      <c r="N311" s="589"/>
      <c r="O311" s="590"/>
      <c r="P311" s="591"/>
      <c r="Q311" s="589"/>
      <c r="R311" s="590"/>
      <c r="S311" s="591"/>
      <c r="T311" s="589"/>
    </row>
    <row r="312" spans="7:20" s="585" customFormat="1">
      <c r="G312" s="589"/>
      <c r="H312" s="589"/>
      <c r="J312" s="589"/>
      <c r="K312" s="589"/>
      <c r="L312" s="589"/>
      <c r="M312" s="589"/>
      <c r="N312" s="589"/>
      <c r="O312" s="590"/>
      <c r="P312" s="591"/>
      <c r="Q312" s="589"/>
      <c r="R312" s="590"/>
      <c r="S312" s="591"/>
      <c r="T312" s="589"/>
    </row>
    <row r="313" spans="7:20" s="585" customFormat="1">
      <c r="G313" s="589"/>
      <c r="H313" s="589"/>
      <c r="J313" s="589"/>
      <c r="K313" s="589"/>
      <c r="L313" s="589"/>
      <c r="M313" s="589"/>
      <c r="N313" s="589"/>
      <c r="O313" s="590"/>
      <c r="P313" s="591"/>
      <c r="Q313" s="589"/>
      <c r="R313" s="590"/>
      <c r="S313" s="591"/>
      <c r="T313" s="589"/>
    </row>
    <row r="314" spans="7:20" s="585" customFormat="1">
      <c r="G314" s="589"/>
      <c r="H314" s="589"/>
      <c r="J314" s="589"/>
      <c r="K314" s="589"/>
      <c r="L314" s="589"/>
      <c r="M314" s="589"/>
      <c r="N314" s="589"/>
      <c r="O314" s="590"/>
      <c r="P314" s="591"/>
      <c r="Q314" s="589"/>
      <c r="R314" s="590"/>
      <c r="S314" s="591"/>
      <c r="T314" s="589"/>
    </row>
    <row r="315" spans="7:20" s="585" customFormat="1">
      <c r="G315" s="589"/>
      <c r="H315" s="589"/>
      <c r="J315" s="589"/>
      <c r="K315" s="589"/>
      <c r="L315" s="589"/>
      <c r="M315" s="589"/>
      <c r="N315" s="589"/>
      <c r="O315" s="590"/>
      <c r="P315" s="591"/>
      <c r="Q315" s="589"/>
      <c r="R315" s="590"/>
      <c r="S315" s="591"/>
      <c r="T315" s="589"/>
    </row>
    <row r="316" spans="7:20" s="585" customFormat="1">
      <c r="G316" s="589"/>
      <c r="H316" s="589"/>
      <c r="J316" s="589"/>
      <c r="K316" s="589"/>
      <c r="L316" s="589"/>
      <c r="M316" s="589"/>
      <c r="N316" s="589"/>
      <c r="O316" s="590"/>
      <c r="P316" s="591"/>
      <c r="Q316" s="589"/>
      <c r="R316" s="590"/>
      <c r="S316" s="591"/>
      <c r="T316" s="589"/>
    </row>
    <row r="317" spans="7:20" s="585" customFormat="1">
      <c r="G317" s="589"/>
      <c r="H317" s="589"/>
      <c r="J317" s="589"/>
      <c r="K317" s="589"/>
      <c r="L317" s="589"/>
      <c r="M317" s="589"/>
      <c r="N317" s="589"/>
      <c r="O317" s="590"/>
      <c r="P317" s="591"/>
      <c r="Q317" s="589"/>
      <c r="R317" s="590"/>
      <c r="S317" s="591"/>
      <c r="T317" s="589"/>
    </row>
    <row r="318" spans="7:20" s="585" customFormat="1">
      <c r="G318" s="589"/>
      <c r="H318" s="589"/>
      <c r="J318" s="589"/>
      <c r="K318" s="589"/>
      <c r="L318" s="589"/>
      <c r="M318" s="589"/>
      <c r="N318" s="589"/>
      <c r="O318" s="590"/>
      <c r="P318" s="591"/>
      <c r="Q318" s="589"/>
      <c r="R318" s="590"/>
      <c r="S318" s="591"/>
      <c r="T318" s="589"/>
    </row>
    <row r="319" spans="7:20" s="585" customFormat="1">
      <c r="G319" s="589"/>
      <c r="H319" s="589"/>
      <c r="J319" s="589"/>
      <c r="K319" s="589"/>
      <c r="L319" s="589"/>
      <c r="M319" s="589"/>
      <c r="N319" s="589"/>
      <c r="O319" s="590"/>
      <c r="P319" s="591"/>
      <c r="Q319" s="589"/>
      <c r="R319" s="590"/>
      <c r="S319" s="591"/>
      <c r="T319" s="589"/>
    </row>
    <row r="320" spans="7:20" s="585" customFormat="1">
      <c r="G320" s="589"/>
      <c r="H320" s="589"/>
      <c r="J320" s="589"/>
      <c r="K320" s="589"/>
      <c r="L320" s="589"/>
      <c r="M320" s="589"/>
      <c r="N320" s="589"/>
      <c r="O320" s="590"/>
      <c r="P320" s="591"/>
      <c r="Q320" s="589"/>
      <c r="R320" s="590"/>
      <c r="S320" s="591"/>
      <c r="T320" s="589"/>
    </row>
    <row r="321" spans="7:20" s="585" customFormat="1">
      <c r="G321" s="589"/>
      <c r="H321" s="589"/>
      <c r="J321" s="589"/>
      <c r="K321" s="589"/>
      <c r="L321" s="589"/>
      <c r="M321" s="589"/>
      <c r="N321" s="589"/>
      <c r="O321" s="590"/>
      <c r="P321" s="591"/>
      <c r="Q321" s="589"/>
      <c r="R321" s="590"/>
      <c r="S321" s="591"/>
      <c r="T321" s="589"/>
    </row>
    <row r="322" spans="7:20" s="585" customFormat="1">
      <c r="G322" s="589"/>
      <c r="H322" s="589"/>
      <c r="J322" s="589"/>
      <c r="K322" s="589"/>
      <c r="L322" s="589"/>
      <c r="M322" s="589"/>
      <c r="N322" s="589"/>
      <c r="O322" s="590"/>
      <c r="P322" s="591"/>
      <c r="Q322" s="589"/>
      <c r="R322" s="590"/>
      <c r="S322" s="591"/>
      <c r="T322" s="589"/>
    </row>
    <row r="323" spans="7:20" s="585" customFormat="1">
      <c r="G323" s="589"/>
      <c r="H323" s="589"/>
      <c r="J323" s="589"/>
      <c r="K323" s="589"/>
      <c r="L323" s="589"/>
      <c r="M323" s="589"/>
      <c r="N323" s="589"/>
      <c r="O323" s="590"/>
      <c r="P323" s="591"/>
      <c r="Q323" s="589"/>
      <c r="R323" s="590"/>
      <c r="S323" s="591"/>
      <c r="T323" s="589"/>
    </row>
    <row r="324" spans="7:20" s="585" customFormat="1">
      <c r="G324" s="589"/>
      <c r="H324" s="589"/>
      <c r="J324" s="589"/>
      <c r="K324" s="589"/>
      <c r="L324" s="589"/>
      <c r="M324" s="589"/>
      <c r="N324" s="589"/>
      <c r="O324" s="590"/>
      <c r="P324" s="591"/>
      <c r="Q324" s="589"/>
      <c r="R324" s="590"/>
      <c r="S324" s="591"/>
      <c r="T324" s="589"/>
    </row>
    <row r="325" spans="7:20" s="585" customFormat="1">
      <c r="G325" s="589"/>
      <c r="H325" s="589"/>
      <c r="J325" s="589"/>
      <c r="K325" s="589"/>
      <c r="L325" s="589"/>
      <c r="M325" s="589"/>
      <c r="N325" s="589"/>
      <c r="O325" s="590"/>
      <c r="P325" s="591"/>
      <c r="Q325" s="589"/>
      <c r="R325" s="590"/>
      <c r="S325" s="591"/>
      <c r="T325" s="589"/>
    </row>
    <row r="326" spans="7:20" s="585" customFormat="1">
      <c r="G326" s="589"/>
      <c r="H326" s="589"/>
      <c r="J326" s="589"/>
      <c r="K326" s="589"/>
      <c r="L326" s="589"/>
      <c r="M326" s="589"/>
      <c r="N326" s="589"/>
      <c r="O326" s="590"/>
      <c r="P326" s="591"/>
      <c r="Q326" s="589"/>
      <c r="R326" s="590"/>
      <c r="S326" s="591"/>
      <c r="T326" s="589"/>
    </row>
    <row r="327" spans="7:20" s="585" customFormat="1">
      <c r="G327" s="589"/>
      <c r="H327" s="589"/>
      <c r="J327" s="589"/>
      <c r="K327" s="589"/>
      <c r="L327" s="589"/>
      <c r="M327" s="589"/>
      <c r="N327" s="589"/>
      <c r="O327" s="590"/>
      <c r="P327" s="591"/>
      <c r="Q327" s="589"/>
      <c r="R327" s="590"/>
      <c r="S327" s="591"/>
      <c r="T327" s="589"/>
    </row>
    <row r="328" spans="7:20" s="585" customFormat="1">
      <c r="G328" s="589"/>
      <c r="H328" s="589"/>
      <c r="J328" s="589"/>
      <c r="K328" s="589"/>
      <c r="L328" s="589"/>
      <c r="M328" s="589"/>
      <c r="N328" s="589"/>
      <c r="O328" s="590"/>
      <c r="P328" s="591"/>
      <c r="Q328" s="589"/>
      <c r="R328" s="590"/>
      <c r="S328" s="591"/>
      <c r="T328" s="589"/>
    </row>
    <row r="329" spans="7:20" s="585" customFormat="1">
      <c r="G329" s="589"/>
      <c r="H329" s="589"/>
      <c r="J329" s="589"/>
      <c r="K329" s="589"/>
      <c r="L329" s="589"/>
      <c r="M329" s="589"/>
      <c r="N329" s="589"/>
      <c r="O329" s="590"/>
      <c r="P329" s="591"/>
      <c r="Q329" s="589"/>
      <c r="R329" s="590"/>
      <c r="S329" s="591"/>
      <c r="T329" s="589"/>
    </row>
    <row r="330" spans="7:20" s="585" customFormat="1">
      <c r="G330" s="589"/>
      <c r="H330" s="589"/>
      <c r="J330" s="589"/>
      <c r="K330" s="589"/>
      <c r="L330" s="589"/>
      <c r="M330" s="589"/>
      <c r="N330" s="589"/>
      <c r="O330" s="590"/>
      <c r="P330" s="591"/>
      <c r="Q330" s="589"/>
      <c r="R330" s="590"/>
      <c r="S330" s="591"/>
      <c r="T330" s="589"/>
    </row>
    <row r="331" spans="7:20" s="585" customFormat="1">
      <c r="G331" s="589"/>
      <c r="H331" s="589"/>
      <c r="J331" s="589"/>
      <c r="K331" s="589"/>
      <c r="L331" s="589"/>
      <c r="M331" s="589"/>
      <c r="N331" s="589"/>
      <c r="O331" s="590"/>
      <c r="P331" s="591"/>
      <c r="Q331" s="589"/>
      <c r="R331" s="590"/>
      <c r="S331" s="591"/>
      <c r="T331" s="589"/>
    </row>
    <row r="332" spans="7:20" s="585" customFormat="1">
      <c r="G332" s="589"/>
      <c r="H332" s="589"/>
      <c r="J332" s="589"/>
      <c r="K332" s="589"/>
      <c r="L332" s="589"/>
      <c r="M332" s="589"/>
      <c r="N332" s="589"/>
      <c r="O332" s="590"/>
      <c r="P332" s="591"/>
      <c r="Q332" s="589"/>
      <c r="R332" s="590"/>
      <c r="S332" s="591"/>
      <c r="T332" s="589"/>
    </row>
    <row r="333" spans="7:20" s="585" customFormat="1">
      <c r="G333" s="589"/>
      <c r="H333" s="589"/>
      <c r="J333" s="589"/>
      <c r="K333" s="589"/>
      <c r="L333" s="589"/>
      <c r="M333" s="589"/>
      <c r="N333" s="589"/>
      <c r="O333" s="590"/>
      <c r="P333" s="591"/>
      <c r="Q333" s="589"/>
      <c r="R333" s="590"/>
      <c r="S333" s="591"/>
      <c r="T333" s="589"/>
    </row>
    <row r="334" spans="7:20" s="585" customFormat="1">
      <c r="G334" s="589"/>
      <c r="H334" s="589"/>
      <c r="J334" s="589"/>
      <c r="K334" s="589"/>
      <c r="L334" s="589"/>
      <c r="M334" s="589"/>
      <c r="N334" s="589"/>
      <c r="O334" s="590"/>
      <c r="P334" s="591"/>
      <c r="Q334" s="589"/>
      <c r="R334" s="590"/>
      <c r="S334" s="591"/>
      <c r="T334" s="589"/>
    </row>
    <row r="335" spans="7:20" s="585" customFormat="1">
      <c r="G335" s="589"/>
      <c r="H335" s="589"/>
      <c r="J335" s="589"/>
      <c r="K335" s="589"/>
      <c r="L335" s="589"/>
      <c r="M335" s="589"/>
      <c r="N335" s="589"/>
      <c r="O335" s="590"/>
      <c r="P335" s="591"/>
      <c r="Q335" s="589"/>
      <c r="R335" s="590"/>
      <c r="S335" s="591"/>
      <c r="T335" s="589"/>
    </row>
    <row r="336" spans="7:20" s="585" customFormat="1">
      <c r="G336" s="589"/>
      <c r="H336" s="589"/>
      <c r="J336" s="589"/>
      <c r="K336" s="589"/>
      <c r="L336" s="589"/>
      <c r="M336" s="589"/>
      <c r="N336" s="589"/>
      <c r="O336" s="590"/>
      <c r="P336" s="591"/>
      <c r="Q336" s="589"/>
      <c r="R336" s="590"/>
      <c r="S336" s="591"/>
      <c r="T336" s="589"/>
    </row>
    <row r="337" spans="7:20" s="585" customFormat="1">
      <c r="G337" s="589"/>
      <c r="H337" s="589"/>
      <c r="J337" s="589"/>
      <c r="K337" s="589"/>
      <c r="L337" s="589"/>
      <c r="M337" s="589"/>
      <c r="N337" s="589"/>
      <c r="O337" s="590"/>
      <c r="P337" s="591"/>
      <c r="Q337" s="589"/>
      <c r="R337" s="590"/>
      <c r="S337" s="591"/>
      <c r="T337" s="589"/>
    </row>
    <row r="338" spans="7:20" s="585" customFormat="1">
      <c r="G338" s="589"/>
      <c r="H338" s="589"/>
      <c r="J338" s="589"/>
      <c r="K338" s="589"/>
      <c r="L338" s="589"/>
      <c r="M338" s="589"/>
      <c r="N338" s="589"/>
      <c r="O338" s="590"/>
      <c r="P338" s="591"/>
      <c r="Q338" s="589"/>
      <c r="R338" s="590"/>
      <c r="S338" s="591"/>
      <c r="T338" s="589"/>
    </row>
    <row r="339" spans="7:20" s="585" customFormat="1">
      <c r="G339" s="589"/>
      <c r="H339" s="589"/>
      <c r="J339" s="589"/>
      <c r="K339" s="589"/>
      <c r="L339" s="589"/>
      <c r="M339" s="589"/>
      <c r="N339" s="589"/>
      <c r="O339" s="590"/>
      <c r="P339" s="591"/>
      <c r="Q339" s="589"/>
      <c r="R339" s="590"/>
      <c r="S339" s="591"/>
      <c r="T339" s="589"/>
    </row>
    <row r="340" spans="7:20" s="585" customFormat="1">
      <c r="G340" s="589"/>
      <c r="H340" s="589"/>
      <c r="J340" s="589"/>
      <c r="K340" s="589"/>
      <c r="L340" s="589"/>
      <c r="M340" s="589"/>
      <c r="N340" s="589"/>
      <c r="O340" s="590"/>
      <c r="P340" s="591"/>
      <c r="Q340" s="589"/>
      <c r="R340" s="590"/>
      <c r="S340" s="591"/>
      <c r="T340" s="589"/>
    </row>
    <row r="341" spans="7:20" s="585" customFormat="1">
      <c r="G341" s="589"/>
      <c r="H341" s="589"/>
      <c r="J341" s="589"/>
      <c r="K341" s="589"/>
      <c r="L341" s="589"/>
      <c r="M341" s="589"/>
      <c r="N341" s="589"/>
      <c r="O341" s="590"/>
      <c r="P341" s="591"/>
      <c r="Q341" s="589"/>
      <c r="R341" s="590"/>
      <c r="S341" s="591"/>
      <c r="T341" s="589"/>
    </row>
    <row r="342" spans="7:20" s="585" customFormat="1">
      <c r="G342" s="589"/>
      <c r="H342" s="589"/>
      <c r="J342" s="589"/>
      <c r="K342" s="589"/>
      <c r="L342" s="589"/>
      <c r="M342" s="589"/>
      <c r="N342" s="589"/>
      <c r="O342" s="590"/>
      <c r="P342" s="591"/>
      <c r="Q342" s="589"/>
      <c r="R342" s="590"/>
      <c r="S342" s="591"/>
      <c r="T342" s="589"/>
    </row>
    <row r="343" spans="7:20" s="585" customFormat="1">
      <c r="G343" s="589"/>
      <c r="H343" s="589"/>
      <c r="J343" s="589"/>
      <c r="K343" s="589"/>
      <c r="L343" s="589"/>
      <c r="M343" s="589"/>
      <c r="N343" s="589"/>
      <c r="O343" s="590"/>
      <c r="P343" s="591"/>
      <c r="Q343" s="589"/>
      <c r="R343" s="590"/>
      <c r="S343" s="591"/>
      <c r="T343" s="589"/>
    </row>
    <row r="344" spans="7:20" s="585" customFormat="1">
      <c r="G344" s="589"/>
      <c r="H344" s="589"/>
      <c r="J344" s="589"/>
      <c r="K344" s="589"/>
      <c r="L344" s="589"/>
      <c r="M344" s="589"/>
      <c r="N344" s="589"/>
      <c r="O344" s="590"/>
      <c r="P344" s="591"/>
      <c r="Q344" s="589"/>
      <c r="R344" s="590"/>
      <c r="S344" s="591"/>
      <c r="T344" s="589"/>
    </row>
    <row r="345" spans="7:20" s="585" customFormat="1">
      <c r="G345" s="589"/>
      <c r="H345" s="589"/>
      <c r="J345" s="589"/>
      <c r="K345" s="589"/>
      <c r="L345" s="589"/>
      <c r="M345" s="589"/>
      <c r="N345" s="589"/>
      <c r="O345" s="590"/>
      <c r="P345" s="591"/>
      <c r="Q345" s="589"/>
      <c r="R345" s="590"/>
      <c r="S345" s="591"/>
      <c r="T345" s="589"/>
    </row>
    <row r="346" spans="7:20" s="585" customFormat="1">
      <c r="G346" s="589"/>
      <c r="H346" s="589"/>
      <c r="J346" s="589"/>
      <c r="K346" s="589"/>
      <c r="L346" s="589"/>
      <c r="M346" s="589"/>
      <c r="N346" s="589"/>
      <c r="O346" s="590"/>
      <c r="P346" s="591"/>
      <c r="Q346" s="589"/>
      <c r="R346" s="590"/>
      <c r="S346" s="591"/>
      <c r="T346" s="589"/>
    </row>
    <row r="347" spans="7:20" s="585" customFormat="1">
      <c r="G347" s="589"/>
      <c r="H347" s="589"/>
      <c r="J347" s="589"/>
      <c r="K347" s="589"/>
      <c r="L347" s="589"/>
      <c r="M347" s="589"/>
      <c r="N347" s="589"/>
      <c r="O347" s="590"/>
      <c r="P347" s="591"/>
      <c r="Q347" s="589"/>
      <c r="R347" s="590"/>
      <c r="S347" s="591"/>
      <c r="T347" s="589"/>
    </row>
    <row r="348" spans="7:20" s="585" customFormat="1">
      <c r="G348" s="589"/>
      <c r="H348" s="589"/>
      <c r="J348" s="589"/>
      <c r="K348" s="589"/>
      <c r="L348" s="589"/>
      <c r="M348" s="589"/>
      <c r="N348" s="589"/>
      <c r="O348" s="590"/>
      <c r="P348" s="591"/>
      <c r="Q348" s="589"/>
      <c r="R348" s="590"/>
      <c r="S348" s="591"/>
      <c r="T348" s="589"/>
    </row>
    <row r="349" spans="7:20" s="585" customFormat="1">
      <c r="G349" s="589"/>
      <c r="H349" s="589"/>
      <c r="J349" s="589"/>
      <c r="K349" s="589"/>
      <c r="L349" s="589"/>
      <c r="M349" s="589"/>
      <c r="N349" s="589"/>
      <c r="O349" s="590"/>
      <c r="P349" s="591"/>
      <c r="Q349" s="589"/>
      <c r="R349" s="590"/>
      <c r="S349" s="591"/>
      <c r="T349" s="589"/>
    </row>
    <row r="350" spans="7:20" s="585" customFormat="1">
      <c r="G350" s="589"/>
      <c r="H350" s="589"/>
      <c r="J350" s="589"/>
      <c r="K350" s="589"/>
      <c r="L350" s="589"/>
      <c r="M350" s="589"/>
      <c r="N350" s="589"/>
      <c r="O350" s="590"/>
      <c r="P350" s="591"/>
      <c r="Q350" s="589"/>
      <c r="R350" s="590"/>
      <c r="S350" s="591"/>
      <c r="T350" s="589"/>
    </row>
    <row r="351" spans="7:20" s="585" customFormat="1">
      <c r="G351" s="589"/>
      <c r="H351" s="589"/>
      <c r="J351" s="589"/>
      <c r="K351" s="589"/>
      <c r="L351" s="589"/>
      <c r="M351" s="589"/>
      <c r="N351" s="589"/>
      <c r="O351" s="590"/>
      <c r="P351" s="591"/>
      <c r="Q351" s="589"/>
      <c r="R351" s="590"/>
      <c r="S351" s="591"/>
      <c r="T351" s="589"/>
    </row>
    <row r="352" spans="7:20" s="585" customFormat="1">
      <c r="G352" s="589"/>
      <c r="H352" s="589"/>
      <c r="J352" s="589"/>
      <c r="K352" s="589"/>
      <c r="L352" s="589"/>
      <c r="M352" s="589"/>
      <c r="N352" s="589"/>
      <c r="O352" s="590"/>
      <c r="P352" s="591"/>
      <c r="Q352" s="589"/>
      <c r="R352" s="590"/>
      <c r="S352" s="591"/>
      <c r="T352" s="589"/>
    </row>
    <row r="353" spans="7:20" s="585" customFormat="1">
      <c r="G353" s="589"/>
      <c r="H353" s="589"/>
      <c r="J353" s="589"/>
      <c r="K353" s="589"/>
      <c r="L353" s="589"/>
      <c r="M353" s="589"/>
      <c r="N353" s="589"/>
      <c r="O353" s="590"/>
      <c r="P353" s="591"/>
      <c r="Q353" s="589"/>
      <c r="R353" s="590"/>
      <c r="S353" s="591"/>
      <c r="T353" s="589"/>
    </row>
    <row r="354" spans="7:20" s="585" customFormat="1">
      <c r="G354" s="589"/>
      <c r="H354" s="589"/>
      <c r="J354" s="589"/>
      <c r="K354" s="589"/>
      <c r="L354" s="589"/>
      <c r="M354" s="589"/>
      <c r="N354" s="589"/>
      <c r="O354" s="590"/>
      <c r="P354" s="591"/>
      <c r="Q354" s="589"/>
      <c r="R354" s="590"/>
      <c r="S354" s="591"/>
      <c r="T354" s="589"/>
    </row>
    <row r="355" spans="7:20" s="585" customFormat="1">
      <c r="G355" s="589"/>
      <c r="H355" s="589"/>
      <c r="J355" s="589"/>
      <c r="K355" s="589"/>
      <c r="L355" s="589"/>
      <c r="M355" s="589"/>
      <c r="N355" s="589"/>
      <c r="O355" s="590"/>
      <c r="P355" s="591"/>
      <c r="Q355" s="589"/>
      <c r="R355" s="590"/>
      <c r="S355" s="591"/>
      <c r="T355" s="589"/>
    </row>
    <row r="356" spans="7:20" s="585" customFormat="1">
      <c r="G356" s="589"/>
      <c r="H356" s="589"/>
      <c r="J356" s="589"/>
      <c r="K356" s="589"/>
      <c r="L356" s="589"/>
      <c r="M356" s="589"/>
      <c r="N356" s="589"/>
      <c r="O356" s="590"/>
      <c r="P356" s="591"/>
      <c r="Q356" s="589"/>
      <c r="R356" s="590"/>
      <c r="S356" s="591"/>
      <c r="T356" s="589"/>
    </row>
    <row r="357" spans="7:20" s="585" customFormat="1">
      <c r="G357" s="589"/>
      <c r="H357" s="589"/>
      <c r="J357" s="589"/>
      <c r="K357" s="589"/>
      <c r="L357" s="589"/>
      <c r="M357" s="589"/>
      <c r="N357" s="589"/>
      <c r="O357" s="590"/>
      <c r="P357" s="591"/>
      <c r="Q357" s="589"/>
      <c r="R357" s="590"/>
      <c r="S357" s="591"/>
      <c r="T357" s="589"/>
    </row>
    <row r="358" spans="7:20" s="585" customFormat="1">
      <c r="G358" s="589"/>
      <c r="H358" s="589"/>
      <c r="J358" s="589"/>
      <c r="K358" s="589"/>
      <c r="L358" s="589"/>
      <c r="M358" s="589"/>
      <c r="N358" s="589"/>
      <c r="O358" s="590"/>
      <c r="P358" s="591"/>
      <c r="Q358" s="589"/>
      <c r="R358" s="590"/>
      <c r="S358" s="591"/>
      <c r="T358" s="589"/>
    </row>
    <row r="359" spans="7:20" s="585" customFormat="1">
      <c r="G359" s="589"/>
      <c r="H359" s="589"/>
      <c r="J359" s="589"/>
      <c r="K359" s="589"/>
      <c r="L359" s="589"/>
      <c r="M359" s="589"/>
      <c r="N359" s="589"/>
      <c r="O359" s="590"/>
      <c r="P359" s="591"/>
      <c r="Q359" s="589"/>
      <c r="R359" s="590"/>
      <c r="S359" s="591"/>
      <c r="T359" s="589"/>
    </row>
    <row r="360" spans="7:20" s="585" customFormat="1">
      <c r="G360" s="589"/>
      <c r="H360" s="589"/>
      <c r="J360" s="589"/>
      <c r="K360" s="589"/>
      <c r="L360" s="589"/>
      <c r="M360" s="589"/>
      <c r="N360" s="589"/>
      <c r="O360" s="590"/>
      <c r="P360" s="591"/>
      <c r="Q360" s="589"/>
      <c r="R360" s="590"/>
      <c r="S360" s="591"/>
      <c r="T360" s="589"/>
    </row>
    <row r="361" spans="7:20" s="585" customFormat="1">
      <c r="G361" s="589"/>
      <c r="H361" s="589"/>
      <c r="J361" s="589"/>
      <c r="K361" s="589"/>
      <c r="L361" s="589"/>
      <c r="M361" s="589"/>
      <c r="N361" s="589"/>
      <c r="O361" s="590"/>
      <c r="P361" s="591"/>
      <c r="Q361" s="589"/>
      <c r="R361" s="590"/>
      <c r="S361" s="591"/>
      <c r="T361" s="589"/>
    </row>
    <row r="362" spans="7:20" s="585" customFormat="1">
      <c r="G362" s="589"/>
      <c r="H362" s="589"/>
      <c r="J362" s="589"/>
      <c r="K362" s="589"/>
      <c r="L362" s="589"/>
      <c r="M362" s="589"/>
      <c r="N362" s="589"/>
      <c r="O362" s="590"/>
      <c r="P362" s="591"/>
      <c r="Q362" s="589"/>
      <c r="R362" s="590"/>
      <c r="S362" s="591"/>
      <c r="T362" s="589"/>
    </row>
    <row r="363" spans="7:20" s="585" customFormat="1">
      <c r="G363" s="589"/>
      <c r="H363" s="589"/>
      <c r="J363" s="589"/>
      <c r="K363" s="589"/>
      <c r="L363" s="589"/>
      <c r="M363" s="589"/>
      <c r="N363" s="589"/>
      <c r="O363" s="590"/>
      <c r="P363" s="591"/>
      <c r="Q363" s="589"/>
      <c r="R363" s="590"/>
      <c r="S363" s="591"/>
      <c r="T363" s="589"/>
    </row>
    <row r="364" spans="7:20" s="585" customFormat="1">
      <c r="G364" s="589"/>
      <c r="H364" s="589"/>
      <c r="J364" s="589"/>
      <c r="K364" s="589"/>
      <c r="L364" s="589"/>
      <c r="M364" s="589"/>
      <c r="N364" s="589"/>
      <c r="O364" s="590"/>
      <c r="P364" s="591"/>
      <c r="Q364" s="589"/>
      <c r="R364" s="590"/>
      <c r="S364" s="591"/>
      <c r="T364" s="589"/>
    </row>
    <row r="365" spans="7:20" s="585" customFormat="1">
      <c r="G365" s="589"/>
      <c r="H365" s="589"/>
      <c r="J365" s="589"/>
      <c r="K365" s="589"/>
      <c r="L365" s="589"/>
      <c r="M365" s="589"/>
      <c r="N365" s="589"/>
      <c r="O365" s="590"/>
      <c r="P365" s="591"/>
      <c r="Q365" s="589"/>
      <c r="R365" s="590"/>
      <c r="S365" s="591"/>
      <c r="T365" s="589"/>
    </row>
    <row r="366" spans="7:20" s="585" customFormat="1">
      <c r="G366" s="589"/>
      <c r="H366" s="589"/>
      <c r="J366" s="589"/>
      <c r="K366" s="589"/>
      <c r="L366" s="589"/>
      <c r="M366" s="589"/>
      <c r="N366" s="589"/>
      <c r="O366" s="590"/>
      <c r="P366" s="591"/>
      <c r="Q366" s="589"/>
      <c r="R366" s="590"/>
      <c r="S366" s="591"/>
      <c r="T366" s="589"/>
    </row>
    <row r="367" spans="7:20" s="585" customFormat="1">
      <c r="G367" s="589"/>
      <c r="H367" s="589"/>
      <c r="J367" s="589"/>
      <c r="K367" s="589"/>
      <c r="L367" s="589"/>
      <c r="M367" s="589"/>
      <c r="N367" s="589"/>
      <c r="O367" s="590"/>
      <c r="P367" s="591"/>
      <c r="Q367" s="589"/>
      <c r="R367" s="590"/>
      <c r="S367" s="591"/>
      <c r="T367" s="589"/>
    </row>
    <row r="368" spans="7:20" s="585" customFormat="1">
      <c r="G368" s="589"/>
      <c r="H368" s="589"/>
      <c r="J368" s="589"/>
      <c r="K368" s="589"/>
      <c r="L368" s="589"/>
      <c r="M368" s="589"/>
      <c r="N368" s="589"/>
      <c r="O368" s="590"/>
      <c r="P368" s="591"/>
      <c r="Q368" s="589"/>
      <c r="R368" s="590"/>
      <c r="S368" s="591"/>
      <c r="T368" s="589"/>
    </row>
    <row r="369" spans="7:20" s="585" customFormat="1">
      <c r="G369" s="589"/>
      <c r="H369" s="589"/>
      <c r="J369" s="589"/>
      <c r="K369" s="589"/>
      <c r="L369" s="589"/>
      <c r="M369" s="589"/>
      <c r="N369" s="589"/>
      <c r="O369" s="590"/>
      <c r="P369" s="591"/>
      <c r="Q369" s="589"/>
      <c r="R369" s="590"/>
      <c r="S369" s="591"/>
      <c r="T369" s="589"/>
    </row>
    <row r="370" spans="7:20" s="585" customFormat="1">
      <c r="G370" s="589"/>
      <c r="H370" s="589"/>
      <c r="J370" s="589"/>
      <c r="K370" s="589"/>
      <c r="L370" s="589"/>
      <c r="M370" s="589"/>
      <c r="N370" s="589"/>
      <c r="O370" s="590"/>
      <c r="P370" s="591"/>
      <c r="Q370" s="589"/>
      <c r="R370" s="590"/>
      <c r="S370" s="591"/>
      <c r="T370" s="589"/>
    </row>
    <row r="371" spans="7:20" s="585" customFormat="1">
      <c r="G371" s="589"/>
      <c r="H371" s="589"/>
      <c r="J371" s="589"/>
      <c r="K371" s="589"/>
      <c r="L371" s="589"/>
      <c r="M371" s="589"/>
      <c r="N371" s="589"/>
      <c r="O371" s="590"/>
      <c r="P371" s="591"/>
      <c r="Q371" s="589"/>
      <c r="R371" s="590"/>
      <c r="S371" s="591"/>
      <c r="T371" s="589"/>
    </row>
    <row r="372" spans="7:20" s="585" customFormat="1">
      <c r="G372" s="589"/>
      <c r="H372" s="589"/>
      <c r="J372" s="589"/>
      <c r="K372" s="589"/>
      <c r="L372" s="589"/>
      <c r="M372" s="589"/>
      <c r="N372" s="589"/>
      <c r="O372" s="590"/>
      <c r="P372" s="591"/>
      <c r="Q372" s="589"/>
      <c r="R372" s="590"/>
      <c r="S372" s="591"/>
      <c r="T372" s="589"/>
    </row>
    <row r="373" spans="7:20" s="585" customFormat="1">
      <c r="G373" s="589"/>
      <c r="H373" s="589"/>
      <c r="J373" s="589"/>
      <c r="K373" s="589"/>
      <c r="L373" s="589"/>
      <c r="M373" s="589"/>
      <c r="N373" s="589"/>
      <c r="O373" s="590"/>
      <c r="P373" s="591"/>
      <c r="Q373" s="589"/>
      <c r="R373" s="590"/>
      <c r="S373" s="591"/>
      <c r="T373" s="589"/>
    </row>
    <row r="374" spans="7:20" s="585" customFormat="1">
      <c r="G374" s="589"/>
      <c r="H374" s="589"/>
      <c r="J374" s="589"/>
      <c r="K374" s="589"/>
      <c r="L374" s="589"/>
      <c r="M374" s="589"/>
      <c r="N374" s="589"/>
      <c r="O374" s="590"/>
      <c r="P374" s="591"/>
      <c r="Q374" s="589"/>
      <c r="R374" s="590"/>
      <c r="S374" s="591"/>
      <c r="T374" s="589"/>
    </row>
    <row r="375" spans="7:20" s="585" customFormat="1">
      <c r="G375" s="589"/>
      <c r="H375" s="589"/>
      <c r="J375" s="589"/>
      <c r="K375" s="589"/>
      <c r="L375" s="589"/>
      <c r="M375" s="589"/>
      <c r="N375" s="589"/>
      <c r="O375" s="590"/>
      <c r="P375" s="591"/>
      <c r="Q375" s="589"/>
      <c r="R375" s="590"/>
      <c r="S375" s="591"/>
      <c r="T375" s="589"/>
    </row>
  </sheetData>
  <sheetProtection password="B1AF" sheet="1"/>
  <mergeCells count="37">
    <mergeCell ref="R13:T13"/>
    <mergeCell ref="C16:U16"/>
    <mergeCell ref="C42:U42"/>
    <mergeCell ref="C30:U30"/>
    <mergeCell ref="R14:T14"/>
    <mergeCell ref="O13:Q13"/>
    <mergeCell ref="M13:N13"/>
    <mergeCell ref="M14:N14"/>
    <mergeCell ref="AA3:AC3"/>
    <mergeCell ref="J75:K75"/>
    <mergeCell ref="I13:K13"/>
    <mergeCell ref="I14:K14"/>
    <mergeCell ref="J74:K74"/>
    <mergeCell ref="C12:L12"/>
    <mergeCell ref="X3:Z3"/>
    <mergeCell ref="N7:R7"/>
    <mergeCell ref="D8:E8"/>
    <mergeCell ref="D9:E9"/>
    <mergeCell ref="M12:U12"/>
    <mergeCell ref="D7:E7"/>
    <mergeCell ref="C14:C15"/>
    <mergeCell ref="D14:D15"/>
    <mergeCell ref="U14:U15"/>
    <mergeCell ref="F13:H13"/>
    <mergeCell ref="C81:H81"/>
    <mergeCell ref="M75:N75"/>
    <mergeCell ref="M74:N74"/>
    <mergeCell ref="L14:L15"/>
    <mergeCell ref="C73:E73"/>
    <mergeCell ref="C66:U66"/>
    <mergeCell ref="C58:U58"/>
    <mergeCell ref="C50:U50"/>
    <mergeCell ref="C79:AC79"/>
    <mergeCell ref="O14:Q14"/>
    <mergeCell ref="G75:H75"/>
    <mergeCell ref="G74:H74"/>
    <mergeCell ref="F14:H14"/>
  </mergeCells>
  <phoneticPr fontId="14" type="noConversion"/>
  <hyperlinks>
    <hyperlink ref="C79:L79" r:id="rId1" display="Faire parvenir ce formulaire en format Excel à : bienergie@energir.com" xr:uid="{9C62A085-0577-49E5-A5D5-C389A35BBAE3}"/>
    <hyperlink ref="C79:AC79" r:id="rId2" display="Faire parvenir ce formulaire en format Excel à : ventescmj@energir.com" xr:uid="{1F959D63-031B-43F2-A5FA-BDB9403C6774}"/>
  </hyperlinks>
  <printOptions horizontalCentered="1"/>
  <pageMargins left="0.39370078740157483" right="0.39370078740157483" top="0.39370078740157483" bottom="0.39370078740157483" header="0.31496062992125984" footer="0.31496062992125984"/>
  <pageSetup paperSize="5" orientation="portrait" r:id="rId3"/>
  <headerFooter>
    <oddFooter>&amp;L&amp;"Arial Narrow,Gras"&amp;8Ministère de l’Environnement, de la Lutte contre les changements climatiques, de la Faune et des Parcs&amp;R&amp;"Arial Narrow,Normal"&amp;8 2024-04-24</oddFooter>
  </headerFooter>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B873-EE8D-4F74-84BB-61EDE059F10E}">
  <sheetPr codeName="Feuil6">
    <pageSetUpPr autoPageBreaks="0" fitToPage="1"/>
  </sheetPr>
  <dimension ref="A2:AP59"/>
  <sheetViews>
    <sheetView workbookViewId="0"/>
  </sheetViews>
  <sheetFormatPr baseColWidth="10" defaultRowHeight="12.5"/>
  <cols>
    <col min="1" max="1" width="8.54296875" customWidth="1"/>
    <col min="2" max="2" width="29.7265625" customWidth="1"/>
    <col min="3" max="3" width="10.54296875" hidden="1" customWidth="1"/>
    <col min="4" max="4" width="16.7265625" hidden="1" customWidth="1"/>
    <col min="5" max="5" width="7.54296875" hidden="1" customWidth="1"/>
    <col min="6" max="6" width="17.26953125" customWidth="1"/>
    <col min="7" max="7" width="6" customWidth="1"/>
    <col min="8" max="8" width="6" hidden="1" customWidth="1"/>
    <col min="9" max="9" width="8" customWidth="1"/>
    <col min="10" max="10" width="10.7265625" customWidth="1"/>
    <col min="11" max="11" width="9.54296875" customWidth="1"/>
    <col min="12" max="12" width="9.453125" customWidth="1"/>
    <col min="13" max="15" width="9" customWidth="1"/>
    <col min="16" max="16" width="10" customWidth="1"/>
    <col min="17" max="19" width="10.453125" customWidth="1"/>
    <col min="20" max="20" width="9.7265625" customWidth="1"/>
    <col min="21" max="21" width="10" customWidth="1"/>
    <col min="22" max="22" width="7.7265625" customWidth="1"/>
    <col min="23" max="23" width="6.7265625" customWidth="1"/>
    <col min="24" max="24" width="6.453125" customWidth="1"/>
    <col min="25" max="25" width="5.453125" customWidth="1"/>
    <col min="26" max="26" width="4.54296875" customWidth="1"/>
    <col min="27" max="27" width="24.54296875" customWidth="1"/>
    <col min="28" max="31" width="9.54296875" customWidth="1"/>
    <col min="32" max="32" width="7.7265625" style="201" hidden="1" customWidth="1"/>
    <col min="33" max="40" width="11.453125" style="201" hidden="1" customWidth="1"/>
    <col min="41" max="42" width="11.453125" style="201" customWidth="1"/>
  </cols>
  <sheetData>
    <row r="2" spans="1:42" ht="19.149999999999999" customHeight="1"/>
    <row r="3" spans="1:42" ht="20.25" customHeight="1"/>
    <row r="4" spans="1:42" ht="12.75" customHeight="1"/>
    <row r="5" spans="1:42" ht="15.5">
      <c r="A5" s="21"/>
    </row>
    <row r="6" spans="1:42" ht="15.5">
      <c r="A6" s="21"/>
    </row>
    <row r="7" spans="1:42" ht="15.5">
      <c r="A7" s="21"/>
      <c r="U7" s="13"/>
      <c r="AA7" s="14"/>
      <c r="AB7" s="14"/>
      <c r="AC7" s="14"/>
    </row>
    <row r="8" spans="1:42">
      <c r="A8" s="51"/>
      <c r="B8" s="22" t="s">
        <v>142</v>
      </c>
      <c r="C8" s="1440" t="str">
        <f>IF('2. Plan d''implantation'!E8="","",'2. Plan d''implantation'!E8)</f>
        <v/>
      </c>
      <c r="D8" s="1440"/>
      <c r="E8" s="1440"/>
      <c r="F8" s="1440"/>
      <c r="G8" s="1440"/>
      <c r="H8" s="1440"/>
      <c r="Z8" s="22" t="s">
        <v>143</v>
      </c>
      <c r="AA8" s="1420" t="str">
        <f>IF('2. Plan d''implantation'!T8="","",'2. Plan d''implantation'!T8)</f>
        <v xml:space="preserve"> </v>
      </c>
      <c r="AB8" s="1420"/>
      <c r="AC8" s="1420"/>
      <c r="AD8" s="1420"/>
      <c r="AE8" s="1420"/>
    </row>
    <row r="9" spans="1:42">
      <c r="A9" s="51"/>
      <c r="B9" s="264" t="s">
        <v>903</v>
      </c>
      <c r="C9" s="1441" t="str">
        <f>IF('2. Plan d''implantation'!E9="","",'2. Plan d''implantation'!E9)</f>
        <v/>
      </c>
      <c r="D9" s="1441"/>
      <c r="Z9" s="22" t="s">
        <v>419</v>
      </c>
      <c r="AA9" s="1362"/>
      <c r="AB9" s="1362"/>
      <c r="AC9" s="15"/>
      <c r="AD9" s="15"/>
    </row>
    <row r="10" spans="1:42">
      <c r="G10" s="13"/>
      <c r="H10" s="13"/>
      <c r="M10" s="15"/>
      <c r="N10" s="15"/>
      <c r="O10" s="15"/>
      <c r="AA10" s="14"/>
      <c r="AB10" s="188"/>
      <c r="AC10" s="14"/>
    </row>
    <row r="11" spans="1:42" s="51" customFormat="1" ht="21" customHeight="1">
      <c r="A11" s="1430" t="s">
        <v>120</v>
      </c>
      <c r="B11" s="1430"/>
      <c r="C11" s="1430"/>
      <c r="D11" s="1430"/>
      <c r="E11" s="1430"/>
      <c r="F11" s="1430"/>
      <c r="G11" s="1430"/>
      <c r="H11" s="1430"/>
      <c r="I11" s="1430"/>
      <c r="J11" s="1430"/>
      <c r="K11" s="1430"/>
      <c r="L11" s="1430"/>
      <c r="M11" s="1430"/>
      <c r="N11" s="1430"/>
      <c r="O11" s="1430"/>
      <c r="P11" s="1430"/>
      <c r="Q11" s="1430"/>
      <c r="R11" s="1430"/>
      <c r="S11" s="1430"/>
      <c r="T11" s="1430"/>
      <c r="U11" s="1430"/>
      <c r="V11" s="1430"/>
      <c r="W11" s="1430"/>
      <c r="X11" s="1430"/>
      <c r="Y11" s="1430"/>
      <c r="Z11" s="1430"/>
      <c r="AA11" s="1431"/>
      <c r="AB11" s="1423" t="s">
        <v>151</v>
      </c>
      <c r="AC11" s="1424"/>
      <c r="AD11" s="1424"/>
      <c r="AE11" s="1425"/>
      <c r="AF11" s="202" t="b">
        <v>1</v>
      </c>
      <c r="AG11" s="202" t="b">
        <v>1</v>
      </c>
      <c r="AH11" s="202"/>
      <c r="AI11" s="202"/>
      <c r="AJ11" s="202"/>
      <c r="AK11" s="202"/>
      <c r="AL11" s="202"/>
      <c r="AM11" s="202"/>
      <c r="AN11" s="202"/>
      <c r="AO11" s="202"/>
      <c r="AP11" s="202"/>
    </row>
    <row r="12" spans="1:42" s="51" customFormat="1" ht="35.25" customHeight="1">
      <c r="A12" s="1434" t="s">
        <v>893</v>
      </c>
      <c r="B12" s="1355" t="s">
        <v>121</v>
      </c>
      <c r="C12" s="1355" t="s">
        <v>251</v>
      </c>
      <c r="D12" s="1355" t="s">
        <v>252</v>
      </c>
      <c r="E12" s="1434" t="s">
        <v>255</v>
      </c>
      <c r="F12" s="1421" t="s">
        <v>245</v>
      </c>
      <c r="G12" s="1435"/>
      <c r="H12" s="1435"/>
      <c r="I12" s="1435"/>
      <c r="J12" s="1435"/>
      <c r="K12" s="1436"/>
      <c r="L12" s="1437" t="s">
        <v>878</v>
      </c>
      <c r="M12" s="1437"/>
      <c r="N12" s="1437"/>
      <c r="O12" s="1437"/>
      <c r="P12" s="1367"/>
      <c r="Q12" s="1366" t="s">
        <v>122</v>
      </c>
      <c r="R12" s="1437"/>
      <c r="S12" s="1437"/>
      <c r="T12" s="1367"/>
      <c r="U12" s="1421" t="s">
        <v>247</v>
      </c>
      <c r="V12" s="1422"/>
      <c r="W12" s="1366" t="s">
        <v>894</v>
      </c>
      <c r="X12" s="1367"/>
      <c r="Y12" s="1353" t="s">
        <v>895</v>
      </c>
      <c r="Z12" s="1353" t="s">
        <v>96</v>
      </c>
      <c r="AA12" s="1355" t="s">
        <v>123</v>
      </c>
      <c r="AB12" s="1366" t="s">
        <v>141</v>
      </c>
      <c r="AC12" s="1367"/>
      <c r="AD12" s="1421" t="s">
        <v>900</v>
      </c>
      <c r="AE12" s="1426"/>
      <c r="AF12" s="202"/>
      <c r="AG12" s="202"/>
      <c r="AH12" s="202"/>
      <c r="AI12" s="202"/>
      <c r="AJ12" s="202"/>
      <c r="AK12" s="202"/>
      <c r="AL12" s="202"/>
      <c r="AM12" s="202"/>
      <c r="AN12" s="202"/>
      <c r="AO12" s="202"/>
      <c r="AP12" s="202"/>
    </row>
    <row r="13" spans="1:42" s="51" customFormat="1" ht="12.75" customHeight="1">
      <c r="A13" s="1438"/>
      <c r="B13" s="1432"/>
      <c r="C13" s="1356"/>
      <c r="D13" s="1356"/>
      <c r="E13" s="1356"/>
      <c r="F13" s="1442" t="s">
        <v>921</v>
      </c>
      <c r="G13" s="1364" t="s">
        <v>106</v>
      </c>
      <c r="H13" s="1321" t="s">
        <v>845</v>
      </c>
      <c r="I13" s="1442" t="s">
        <v>95</v>
      </c>
      <c r="J13" s="1321" t="s">
        <v>899</v>
      </c>
      <c r="K13" s="1332" t="s">
        <v>858</v>
      </c>
      <c r="L13" s="1332" t="s">
        <v>95</v>
      </c>
      <c r="M13" s="1332" t="s">
        <v>152</v>
      </c>
      <c r="N13" s="1332" t="s">
        <v>125</v>
      </c>
      <c r="O13" s="1332" t="s">
        <v>843</v>
      </c>
      <c r="P13" s="1332" t="s">
        <v>844</v>
      </c>
      <c r="Q13" s="1368" t="s">
        <v>126</v>
      </c>
      <c r="R13" s="1369"/>
      <c r="S13" s="1370"/>
      <c r="T13" s="1332" t="s">
        <v>127</v>
      </c>
      <c r="U13" s="1332" t="s">
        <v>128</v>
      </c>
      <c r="V13" s="1321" t="s">
        <v>901</v>
      </c>
      <c r="W13" s="1321" t="s">
        <v>129</v>
      </c>
      <c r="X13" s="1321" t="s">
        <v>130</v>
      </c>
      <c r="Y13" s="1328"/>
      <c r="Z13" s="1427"/>
      <c r="AA13" s="1356"/>
      <c r="AB13" s="1332" t="s">
        <v>95</v>
      </c>
      <c r="AC13" s="1321" t="s">
        <v>242</v>
      </c>
      <c r="AD13" s="1321" t="s">
        <v>95</v>
      </c>
      <c r="AE13" s="1321" t="s">
        <v>417</v>
      </c>
      <c r="AF13" s="202"/>
      <c r="AG13" s="202"/>
      <c r="AH13" s="202"/>
      <c r="AI13" s="202"/>
      <c r="AJ13" s="202"/>
      <c r="AK13" s="202"/>
      <c r="AL13" s="202"/>
      <c r="AM13" s="202"/>
      <c r="AN13" s="202"/>
      <c r="AO13" s="202"/>
      <c r="AP13" s="202"/>
    </row>
    <row r="14" spans="1:42" s="51" customFormat="1" ht="21.75" customHeight="1">
      <c r="A14" s="1439"/>
      <c r="B14" s="1433"/>
      <c r="C14" s="1357"/>
      <c r="D14" s="1357"/>
      <c r="E14" s="1357"/>
      <c r="F14" s="1322"/>
      <c r="G14" s="1365"/>
      <c r="H14" s="1322"/>
      <c r="I14" s="1360"/>
      <c r="J14" s="1360"/>
      <c r="K14" s="1363"/>
      <c r="L14" s="1363"/>
      <c r="M14" s="1363"/>
      <c r="N14" s="1363"/>
      <c r="O14" s="1363"/>
      <c r="P14" s="1363"/>
      <c r="Q14" s="267" t="s">
        <v>248</v>
      </c>
      <c r="R14" s="267" t="s">
        <v>249</v>
      </c>
      <c r="S14" s="267" t="s">
        <v>250</v>
      </c>
      <c r="T14" s="1359"/>
      <c r="U14" s="1359"/>
      <c r="V14" s="1360"/>
      <c r="W14" s="1322"/>
      <c r="X14" s="1322"/>
      <c r="Y14" s="1329"/>
      <c r="Z14" s="1428"/>
      <c r="AA14" s="1357"/>
      <c r="AB14" s="1363"/>
      <c r="AC14" s="1322"/>
      <c r="AD14" s="1322"/>
      <c r="AE14" s="1322"/>
      <c r="AF14" s="202"/>
      <c r="AG14" s="202"/>
      <c r="AH14" s="202"/>
      <c r="AI14" s="202"/>
      <c r="AJ14" s="202"/>
      <c r="AK14" s="202"/>
      <c r="AL14" s="202"/>
      <c r="AM14" s="202"/>
      <c r="AN14" s="202"/>
      <c r="AO14" s="202"/>
      <c r="AP14" s="202"/>
    </row>
    <row r="15" spans="1:42" s="51" customFormat="1" ht="21.75" hidden="1" customHeight="1">
      <c r="A15" s="193" t="s">
        <v>728</v>
      </c>
      <c r="B15" s="194" t="s">
        <v>121</v>
      </c>
      <c r="C15" s="192" t="s">
        <v>251</v>
      </c>
      <c r="D15" s="192" t="s">
        <v>252</v>
      </c>
      <c r="E15" s="192" t="s">
        <v>727</v>
      </c>
      <c r="F15" s="162" t="s">
        <v>729</v>
      </c>
      <c r="G15" s="199" t="s">
        <v>730</v>
      </c>
      <c r="H15" s="199" t="s">
        <v>846</v>
      </c>
      <c r="I15" s="193" t="s">
        <v>733</v>
      </c>
      <c r="J15" s="193" t="s">
        <v>731</v>
      </c>
      <c r="K15" s="192" t="s">
        <v>732</v>
      </c>
      <c r="L15" s="192" t="s">
        <v>734</v>
      </c>
      <c r="M15" s="192" t="s">
        <v>735</v>
      </c>
      <c r="N15" s="192" t="s">
        <v>189</v>
      </c>
      <c r="O15" s="192" t="s">
        <v>241</v>
      </c>
      <c r="P15" s="192" t="s">
        <v>736</v>
      </c>
      <c r="Q15" s="162" t="s">
        <v>737</v>
      </c>
      <c r="R15" s="162" t="s">
        <v>738</v>
      </c>
      <c r="S15" s="162" t="s">
        <v>739</v>
      </c>
      <c r="T15" s="194" t="s">
        <v>740</v>
      </c>
      <c r="U15" s="194" t="s">
        <v>741</v>
      </c>
      <c r="V15" s="193" t="s">
        <v>742</v>
      </c>
      <c r="W15" s="162" t="s">
        <v>743</v>
      </c>
      <c r="X15" s="162" t="s">
        <v>744</v>
      </c>
      <c r="Y15" s="198" t="s">
        <v>158</v>
      </c>
      <c r="Z15" s="197" t="s">
        <v>745</v>
      </c>
      <c r="AA15" s="192" t="s">
        <v>123</v>
      </c>
      <c r="AB15" s="192" t="s">
        <v>185</v>
      </c>
      <c r="AC15" s="162" t="s">
        <v>186</v>
      </c>
      <c r="AD15" s="162" t="s">
        <v>187</v>
      </c>
      <c r="AE15" s="162" t="s">
        <v>188</v>
      </c>
      <c r="AF15" s="202" t="s">
        <v>751</v>
      </c>
      <c r="AG15" s="202" t="s">
        <v>752</v>
      </c>
      <c r="AH15" s="202" t="s">
        <v>753</v>
      </c>
      <c r="AI15" s="202" t="s">
        <v>754</v>
      </c>
      <c r="AJ15" s="202" t="s">
        <v>72</v>
      </c>
      <c r="AK15" s="202" t="s">
        <v>755</v>
      </c>
      <c r="AL15" t="s">
        <v>77</v>
      </c>
      <c r="AM15" t="s">
        <v>677</v>
      </c>
      <c r="AN15" t="s">
        <v>331</v>
      </c>
    </row>
    <row r="16" spans="1:42" ht="15.75" customHeight="1">
      <c r="A16" s="17">
        <v>1</v>
      </c>
      <c r="B16" s="18"/>
      <c r="C16" s="18" t="s">
        <v>224</v>
      </c>
      <c r="D16" s="18" t="s">
        <v>851</v>
      </c>
      <c r="E16" s="18" t="s">
        <v>246</v>
      </c>
      <c r="F16" s="18" t="s">
        <v>279</v>
      </c>
      <c r="G16" s="155" t="str">
        <f t="shared" ref="G16:G49" ca="1" si="0">IF(F16="","",IF(OR($E16="choisir…",$E16="Aucun"),"",INDEX(OFFSET(INDIRECT($E16),,1),MATCH($F16,INDIRECT($E16),0))))</f>
        <v>kWh</v>
      </c>
      <c r="H16" s="219"/>
      <c r="I16" s="157"/>
      <c r="J16" s="18"/>
      <c r="K16" s="173"/>
      <c r="L16" s="157"/>
      <c r="M16" s="171"/>
      <c r="N16" s="220"/>
      <c r="O16" s="156" t="str">
        <f t="shared" ref="O16:O49" ca="1" si="1">IF(L16="","",IF(OR(E16&lt;&gt;"Énergie",F16=""),0,INDEX(OFFSET(INDIRECT($E16),,2),MATCH($F16,INDIRECT($E16),0)))*L16/1000*IF(AND(E16="Énergie",F16&lt;&gt;""),IF(AND(INDEX(OFFSET(Énergie,,8,,),MATCH(F16,Énergie,0))=1,H16&lt;&gt;""),IF(H16=1,0,1-1.1676*H16),IF(AND(INDEX(OFFSET(Énergie,,8,,),MATCH(F16,Énergie,0))=2,H16&lt;&gt;""),1-H16,1)),1))</f>
        <v/>
      </c>
      <c r="P16" s="159" t="str">
        <f t="shared" ref="P16:P49" ca="1" si="2">IF(L16="","",IF(OR($E16="choisir…",$E16="Aucun",F16=""),0,INDEX(OFFSET(INDIRECT(IF($E16="fugitive","PRP",E16)),,3),MATCH($F16,INDIRECT(IF($E16="fugitive","PRP",E16)),0)))*L16/1000000*IF($E16="Fugitive",1000,1)*IF(AND(E16="Énergie",F16&lt;&gt;""),IF(AND(INDEX(OFFSET(Énergie,,8,,),MATCH(F16,Énergie,0))=1,H16&lt;&gt;""),IF(H16=1,0,1-1.1676*H16),IF(AND(INDEX(OFFSET(Énergie,,8,,),MATCH(F16,Énergie,0))=2,H16&lt;&gt;""),1-H16,1)),1))</f>
        <v/>
      </c>
      <c r="Q16" s="223">
        <v>0</v>
      </c>
      <c r="R16" s="223">
        <v>0</v>
      </c>
      <c r="S16" s="223">
        <v>0</v>
      </c>
      <c r="T16" s="224"/>
      <c r="U16" s="223"/>
      <c r="V16" s="17" t="s">
        <v>173</v>
      </c>
      <c r="W16" s="33"/>
      <c r="X16" s="33"/>
      <c r="Y16" s="226"/>
      <c r="Z16" s="226"/>
      <c r="AA16" s="17"/>
      <c r="AB16" s="157"/>
      <c r="AC16" s="159" t="str">
        <f t="shared" ref="AC16:AC49" ca="1" si="3">IF(AB16="","",IF(OR($E16="choisir…",$E16="Aucun"),0,INDEX(OFFSET(INDIRECT($E16),,3),MATCH($F16,INDIRECT($E16),0)))*AB16/1000000)</f>
        <v/>
      </c>
      <c r="AD16" s="156" t="str">
        <f t="shared" ref="AD16:AD49" si="4">IF(AB16="","",AB16-L16)</f>
        <v/>
      </c>
      <c r="AE16" s="170" t="str">
        <f>IF(AB16="","",AD16/AB16)</f>
        <v/>
      </c>
      <c r="AF16" s="201">
        <f t="shared" ref="AF16:AF49" ca="1" si="5">IF(C16&lt;&gt;"Choisir…",INDEX(OFFSET(Volet,,-1,,),MATCH(C16,Volet,0)),"")</f>
        <v>4</v>
      </c>
      <c r="AG16" s="201" t="e">
        <f ca="1">IF(C16&lt;&gt;"Choisir…",INDEX(OFFSET(INDIRECT(C16),,-1,,),MATCH(D16,INDIRECT(C16),0)),"")</f>
        <v>#N/A</v>
      </c>
      <c r="AH16" s="201">
        <f t="shared" ref="AH16:AH49" ca="1" si="6">IF(E16&lt;&gt;"Choisir…",INDEX(OFFSET(Type_emission,,-1,,),MATCH(E16,Type_emission,0)),"")</f>
        <v>1</v>
      </c>
      <c r="AI16" s="201">
        <f t="shared" ref="AI16:AI49" ca="1" si="7">IF(F16="","",INDEX(OFFSET(IF(E16="Énergie",Énergie,IF(E16="Fugitive",PRP,"")),,-1,,),MATCH(F16,IF(E16="Énergie",Énergie,IF(E16="Fugitive",PRP,"")),0)))</f>
        <v>1</v>
      </c>
      <c r="AJ16" s="201">
        <f t="shared" ref="AJ16:AJ49" ca="1" si="8">IF(AND(E16="Énergie",F16&lt;&gt;""),INDEX(OFFSET(Énergie,,22,,),MATCH(F16,Énergie,0)),0)*L16</f>
        <v>0</v>
      </c>
      <c r="AK16" s="201" t="str">
        <f t="shared" ref="AK16:AK49" ca="1" si="9">IF(V16&lt;&gt;"Choisir…",INDEX(OFFSET(Fin_Autre,,-1,,),MATCH(V16,Fin_Autre,0)),"")</f>
        <v/>
      </c>
      <c r="AL16" s="201" t="b">
        <f ca="1">CHOOSE(AF16,FALSE,Data!DV$2,IF(Data!DP$2="Transport",FALSE,Data!DV$2),IF(Data!DP$2="Transport",FALSE,Data!DV$2),FALSE,FALSE,Data!DV$2)</f>
        <v>0</v>
      </c>
      <c r="AM16" s="201">
        <f ca="1">CHOOSE(AF16,"Affaires",IF(Data!DP$2="agricole","Agricole","Affaires"),IF(Data!DP$2="Agricole","Industriel",Data!DP$2),IF(Data!DP$2="Agricole","Industriel",Data!DP$2),IF(Data!DP$2="Agricole","Agricole","Affaires"),IF(Data!DP$2="Transport","Transport","Affaires"),IF(Data!DP$2="Agricole","Industriel",Data!DP$2))</f>
        <v>0</v>
      </c>
      <c r="AN16" s="201">
        <f ca="1">IF(C16="Innovation","1159400",IF(C16="Gestion","1151000",IF(C16="OPTER","1151210",IF(AND(C16="Connaissances",D16="Écoconduite"),"1157170",IF(AND(C16="Conversion",D16="Bioénergies"),"1151240",IF(AND(C16="Conversion",D16="Solaires"),"1151202",INDEX(OFFSET(Type_Entreprise,,2,,),MATCH('1. Demande'!AJ$67,Type_Entreprise,0))))))))</f>
        <v>0</v>
      </c>
      <c r="AO16"/>
      <c r="AP16"/>
    </row>
    <row r="17" spans="1:42" ht="15.75" customHeight="1">
      <c r="A17" s="17">
        <v>1</v>
      </c>
      <c r="B17" s="18"/>
      <c r="C17" s="18" t="s">
        <v>224</v>
      </c>
      <c r="D17" s="18" t="s">
        <v>851</v>
      </c>
      <c r="E17" s="18" t="s">
        <v>246</v>
      </c>
      <c r="F17" s="18" t="s">
        <v>108</v>
      </c>
      <c r="G17" s="155" t="str">
        <f t="shared" ca="1" si="0"/>
        <v>m³</v>
      </c>
      <c r="H17" s="219"/>
      <c r="I17" s="157"/>
      <c r="J17" s="18"/>
      <c r="K17" s="173"/>
      <c r="L17" s="157"/>
      <c r="M17" s="171"/>
      <c r="N17" s="220"/>
      <c r="O17" s="156" t="str">
        <f t="shared" ca="1" si="1"/>
        <v/>
      </c>
      <c r="P17" s="159" t="str">
        <f t="shared" ca="1" si="2"/>
        <v/>
      </c>
      <c r="Q17" s="223">
        <v>0</v>
      </c>
      <c r="R17" s="223">
        <v>0</v>
      </c>
      <c r="S17" s="223">
        <v>0</v>
      </c>
      <c r="T17" s="224"/>
      <c r="U17" s="223"/>
      <c r="V17" s="17" t="s">
        <v>173</v>
      </c>
      <c r="W17" s="33"/>
      <c r="X17" s="33"/>
      <c r="Y17" s="226"/>
      <c r="Z17" s="226"/>
      <c r="AA17" s="17"/>
      <c r="AB17" s="157"/>
      <c r="AC17" s="159" t="str">
        <f t="shared" ca="1" si="3"/>
        <v/>
      </c>
      <c r="AD17" s="156" t="str">
        <f t="shared" si="4"/>
        <v/>
      </c>
      <c r="AE17" s="170" t="str">
        <f t="shared" ref="AE17:AE49" si="10">IF(AB17="","",AD17/AB17)</f>
        <v/>
      </c>
      <c r="AF17" s="201">
        <f t="shared" ca="1" si="5"/>
        <v>4</v>
      </c>
      <c r="AG17" s="201" t="e">
        <f t="shared" ref="AG17:AG49" ca="1" si="11">IF(C17&lt;&gt;"Choisir…",INDEX(OFFSET(INDIRECT(C17),,-1,,),MATCH(D17,INDIRECT(C17),0)),"")</f>
        <v>#N/A</v>
      </c>
      <c r="AH17" s="201">
        <f t="shared" ca="1" si="6"/>
        <v>1</v>
      </c>
      <c r="AI17" s="201">
        <f t="shared" ca="1" si="7"/>
        <v>2</v>
      </c>
      <c r="AJ17" s="201">
        <f t="shared" ca="1" si="8"/>
        <v>0</v>
      </c>
      <c r="AK17" s="201" t="str">
        <f t="shared" ca="1" si="9"/>
        <v/>
      </c>
      <c r="AL17" s="201" t="b">
        <f ca="1">CHOOSE(AF17,FALSE,Data!DV$2,IF(Data!DP$2="Transport",FALSE,Data!DV$2),IF(Data!DP$2="Transport",FALSE,Data!DV$2),FALSE,FALSE,Data!DV$2)</f>
        <v>0</v>
      </c>
      <c r="AM17" s="201">
        <f ca="1">CHOOSE(AF17,"Affaires",IF(Data!DP$2="agricole","Agricole","Affaires"),IF(Data!DP$2="Agricole","Industriel",Data!DP$2),IF(Data!DP$2="Agricole","Industriel",Data!DP$2),IF(Data!DP$2="Agricole","Agricole","Affaires"),IF(Data!DP$2="Transport","Transport","Affaires"),IF(Data!DP$2="Agricole","Industriel",Data!DP$2))</f>
        <v>0</v>
      </c>
      <c r="AN17" s="201">
        <f ca="1">IF(C17="Innovation","1159400",IF(C17="Gestion","1151000",IF(C17="OPTER","1151210",IF(AND(C17="Connaissances",D17="Écoconduite"),"1157170",IF(AND(C17="Conversion",D17="Bioénergies"),"1151240",IF(AND(C17="Conversion",D17="Solaires"),"1151202",INDEX(OFFSET(Type_Entreprise,,2,,),MATCH('1. Demande'!AJ$67,Type_Entreprise,0))))))))</f>
        <v>0</v>
      </c>
      <c r="AO17"/>
      <c r="AP17"/>
    </row>
    <row r="18" spans="1:42" ht="15.75" customHeight="1">
      <c r="A18" s="17"/>
      <c r="B18" s="18"/>
      <c r="C18" s="18" t="s">
        <v>224</v>
      </c>
      <c r="D18" s="18" t="s">
        <v>851</v>
      </c>
      <c r="E18" s="18" t="s">
        <v>246</v>
      </c>
      <c r="F18" s="18"/>
      <c r="G18" s="155" t="str">
        <f t="shared" ca="1" si="0"/>
        <v/>
      </c>
      <c r="H18" s="219"/>
      <c r="I18" s="157"/>
      <c r="J18" s="18"/>
      <c r="K18" s="173"/>
      <c r="L18" s="157"/>
      <c r="M18" s="171"/>
      <c r="N18" s="220"/>
      <c r="O18" s="156" t="str">
        <f t="shared" ca="1" si="1"/>
        <v/>
      </c>
      <c r="P18" s="159" t="str">
        <f t="shared" ca="1" si="2"/>
        <v/>
      </c>
      <c r="Q18" s="223">
        <v>0</v>
      </c>
      <c r="R18" s="223">
        <v>0</v>
      </c>
      <c r="S18" s="223">
        <v>0</v>
      </c>
      <c r="T18" s="224"/>
      <c r="U18" s="223"/>
      <c r="V18" s="17" t="s">
        <v>173</v>
      </c>
      <c r="W18" s="33"/>
      <c r="X18" s="33"/>
      <c r="Y18" s="226"/>
      <c r="Z18" s="226"/>
      <c r="AA18" s="17"/>
      <c r="AB18" s="157"/>
      <c r="AC18" s="159" t="str">
        <f t="shared" ca="1" si="3"/>
        <v/>
      </c>
      <c r="AD18" s="156" t="str">
        <f t="shared" si="4"/>
        <v/>
      </c>
      <c r="AE18" s="170" t="str">
        <f t="shared" si="10"/>
        <v/>
      </c>
      <c r="AF18" s="201">
        <f t="shared" ca="1" si="5"/>
        <v>4</v>
      </c>
      <c r="AG18" s="201" t="e">
        <f t="shared" ca="1" si="11"/>
        <v>#N/A</v>
      </c>
      <c r="AH18" s="201">
        <f t="shared" ca="1" si="6"/>
        <v>1</v>
      </c>
      <c r="AI18" s="201" t="str">
        <f t="shared" ca="1" si="7"/>
        <v/>
      </c>
      <c r="AJ18" s="201">
        <f t="shared" ca="1" si="8"/>
        <v>0</v>
      </c>
      <c r="AK18" s="201" t="str">
        <f t="shared" ca="1" si="9"/>
        <v/>
      </c>
      <c r="AL18" s="201" t="b">
        <f ca="1">CHOOSE(AF18,FALSE,Data!DV$2,IF(Data!DP$2="Transport",FALSE,Data!DV$2),IF(Data!DP$2="Transport",FALSE,Data!DV$2),FALSE,FALSE,Data!DV$2)</f>
        <v>0</v>
      </c>
      <c r="AM18" s="201">
        <f ca="1">CHOOSE(AF18,"Affaires",IF(Data!DP$2="agricole","Agricole","Affaires"),IF(Data!DP$2="Agricole","Industriel",Data!DP$2),IF(Data!DP$2="Agricole","Industriel",Data!DP$2),IF(Data!DP$2="Agricole","Agricole","Affaires"),IF(Data!DP$2="Transport","Transport","Affaires"),IF(Data!DP$2="Agricole","Industriel",Data!DP$2))</f>
        <v>0</v>
      </c>
      <c r="AN18" s="201">
        <f ca="1">IF(C18="Innovation","1159400",IF(C18="Gestion","1151000",IF(C18="OPTER","1151210",IF(AND(C18="Connaissances",D18="Écoconduite"),"1157170",IF(AND(C18="Conversion",D18="Bioénergies"),"1151240",IF(AND(C18="Conversion",D18="Solaires"),"1151202",INDEX(OFFSET(Type_Entreprise,,2,,),MATCH('1. Demande'!AJ$67,Type_Entreprise,0))))))))</f>
        <v>0</v>
      </c>
      <c r="AO18"/>
      <c r="AP18"/>
    </row>
    <row r="19" spans="1:42" ht="15.75" customHeight="1">
      <c r="A19" s="17"/>
      <c r="B19" s="297" t="s">
        <v>922</v>
      </c>
      <c r="C19" s="18" t="s">
        <v>224</v>
      </c>
      <c r="D19" s="18" t="s">
        <v>851</v>
      </c>
      <c r="E19" s="18" t="s">
        <v>246</v>
      </c>
      <c r="F19" s="18"/>
      <c r="G19" s="155" t="str">
        <f t="shared" ca="1" si="0"/>
        <v/>
      </c>
      <c r="H19" s="219"/>
      <c r="I19" s="157"/>
      <c r="J19" s="18"/>
      <c r="K19" s="173"/>
      <c r="L19" s="157"/>
      <c r="M19" s="171"/>
      <c r="N19" s="220"/>
      <c r="O19" s="156" t="str">
        <f t="shared" ca="1" si="1"/>
        <v/>
      </c>
      <c r="P19" s="159" t="str">
        <f t="shared" ca="1" si="2"/>
        <v/>
      </c>
      <c r="Q19" s="223">
        <v>0</v>
      </c>
      <c r="R19" s="223">
        <v>0</v>
      </c>
      <c r="S19" s="223">
        <v>0</v>
      </c>
      <c r="T19" s="224"/>
      <c r="U19" s="223"/>
      <c r="V19" s="17" t="s">
        <v>173</v>
      </c>
      <c r="W19" s="33"/>
      <c r="X19" s="33"/>
      <c r="Y19" s="226"/>
      <c r="Z19" s="226"/>
      <c r="AA19" s="17"/>
      <c r="AB19" s="157"/>
      <c r="AC19" s="159" t="str">
        <f t="shared" ca="1" si="3"/>
        <v/>
      </c>
      <c r="AD19" s="156" t="str">
        <f t="shared" si="4"/>
        <v/>
      </c>
      <c r="AE19" s="170" t="str">
        <f t="shared" si="10"/>
        <v/>
      </c>
      <c r="AF19" s="201">
        <f t="shared" ca="1" si="5"/>
        <v>4</v>
      </c>
      <c r="AG19" s="201" t="e">
        <f t="shared" ca="1" si="11"/>
        <v>#N/A</v>
      </c>
      <c r="AH19" s="201">
        <f t="shared" ca="1" si="6"/>
        <v>1</v>
      </c>
      <c r="AI19" s="201" t="str">
        <f t="shared" ca="1" si="7"/>
        <v/>
      </c>
      <c r="AJ19" s="201">
        <f t="shared" ca="1" si="8"/>
        <v>0</v>
      </c>
      <c r="AK19" s="201" t="str">
        <f t="shared" ca="1" si="9"/>
        <v/>
      </c>
      <c r="AL19" s="201" t="b">
        <f ca="1">CHOOSE(AF19,FALSE,Data!DV$2,IF(Data!DP$2="Transport",FALSE,Data!DV$2),IF(Data!DP$2="Transport",FALSE,Data!DV$2),FALSE,FALSE,Data!DV$2)</f>
        <v>0</v>
      </c>
      <c r="AM19" s="201">
        <f ca="1">CHOOSE(AF19,"Affaires",IF(Data!DP$2="agricole","Agricole","Affaires"),IF(Data!DP$2="Agricole","Industriel",Data!DP$2),IF(Data!DP$2="Agricole","Industriel",Data!DP$2),IF(Data!DP$2="Agricole","Agricole","Affaires"),IF(Data!DP$2="Transport","Transport","Affaires"),IF(Data!DP$2="Agricole","Industriel",Data!DP$2))</f>
        <v>0</v>
      </c>
      <c r="AN19" s="201">
        <f ca="1">IF(C19="Innovation","1159400",IF(C19="Gestion","1151000",IF(C19="OPTER","1151210",IF(AND(C19="Connaissances",D19="Écoconduite"),"1157170",IF(AND(C19="Conversion",D19="Bioénergies"),"1151240",IF(AND(C19="Conversion",D19="Solaires"),"1151202",INDEX(OFFSET(Type_Entreprise,,2,,),MATCH('1. Demande'!AJ$67,Type_Entreprise,0))))))))</f>
        <v>0</v>
      </c>
      <c r="AO19"/>
      <c r="AP19"/>
    </row>
    <row r="20" spans="1:42" ht="15.75" customHeight="1">
      <c r="A20" s="17"/>
      <c r="B20" s="18"/>
      <c r="C20" s="18" t="s">
        <v>224</v>
      </c>
      <c r="D20" s="18" t="s">
        <v>851</v>
      </c>
      <c r="E20" s="18" t="s">
        <v>246</v>
      </c>
      <c r="F20" s="18"/>
      <c r="G20" s="155" t="str">
        <f t="shared" ca="1" si="0"/>
        <v/>
      </c>
      <c r="H20" s="219"/>
      <c r="I20" s="157"/>
      <c r="J20" s="18"/>
      <c r="K20" s="173"/>
      <c r="L20" s="157"/>
      <c r="M20" s="171"/>
      <c r="N20" s="220"/>
      <c r="O20" s="156" t="str">
        <f t="shared" ca="1" si="1"/>
        <v/>
      </c>
      <c r="P20" s="159" t="str">
        <f t="shared" ca="1" si="2"/>
        <v/>
      </c>
      <c r="Q20" s="223">
        <v>0</v>
      </c>
      <c r="R20" s="223">
        <v>0</v>
      </c>
      <c r="S20" s="223">
        <v>0</v>
      </c>
      <c r="T20" s="224"/>
      <c r="U20" s="223"/>
      <c r="V20" s="17" t="s">
        <v>173</v>
      </c>
      <c r="W20" s="33"/>
      <c r="X20" s="33"/>
      <c r="Y20" s="226"/>
      <c r="Z20" s="226"/>
      <c r="AA20" s="17"/>
      <c r="AB20" s="157"/>
      <c r="AC20" s="159" t="str">
        <f t="shared" ca="1" si="3"/>
        <v/>
      </c>
      <c r="AD20" s="156" t="str">
        <f t="shared" si="4"/>
        <v/>
      </c>
      <c r="AE20" s="170" t="str">
        <f t="shared" si="10"/>
        <v/>
      </c>
      <c r="AF20" s="201">
        <f t="shared" ca="1" si="5"/>
        <v>4</v>
      </c>
      <c r="AG20" s="201" t="e">
        <f t="shared" ca="1" si="11"/>
        <v>#N/A</v>
      </c>
      <c r="AH20" s="201">
        <f t="shared" ca="1" si="6"/>
        <v>1</v>
      </c>
      <c r="AI20" s="201" t="str">
        <f t="shared" ca="1" si="7"/>
        <v/>
      </c>
      <c r="AJ20" s="201">
        <f t="shared" ca="1" si="8"/>
        <v>0</v>
      </c>
      <c r="AK20" s="201" t="str">
        <f t="shared" ca="1" si="9"/>
        <v/>
      </c>
      <c r="AL20" s="201" t="b">
        <f ca="1">CHOOSE(AF20,FALSE,Data!DV$2,IF(Data!DP$2="Transport",FALSE,Data!DV$2),IF(Data!DP$2="Transport",FALSE,Data!DV$2),FALSE,FALSE,Data!DV$2)</f>
        <v>0</v>
      </c>
      <c r="AM20" s="201">
        <f ca="1">CHOOSE(AF20,"Affaires",IF(Data!DP$2="agricole","Agricole","Affaires"),IF(Data!DP$2="Agricole","Industriel",Data!DP$2),IF(Data!DP$2="Agricole","Industriel",Data!DP$2),IF(Data!DP$2="Agricole","Agricole","Affaires"),IF(Data!DP$2="Transport","Transport","Affaires"),IF(Data!DP$2="Agricole","Industriel",Data!DP$2))</f>
        <v>0</v>
      </c>
      <c r="AN20" s="201">
        <f ca="1">IF(C20="Innovation","1159400",IF(C20="Gestion","1151000",IF(C20="OPTER","1151210",IF(AND(C20="Connaissances",D20="Écoconduite"),"1157170",IF(AND(C20="Conversion",D20="Bioénergies"),"1151240",IF(AND(C20="Conversion",D20="Solaires"),"1151202",INDEX(OFFSET(Type_Entreprise,,2,,),MATCH('1. Demande'!AJ$67,Type_Entreprise,0))))))))</f>
        <v>0</v>
      </c>
      <c r="AO20"/>
      <c r="AP20"/>
    </row>
    <row r="21" spans="1:42" ht="15.75" customHeight="1">
      <c r="A21" s="17"/>
      <c r="B21" s="18"/>
      <c r="C21" s="18" t="s">
        <v>224</v>
      </c>
      <c r="D21" s="18" t="s">
        <v>851</v>
      </c>
      <c r="E21" s="18" t="s">
        <v>246</v>
      </c>
      <c r="F21" s="18"/>
      <c r="G21" s="155" t="str">
        <f t="shared" ca="1" si="0"/>
        <v/>
      </c>
      <c r="H21" s="219"/>
      <c r="I21" s="157"/>
      <c r="J21" s="18"/>
      <c r="K21" s="173"/>
      <c r="L21" s="157"/>
      <c r="M21" s="171"/>
      <c r="N21" s="220"/>
      <c r="O21" s="156" t="str">
        <f t="shared" ca="1" si="1"/>
        <v/>
      </c>
      <c r="P21" s="159" t="str">
        <f t="shared" ca="1" si="2"/>
        <v/>
      </c>
      <c r="Q21" s="223">
        <v>0</v>
      </c>
      <c r="R21" s="223">
        <v>0</v>
      </c>
      <c r="S21" s="223">
        <v>0</v>
      </c>
      <c r="T21" s="224"/>
      <c r="U21" s="223"/>
      <c r="V21" s="17" t="s">
        <v>173</v>
      </c>
      <c r="W21" s="33"/>
      <c r="X21" s="33"/>
      <c r="Y21" s="226"/>
      <c r="Z21" s="226"/>
      <c r="AA21" s="17"/>
      <c r="AB21" s="157"/>
      <c r="AC21" s="159" t="str">
        <f t="shared" ca="1" si="3"/>
        <v/>
      </c>
      <c r="AD21" s="156" t="str">
        <f t="shared" si="4"/>
        <v/>
      </c>
      <c r="AE21" s="170" t="str">
        <f t="shared" si="10"/>
        <v/>
      </c>
      <c r="AF21" s="201">
        <f t="shared" ca="1" si="5"/>
        <v>4</v>
      </c>
      <c r="AG21" s="201" t="e">
        <f t="shared" ca="1" si="11"/>
        <v>#N/A</v>
      </c>
      <c r="AH21" s="201">
        <f t="shared" ca="1" si="6"/>
        <v>1</v>
      </c>
      <c r="AI21" s="201" t="str">
        <f t="shared" ca="1" si="7"/>
        <v/>
      </c>
      <c r="AJ21" s="201">
        <f t="shared" ca="1" si="8"/>
        <v>0</v>
      </c>
      <c r="AK21" s="201" t="str">
        <f t="shared" ca="1" si="9"/>
        <v/>
      </c>
      <c r="AL21" s="201" t="b">
        <f ca="1">CHOOSE(AF21,FALSE,Data!DV$2,IF(Data!DP$2="Transport",FALSE,Data!DV$2),IF(Data!DP$2="Transport",FALSE,Data!DV$2),FALSE,FALSE,Data!DV$2)</f>
        <v>0</v>
      </c>
      <c r="AM21" s="201">
        <f ca="1">CHOOSE(AF21,"Affaires",IF(Data!DP$2="agricole","Agricole","Affaires"),IF(Data!DP$2="Agricole","Industriel",Data!DP$2),IF(Data!DP$2="Agricole","Industriel",Data!DP$2),IF(Data!DP$2="Agricole","Agricole","Affaires"),IF(Data!DP$2="Transport","Transport","Affaires"),IF(Data!DP$2="Agricole","Industriel",Data!DP$2))</f>
        <v>0</v>
      </c>
      <c r="AN21" s="201">
        <f ca="1">IF(C21="Innovation","1159400",IF(C21="Gestion","1151000",IF(C21="OPTER","1151210",IF(AND(C21="Connaissances",D21="Écoconduite"),"1157170",IF(AND(C21="Conversion",D21="Bioénergies"),"1151240",IF(AND(C21="Conversion",D21="Solaires"),"1151202",INDEX(OFFSET(Type_Entreprise,,2,,),MATCH('1. Demande'!AJ$67,Type_Entreprise,0))))))))</f>
        <v>0</v>
      </c>
      <c r="AO21"/>
      <c r="AP21"/>
    </row>
    <row r="22" spans="1:42" ht="15.75" customHeight="1">
      <c r="A22" s="17"/>
      <c r="B22" s="18"/>
      <c r="C22" s="18" t="s">
        <v>224</v>
      </c>
      <c r="D22" s="18" t="s">
        <v>851</v>
      </c>
      <c r="E22" s="18" t="s">
        <v>246</v>
      </c>
      <c r="F22" s="18"/>
      <c r="G22" s="155" t="str">
        <f t="shared" ca="1" si="0"/>
        <v/>
      </c>
      <c r="H22" s="219"/>
      <c r="I22" s="157"/>
      <c r="J22" s="18"/>
      <c r="K22" s="173"/>
      <c r="L22" s="157"/>
      <c r="M22" s="171"/>
      <c r="N22" s="220"/>
      <c r="O22" s="156" t="str">
        <f t="shared" ca="1" si="1"/>
        <v/>
      </c>
      <c r="P22" s="159" t="str">
        <f t="shared" ca="1" si="2"/>
        <v/>
      </c>
      <c r="Q22" s="223">
        <v>0</v>
      </c>
      <c r="R22" s="223">
        <v>0</v>
      </c>
      <c r="S22" s="223">
        <v>0</v>
      </c>
      <c r="T22" s="224"/>
      <c r="U22" s="223"/>
      <c r="V22" s="17" t="s">
        <v>173</v>
      </c>
      <c r="W22" s="33"/>
      <c r="X22" s="33"/>
      <c r="Y22" s="226"/>
      <c r="Z22" s="226"/>
      <c r="AA22" s="17"/>
      <c r="AB22" s="157"/>
      <c r="AC22" s="159" t="str">
        <f t="shared" ca="1" si="3"/>
        <v/>
      </c>
      <c r="AD22" s="156" t="str">
        <f t="shared" si="4"/>
        <v/>
      </c>
      <c r="AE22" s="170" t="str">
        <f t="shared" si="10"/>
        <v/>
      </c>
      <c r="AF22" s="201">
        <f t="shared" ca="1" si="5"/>
        <v>4</v>
      </c>
      <c r="AG22" s="201" t="e">
        <f t="shared" ca="1" si="11"/>
        <v>#N/A</v>
      </c>
      <c r="AH22" s="201">
        <f t="shared" ca="1" si="6"/>
        <v>1</v>
      </c>
      <c r="AI22" s="201" t="str">
        <f t="shared" ca="1" si="7"/>
        <v/>
      </c>
      <c r="AJ22" s="201">
        <f t="shared" ca="1" si="8"/>
        <v>0</v>
      </c>
      <c r="AK22" s="201" t="str">
        <f t="shared" ca="1" si="9"/>
        <v/>
      </c>
      <c r="AL22" s="201" t="b">
        <f ca="1">CHOOSE(AF22,FALSE,Data!DV$2,IF(Data!DP$2="Transport",FALSE,Data!DV$2),IF(Data!DP$2="Transport",FALSE,Data!DV$2),FALSE,FALSE,Data!DV$2)</f>
        <v>0</v>
      </c>
      <c r="AM22" s="201">
        <f ca="1">CHOOSE(AF22,"Affaires",IF(Data!DP$2="agricole","Agricole","Affaires"),IF(Data!DP$2="Agricole","Industriel",Data!DP$2),IF(Data!DP$2="Agricole","Industriel",Data!DP$2),IF(Data!DP$2="Agricole","Agricole","Affaires"),IF(Data!DP$2="Transport","Transport","Affaires"),IF(Data!DP$2="Agricole","Industriel",Data!DP$2))</f>
        <v>0</v>
      </c>
      <c r="AN22" s="201">
        <f ca="1">IF(C22="Innovation","1159400",IF(C22="Gestion","1151000",IF(C22="OPTER","1151210",IF(AND(C22="Connaissances",D22="Écoconduite"),"1157170",IF(AND(C22="Conversion",D22="Bioénergies"),"1151240",IF(AND(C22="Conversion",D22="Solaires"),"1151202",INDEX(OFFSET(Type_Entreprise,,2,,),MATCH('1. Demande'!AJ$67,Type_Entreprise,0))))))))</f>
        <v>0</v>
      </c>
      <c r="AO22"/>
      <c r="AP22"/>
    </row>
    <row r="23" spans="1:42" ht="15.75" customHeight="1">
      <c r="A23" s="17"/>
      <c r="B23" s="18"/>
      <c r="C23" s="18" t="s">
        <v>224</v>
      </c>
      <c r="D23" s="18" t="s">
        <v>851</v>
      </c>
      <c r="E23" s="18" t="s">
        <v>246</v>
      </c>
      <c r="F23" s="18"/>
      <c r="G23" s="155" t="str">
        <f t="shared" ca="1" si="0"/>
        <v/>
      </c>
      <c r="H23" s="219"/>
      <c r="I23" s="157"/>
      <c r="J23" s="18"/>
      <c r="K23" s="173"/>
      <c r="L23" s="157"/>
      <c r="M23" s="171"/>
      <c r="N23" s="220"/>
      <c r="O23" s="156" t="str">
        <f t="shared" ca="1" si="1"/>
        <v/>
      </c>
      <c r="P23" s="159" t="str">
        <f t="shared" ca="1" si="2"/>
        <v/>
      </c>
      <c r="Q23" s="223">
        <v>0</v>
      </c>
      <c r="R23" s="223">
        <v>0</v>
      </c>
      <c r="S23" s="223">
        <v>0</v>
      </c>
      <c r="T23" s="224"/>
      <c r="U23" s="223"/>
      <c r="V23" s="17" t="s">
        <v>173</v>
      </c>
      <c r="W23" s="33"/>
      <c r="X23" s="33"/>
      <c r="Y23" s="226"/>
      <c r="Z23" s="226"/>
      <c r="AA23" s="17"/>
      <c r="AB23" s="157"/>
      <c r="AC23" s="159" t="str">
        <f t="shared" ca="1" si="3"/>
        <v/>
      </c>
      <c r="AD23" s="156" t="str">
        <f t="shared" si="4"/>
        <v/>
      </c>
      <c r="AE23" s="170" t="str">
        <f t="shared" si="10"/>
        <v/>
      </c>
      <c r="AF23" s="201">
        <f t="shared" ca="1" si="5"/>
        <v>4</v>
      </c>
      <c r="AG23" s="201" t="e">
        <f t="shared" ca="1" si="11"/>
        <v>#N/A</v>
      </c>
      <c r="AH23" s="201">
        <f t="shared" ca="1" si="6"/>
        <v>1</v>
      </c>
      <c r="AI23" s="201" t="str">
        <f t="shared" ca="1" si="7"/>
        <v/>
      </c>
      <c r="AJ23" s="201">
        <f t="shared" ca="1" si="8"/>
        <v>0</v>
      </c>
      <c r="AK23" s="201" t="str">
        <f t="shared" ca="1" si="9"/>
        <v/>
      </c>
      <c r="AL23" s="201" t="b">
        <f ca="1">CHOOSE(AF23,FALSE,Data!DV$2,IF(Data!DP$2="Transport",FALSE,Data!DV$2),IF(Data!DP$2="Transport",FALSE,Data!DV$2),FALSE,FALSE,Data!DV$2)</f>
        <v>0</v>
      </c>
      <c r="AM23" s="201">
        <f ca="1">CHOOSE(AF23,"Affaires",IF(Data!DP$2="agricole","Agricole","Affaires"),IF(Data!DP$2="Agricole","Industriel",Data!DP$2),IF(Data!DP$2="Agricole","Industriel",Data!DP$2),IF(Data!DP$2="Agricole","Agricole","Affaires"),IF(Data!DP$2="Transport","Transport","Affaires"),IF(Data!DP$2="Agricole","Industriel",Data!DP$2))</f>
        <v>0</v>
      </c>
      <c r="AN23" s="201">
        <f ca="1">IF(C23="Innovation","1159400",IF(C23="Gestion","1151000",IF(C23="OPTER","1151210",IF(AND(C23="Connaissances",D23="Écoconduite"),"1157170",IF(AND(C23="Conversion",D23="Bioénergies"),"1151240",IF(AND(C23="Conversion",D23="Solaires"),"1151202",INDEX(OFFSET(Type_Entreprise,,2,,),MATCH('1. Demande'!AJ$67,Type_Entreprise,0))))))))</f>
        <v>0</v>
      </c>
      <c r="AO23"/>
      <c r="AP23"/>
    </row>
    <row r="24" spans="1:42" ht="15.75" customHeight="1">
      <c r="A24" s="17"/>
      <c r="B24" s="18"/>
      <c r="C24" s="18" t="s">
        <v>224</v>
      </c>
      <c r="D24" s="18" t="s">
        <v>851</v>
      </c>
      <c r="E24" s="18" t="s">
        <v>246</v>
      </c>
      <c r="F24" s="18"/>
      <c r="G24" s="155" t="str">
        <f t="shared" ca="1" si="0"/>
        <v/>
      </c>
      <c r="H24" s="219"/>
      <c r="I24" s="157"/>
      <c r="J24" s="18"/>
      <c r="K24" s="173"/>
      <c r="L24" s="157"/>
      <c r="M24" s="171"/>
      <c r="N24" s="220"/>
      <c r="O24" s="156" t="str">
        <f t="shared" ca="1" si="1"/>
        <v/>
      </c>
      <c r="P24" s="159" t="str">
        <f t="shared" ca="1" si="2"/>
        <v/>
      </c>
      <c r="Q24" s="223">
        <v>0</v>
      </c>
      <c r="R24" s="223">
        <v>0</v>
      </c>
      <c r="S24" s="223">
        <v>0</v>
      </c>
      <c r="T24" s="224"/>
      <c r="U24" s="223"/>
      <c r="V24" s="17" t="s">
        <v>173</v>
      </c>
      <c r="W24" s="33"/>
      <c r="X24" s="33"/>
      <c r="Y24" s="226"/>
      <c r="Z24" s="226"/>
      <c r="AA24" s="17"/>
      <c r="AB24" s="157"/>
      <c r="AC24" s="159" t="str">
        <f t="shared" ca="1" si="3"/>
        <v/>
      </c>
      <c r="AD24" s="156" t="str">
        <f t="shared" si="4"/>
        <v/>
      </c>
      <c r="AE24" s="170" t="str">
        <f t="shared" si="10"/>
        <v/>
      </c>
      <c r="AF24" s="201">
        <f t="shared" ca="1" si="5"/>
        <v>4</v>
      </c>
      <c r="AG24" s="201" t="e">
        <f t="shared" ca="1" si="11"/>
        <v>#N/A</v>
      </c>
      <c r="AH24" s="201">
        <f t="shared" ca="1" si="6"/>
        <v>1</v>
      </c>
      <c r="AI24" s="201" t="str">
        <f t="shared" ca="1" si="7"/>
        <v/>
      </c>
      <c r="AJ24" s="201">
        <f t="shared" ca="1" si="8"/>
        <v>0</v>
      </c>
      <c r="AK24" s="201" t="str">
        <f t="shared" ca="1" si="9"/>
        <v/>
      </c>
      <c r="AL24" s="201" t="b">
        <f ca="1">CHOOSE(AF24,FALSE,Data!DV$2,IF(Data!DP$2="Transport",FALSE,Data!DV$2),IF(Data!DP$2="Transport",FALSE,Data!DV$2),FALSE,FALSE,Data!DV$2)</f>
        <v>0</v>
      </c>
      <c r="AM24" s="201">
        <f ca="1">CHOOSE(AF24,"Affaires",IF(Data!DP$2="agricole","Agricole","Affaires"),IF(Data!DP$2="Agricole","Industriel",Data!DP$2),IF(Data!DP$2="Agricole","Industriel",Data!DP$2),IF(Data!DP$2="Agricole","Agricole","Affaires"),IF(Data!DP$2="Transport","Transport","Affaires"),IF(Data!DP$2="Agricole","Industriel",Data!DP$2))</f>
        <v>0</v>
      </c>
      <c r="AN24" s="201">
        <f ca="1">IF(C24="Innovation","1159400",IF(C24="Gestion","1151000",IF(C24="OPTER","1151210",IF(AND(C24="Connaissances",D24="Écoconduite"),"1157170",IF(AND(C24="Conversion",D24="Bioénergies"),"1151240",IF(AND(C24="Conversion",D24="Solaires"),"1151202",INDEX(OFFSET(Type_Entreprise,,2,,),MATCH('1. Demande'!AJ$67,Type_Entreprise,0))))))))</f>
        <v>0</v>
      </c>
      <c r="AO24"/>
      <c r="AP24"/>
    </row>
    <row r="25" spans="1:42" ht="15.75" customHeight="1">
      <c r="A25" s="17"/>
      <c r="B25" s="18"/>
      <c r="C25" s="18" t="s">
        <v>224</v>
      </c>
      <c r="D25" s="18" t="s">
        <v>851</v>
      </c>
      <c r="E25" s="18" t="s">
        <v>246</v>
      </c>
      <c r="F25" s="18"/>
      <c r="G25" s="155" t="str">
        <f t="shared" ca="1" si="0"/>
        <v/>
      </c>
      <c r="H25" s="219"/>
      <c r="I25" s="157"/>
      <c r="J25" s="18"/>
      <c r="K25" s="173"/>
      <c r="L25" s="157"/>
      <c r="M25" s="171"/>
      <c r="N25" s="220"/>
      <c r="O25" s="156" t="str">
        <f t="shared" ca="1" si="1"/>
        <v/>
      </c>
      <c r="P25" s="159" t="str">
        <f t="shared" ca="1" si="2"/>
        <v/>
      </c>
      <c r="Q25" s="223">
        <v>0</v>
      </c>
      <c r="R25" s="223">
        <v>0</v>
      </c>
      <c r="S25" s="223">
        <v>0</v>
      </c>
      <c r="T25" s="224"/>
      <c r="U25" s="223"/>
      <c r="V25" s="17" t="s">
        <v>173</v>
      </c>
      <c r="W25" s="33"/>
      <c r="X25" s="33"/>
      <c r="Y25" s="226"/>
      <c r="Z25" s="226"/>
      <c r="AA25" s="17"/>
      <c r="AB25" s="157"/>
      <c r="AC25" s="159" t="str">
        <f t="shared" ca="1" si="3"/>
        <v/>
      </c>
      <c r="AD25" s="156" t="str">
        <f t="shared" si="4"/>
        <v/>
      </c>
      <c r="AE25" s="170" t="str">
        <f t="shared" si="10"/>
        <v/>
      </c>
      <c r="AF25" s="201">
        <f t="shared" ca="1" si="5"/>
        <v>4</v>
      </c>
      <c r="AG25" s="201" t="e">
        <f t="shared" ca="1" si="11"/>
        <v>#N/A</v>
      </c>
      <c r="AH25" s="201">
        <f t="shared" ca="1" si="6"/>
        <v>1</v>
      </c>
      <c r="AI25" s="201" t="str">
        <f t="shared" ca="1" si="7"/>
        <v/>
      </c>
      <c r="AJ25" s="201">
        <f t="shared" ca="1" si="8"/>
        <v>0</v>
      </c>
      <c r="AK25" s="201" t="str">
        <f t="shared" ca="1" si="9"/>
        <v/>
      </c>
      <c r="AL25" s="201" t="b">
        <f ca="1">CHOOSE(AF25,FALSE,Data!DV$2,IF(Data!DP$2="Transport",FALSE,Data!DV$2),IF(Data!DP$2="Transport",FALSE,Data!DV$2),FALSE,FALSE,Data!DV$2)</f>
        <v>0</v>
      </c>
      <c r="AM25" s="201">
        <f ca="1">CHOOSE(AF25,"Affaires",IF(Data!DP$2="agricole","Agricole","Affaires"),IF(Data!DP$2="Agricole","Industriel",Data!DP$2),IF(Data!DP$2="Agricole","Industriel",Data!DP$2),IF(Data!DP$2="Agricole","Agricole","Affaires"),IF(Data!DP$2="Transport","Transport","Affaires"),IF(Data!DP$2="Agricole","Industriel",Data!DP$2))</f>
        <v>0</v>
      </c>
      <c r="AN25" s="201">
        <f ca="1">IF(C25="Innovation","1159400",IF(C25="Gestion","1151000",IF(C25="OPTER","1151210",IF(AND(C25="Connaissances",D25="Écoconduite"),"1157170",IF(AND(C25="Conversion",D25="Bioénergies"),"1151240",IF(AND(C25="Conversion",D25="Solaires"),"1151202",INDEX(OFFSET(Type_Entreprise,,2,,),MATCH('1. Demande'!AJ$67,Type_Entreprise,0))))))))</f>
        <v>0</v>
      </c>
      <c r="AO25"/>
      <c r="AP25"/>
    </row>
    <row r="26" spans="1:42" ht="15.75" customHeight="1">
      <c r="A26" s="17"/>
      <c r="B26" s="18"/>
      <c r="C26" s="18" t="s">
        <v>224</v>
      </c>
      <c r="D26" s="18" t="s">
        <v>851</v>
      </c>
      <c r="E26" s="18" t="s">
        <v>246</v>
      </c>
      <c r="F26" s="18"/>
      <c r="G26" s="155" t="str">
        <f t="shared" ca="1" si="0"/>
        <v/>
      </c>
      <c r="H26" s="219"/>
      <c r="I26" s="157"/>
      <c r="J26" s="18"/>
      <c r="K26" s="173"/>
      <c r="L26" s="157"/>
      <c r="M26" s="171"/>
      <c r="N26" s="220"/>
      <c r="O26" s="156" t="str">
        <f t="shared" ca="1" si="1"/>
        <v/>
      </c>
      <c r="P26" s="159" t="str">
        <f t="shared" ca="1" si="2"/>
        <v/>
      </c>
      <c r="Q26" s="223">
        <v>0</v>
      </c>
      <c r="R26" s="223">
        <v>0</v>
      </c>
      <c r="S26" s="223">
        <v>0</v>
      </c>
      <c r="T26" s="224"/>
      <c r="U26" s="223"/>
      <c r="V26" s="17" t="s">
        <v>173</v>
      </c>
      <c r="W26" s="33"/>
      <c r="X26" s="33"/>
      <c r="Y26" s="226"/>
      <c r="Z26" s="226"/>
      <c r="AA26" s="17"/>
      <c r="AB26" s="157"/>
      <c r="AC26" s="159" t="str">
        <f t="shared" ca="1" si="3"/>
        <v/>
      </c>
      <c r="AD26" s="156" t="str">
        <f t="shared" si="4"/>
        <v/>
      </c>
      <c r="AE26" s="170" t="str">
        <f t="shared" si="10"/>
        <v/>
      </c>
      <c r="AF26" s="201">
        <f t="shared" ca="1" si="5"/>
        <v>4</v>
      </c>
      <c r="AG26" s="201" t="e">
        <f t="shared" ca="1" si="11"/>
        <v>#N/A</v>
      </c>
      <c r="AH26" s="201">
        <f t="shared" ca="1" si="6"/>
        <v>1</v>
      </c>
      <c r="AI26" s="201" t="str">
        <f t="shared" ca="1" si="7"/>
        <v/>
      </c>
      <c r="AJ26" s="201">
        <f t="shared" ca="1" si="8"/>
        <v>0</v>
      </c>
      <c r="AK26" s="201" t="str">
        <f t="shared" ca="1" si="9"/>
        <v/>
      </c>
      <c r="AL26" s="201" t="b">
        <f ca="1">CHOOSE(AF26,FALSE,Data!DV$2,IF(Data!DP$2="Transport",FALSE,Data!DV$2),IF(Data!DP$2="Transport",FALSE,Data!DV$2),FALSE,FALSE,Data!DV$2)</f>
        <v>0</v>
      </c>
      <c r="AM26" s="201">
        <f ca="1">CHOOSE(AF26,"Affaires",IF(Data!DP$2="agricole","Agricole","Affaires"),IF(Data!DP$2="Agricole","Industriel",Data!DP$2),IF(Data!DP$2="Agricole","Industriel",Data!DP$2),IF(Data!DP$2="Agricole","Agricole","Affaires"),IF(Data!DP$2="Transport","Transport","Affaires"),IF(Data!DP$2="Agricole","Industriel",Data!DP$2))</f>
        <v>0</v>
      </c>
      <c r="AN26" s="201">
        <f ca="1">IF(C26="Innovation","1159400",IF(C26="Gestion","1151000",IF(C26="OPTER","1151210",IF(AND(C26="Connaissances",D26="Écoconduite"),"1157170",IF(AND(C26="Conversion",D26="Bioénergies"),"1151240",IF(AND(C26="Conversion",D26="Solaires"),"1151202",INDEX(OFFSET(Type_Entreprise,,2,,),MATCH('1. Demande'!AJ$67,Type_Entreprise,0))))))))</f>
        <v>0</v>
      </c>
      <c r="AO26"/>
      <c r="AP26"/>
    </row>
    <row r="27" spans="1:42" ht="15.75" customHeight="1">
      <c r="A27" s="17"/>
      <c r="B27" s="18"/>
      <c r="C27" s="18" t="s">
        <v>224</v>
      </c>
      <c r="D27" s="18" t="s">
        <v>851</v>
      </c>
      <c r="E27" s="18" t="s">
        <v>246</v>
      </c>
      <c r="F27" s="18"/>
      <c r="G27" s="155" t="str">
        <f t="shared" ca="1" si="0"/>
        <v/>
      </c>
      <c r="H27" s="219"/>
      <c r="I27" s="157"/>
      <c r="J27" s="18"/>
      <c r="K27" s="173"/>
      <c r="L27" s="157"/>
      <c r="M27" s="171"/>
      <c r="N27" s="220"/>
      <c r="O27" s="156" t="str">
        <f t="shared" ca="1" si="1"/>
        <v/>
      </c>
      <c r="P27" s="159" t="str">
        <f t="shared" ca="1" si="2"/>
        <v/>
      </c>
      <c r="Q27" s="223">
        <v>0</v>
      </c>
      <c r="R27" s="223">
        <v>0</v>
      </c>
      <c r="S27" s="223">
        <v>0</v>
      </c>
      <c r="T27" s="224"/>
      <c r="U27" s="223"/>
      <c r="V27" s="17" t="s">
        <v>173</v>
      </c>
      <c r="W27" s="33"/>
      <c r="X27" s="33"/>
      <c r="Y27" s="226"/>
      <c r="Z27" s="226"/>
      <c r="AA27" s="17"/>
      <c r="AB27" s="157"/>
      <c r="AC27" s="159" t="str">
        <f t="shared" ca="1" si="3"/>
        <v/>
      </c>
      <c r="AD27" s="156" t="str">
        <f t="shared" si="4"/>
        <v/>
      </c>
      <c r="AE27" s="170" t="str">
        <f t="shared" si="10"/>
        <v/>
      </c>
      <c r="AF27" s="201">
        <f t="shared" ca="1" si="5"/>
        <v>4</v>
      </c>
      <c r="AG27" s="201" t="e">
        <f t="shared" ca="1" si="11"/>
        <v>#N/A</v>
      </c>
      <c r="AH27" s="201">
        <f t="shared" ca="1" si="6"/>
        <v>1</v>
      </c>
      <c r="AI27" s="201" t="str">
        <f t="shared" ca="1" si="7"/>
        <v/>
      </c>
      <c r="AJ27" s="201">
        <f t="shared" ca="1" si="8"/>
        <v>0</v>
      </c>
      <c r="AK27" s="201" t="str">
        <f t="shared" ca="1" si="9"/>
        <v/>
      </c>
      <c r="AL27" s="201" t="b">
        <f ca="1">CHOOSE(AF27,FALSE,Data!DV$2,IF(Data!DP$2="Transport",FALSE,Data!DV$2),IF(Data!DP$2="Transport",FALSE,Data!DV$2),FALSE,FALSE,Data!DV$2)</f>
        <v>0</v>
      </c>
      <c r="AM27" s="201">
        <f ca="1">CHOOSE(AF27,"Affaires",IF(Data!DP$2="agricole","Agricole","Affaires"),IF(Data!DP$2="Agricole","Industriel",Data!DP$2),IF(Data!DP$2="Agricole","Industriel",Data!DP$2),IF(Data!DP$2="Agricole","Agricole","Affaires"),IF(Data!DP$2="Transport","Transport","Affaires"),IF(Data!DP$2="Agricole","Industriel",Data!DP$2))</f>
        <v>0</v>
      </c>
      <c r="AN27" s="201">
        <f ca="1">IF(C27="Innovation","1159400",IF(C27="Gestion","1151000",IF(C27="OPTER","1151210",IF(AND(C27="Connaissances",D27="Écoconduite"),"1157170",IF(AND(C27="Conversion",D27="Bioénergies"),"1151240",IF(AND(C27="Conversion",D27="Solaires"),"1151202",INDEX(OFFSET(Type_Entreprise,,2,,),MATCH('1. Demande'!AJ$67,Type_Entreprise,0))))))))</f>
        <v>0</v>
      </c>
      <c r="AO27"/>
      <c r="AP27"/>
    </row>
    <row r="28" spans="1:42" ht="15.75" customHeight="1">
      <c r="A28" s="17"/>
      <c r="B28" s="18"/>
      <c r="C28" s="18" t="s">
        <v>224</v>
      </c>
      <c r="D28" s="18" t="s">
        <v>851</v>
      </c>
      <c r="E28" s="18" t="s">
        <v>246</v>
      </c>
      <c r="F28" s="18"/>
      <c r="G28" s="155" t="str">
        <f t="shared" ca="1" si="0"/>
        <v/>
      </c>
      <c r="H28" s="219"/>
      <c r="I28" s="157"/>
      <c r="J28" s="18"/>
      <c r="K28" s="173"/>
      <c r="L28" s="157"/>
      <c r="M28" s="171"/>
      <c r="N28" s="220"/>
      <c r="O28" s="156" t="str">
        <f t="shared" ca="1" si="1"/>
        <v/>
      </c>
      <c r="P28" s="159" t="str">
        <f t="shared" ca="1" si="2"/>
        <v/>
      </c>
      <c r="Q28" s="223">
        <v>0</v>
      </c>
      <c r="R28" s="223">
        <v>0</v>
      </c>
      <c r="S28" s="223">
        <v>0</v>
      </c>
      <c r="T28" s="224"/>
      <c r="U28" s="223"/>
      <c r="V28" s="17" t="s">
        <v>173</v>
      </c>
      <c r="W28" s="33"/>
      <c r="X28" s="33"/>
      <c r="Y28" s="226"/>
      <c r="Z28" s="226"/>
      <c r="AA28" s="17"/>
      <c r="AB28" s="157"/>
      <c r="AC28" s="159" t="str">
        <f t="shared" ca="1" si="3"/>
        <v/>
      </c>
      <c r="AD28" s="156" t="str">
        <f t="shared" si="4"/>
        <v/>
      </c>
      <c r="AE28" s="170" t="str">
        <f t="shared" si="10"/>
        <v/>
      </c>
      <c r="AF28" s="201">
        <f t="shared" ca="1" si="5"/>
        <v>4</v>
      </c>
      <c r="AG28" s="201" t="e">
        <f t="shared" ca="1" si="11"/>
        <v>#N/A</v>
      </c>
      <c r="AH28" s="201">
        <f t="shared" ca="1" si="6"/>
        <v>1</v>
      </c>
      <c r="AI28" s="201" t="str">
        <f t="shared" ca="1" si="7"/>
        <v/>
      </c>
      <c r="AJ28" s="201">
        <f t="shared" ca="1" si="8"/>
        <v>0</v>
      </c>
      <c r="AK28" s="201" t="str">
        <f t="shared" ca="1" si="9"/>
        <v/>
      </c>
      <c r="AL28" s="201" t="b">
        <f ca="1">CHOOSE(AF28,FALSE,Data!DV$2,IF(Data!DP$2="Transport",FALSE,Data!DV$2),IF(Data!DP$2="Transport",FALSE,Data!DV$2),FALSE,FALSE,Data!DV$2)</f>
        <v>0</v>
      </c>
      <c r="AM28" s="201">
        <f ca="1">CHOOSE(AF28,"Affaires",IF(Data!DP$2="agricole","Agricole","Affaires"),IF(Data!DP$2="Agricole","Industriel",Data!DP$2),IF(Data!DP$2="Agricole","Industriel",Data!DP$2),IF(Data!DP$2="Agricole","Agricole","Affaires"),IF(Data!DP$2="Transport","Transport","Affaires"),IF(Data!DP$2="Agricole","Industriel",Data!DP$2))</f>
        <v>0</v>
      </c>
      <c r="AN28" s="201">
        <f ca="1">IF(C28="Innovation","1159400",IF(C28="Gestion","1151000",IF(C28="OPTER","1151210",IF(AND(C28="Connaissances",D28="Écoconduite"),"1157170",IF(AND(C28="Conversion",D28="Bioénergies"),"1151240",IF(AND(C28="Conversion",D28="Solaires"),"1151202",INDEX(OFFSET(Type_Entreprise,,2,,),MATCH('1. Demande'!AJ$67,Type_Entreprise,0))))))))</f>
        <v>0</v>
      </c>
      <c r="AO28"/>
      <c r="AP28"/>
    </row>
    <row r="29" spans="1:42" ht="15.75" customHeight="1">
      <c r="A29" s="17"/>
      <c r="B29" s="18"/>
      <c r="C29" s="18" t="s">
        <v>224</v>
      </c>
      <c r="D29" s="18" t="s">
        <v>851</v>
      </c>
      <c r="E29" s="18" t="s">
        <v>246</v>
      </c>
      <c r="F29" s="18"/>
      <c r="G29" s="155" t="str">
        <f t="shared" ca="1" si="0"/>
        <v/>
      </c>
      <c r="H29" s="219"/>
      <c r="I29" s="157"/>
      <c r="J29" s="18"/>
      <c r="K29" s="173"/>
      <c r="L29" s="157"/>
      <c r="M29" s="171"/>
      <c r="N29" s="220"/>
      <c r="O29" s="156" t="str">
        <f t="shared" ca="1" si="1"/>
        <v/>
      </c>
      <c r="P29" s="159" t="str">
        <f t="shared" ca="1" si="2"/>
        <v/>
      </c>
      <c r="Q29" s="223">
        <v>0</v>
      </c>
      <c r="R29" s="223">
        <v>0</v>
      </c>
      <c r="S29" s="223">
        <v>0</v>
      </c>
      <c r="T29" s="224"/>
      <c r="U29" s="223"/>
      <c r="V29" s="17" t="s">
        <v>173</v>
      </c>
      <c r="W29" s="33"/>
      <c r="X29" s="33"/>
      <c r="Y29" s="226"/>
      <c r="Z29" s="226"/>
      <c r="AA29" s="17"/>
      <c r="AB29" s="157"/>
      <c r="AC29" s="159" t="str">
        <f t="shared" ca="1" si="3"/>
        <v/>
      </c>
      <c r="AD29" s="156" t="str">
        <f t="shared" si="4"/>
        <v/>
      </c>
      <c r="AE29" s="170" t="str">
        <f t="shared" si="10"/>
        <v/>
      </c>
      <c r="AF29" s="201">
        <f t="shared" ca="1" si="5"/>
        <v>4</v>
      </c>
      <c r="AG29" s="201" t="e">
        <f t="shared" ca="1" si="11"/>
        <v>#N/A</v>
      </c>
      <c r="AH29" s="201">
        <f t="shared" ca="1" si="6"/>
        <v>1</v>
      </c>
      <c r="AI29" s="201" t="str">
        <f t="shared" ca="1" si="7"/>
        <v/>
      </c>
      <c r="AJ29" s="201">
        <f t="shared" ca="1" si="8"/>
        <v>0</v>
      </c>
      <c r="AK29" s="201" t="str">
        <f t="shared" ca="1" si="9"/>
        <v/>
      </c>
      <c r="AL29" s="201" t="b">
        <f ca="1">CHOOSE(AF29,FALSE,Data!DV$2,IF(Data!DP$2="Transport",FALSE,Data!DV$2),IF(Data!DP$2="Transport",FALSE,Data!DV$2),FALSE,FALSE,Data!DV$2)</f>
        <v>0</v>
      </c>
      <c r="AM29" s="201">
        <f ca="1">CHOOSE(AF29,"Affaires",IF(Data!DP$2="agricole","Agricole","Affaires"),IF(Data!DP$2="Agricole","Industriel",Data!DP$2),IF(Data!DP$2="Agricole","Industriel",Data!DP$2),IF(Data!DP$2="Agricole","Agricole","Affaires"),IF(Data!DP$2="Transport","Transport","Affaires"),IF(Data!DP$2="Agricole","Industriel",Data!DP$2))</f>
        <v>0</v>
      </c>
      <c r="AN29" s="201">
        <f ca="1">IF(C29="Innovation","1159400",IF(C29="Gestion","1151000",IF(C29="OPTER","1151210",IF(AND(C29="Connaissances",D29="Écoconduite"),"1157170",IF(AND(C29="Conversion",D29="Bioénergies"),"1151240",IF(AND(C29="Conversion",D29="Solaires"),"1151202",INDEX(OFFSET(Type_Entreprise,,2,,),MATCH('1. Demande'!AJ$67,Type_Entreprise,0))))))))</f>
        <v>0</v>
      </c>
      <c r="AO29"/>
      <c r="AP29"/>
    </row>
    <row r="30" spans="1:42" ht="15.75" customHeight="1">
      <c r="A30" s="17"/>
      <c r="B30" s="18"/>
      <c r="C30" s="18" t="s">
        <v>224</v>
      </c>
      <c r="D30" s="18" t="s">
        <v>851</v>
      </c>
      <c r="E30" s="18" t="s">
        <v>246</v>
      </c>
      <c r="F30" s="18"/>
      <c r="G30" s="155" t="str">
        <f t="shared" ca="1" si="0"/>
        <v/>
      </c>
      <c r="H30" s="219"/>
      <c r="I30" s="157"/>
      <c r="J30" s="18"/>
      <c r="K30" s="173"/>
      <c r="L30" s="157"/>
      <c r="M30" s="171"/>
      <c r="N30" s="220"/>
      <c r="O30" s="156" t="str">
        <f t="shared" ca="1" si="1"/>
        <v/>
      </c>
      <c r="P30" s="159" t="str">
        <f t="shared" ca="1" si="2"/>
        <v/>
      </c>
      <c r="Q30" s="223">
        <v>0</v>
      </c>
      <c r="R30" s="223">
        <v>0</v>
      </c>
      <c r="S30" s="223">
        <v>0</v>
      </c>
      <c r="T30" s="224"/>
      <c r="U30" s="223"/>
      <c r="V30" s="17" t="s">
        <v>173</v>
      </c>
      <c r="W30" s="33"/>
      <c r="X30" s="33"/>
      <c r="Y30" s="226"/>
      <c r="Z30" s="226"/>
      <c r="AA30" s="17"/>
      <c r="AB30" s="157"/>
      <c r="AC30" s="159" t="str">
        <f t="shared" ca="1" si="3"/>
        <v/>
      </c>
      <c r="AD30" s="156" t="str">
        <f t="shared" si="4"/>
        <v/>
      </c>
      <c r="AE30" s="170" t="str">
        <f t="shared" si="10"/>
        <v/>
      </c>
      <c r="AF30" s="201">
        <f t="shared" ca="1" si="5"/>
        <v>4</v>
      </c>
      <c r="AG30" s="201" t="e">
        <f t="shared" ca="1" si="11"/>
        <v>#N/A</v>
      </c>
      <c r="AH30" s="201">
        <f t="shared" ca="1" si="6"/>
        <v>1</v>
      </c>
      <c r="AI30" s="201" t="str">
        <f t="shared" ca="1" si="7"/>
        <v/>
      </c>
      <c r="AJ30" s="201">
        <f t="shared" ca="1" si="8"/>
        <v>0</v>
      </c>
      <c r="AK30" s="201" t="str">
        <f t="shared" ca="1" si="9"/>
        <v/>
      </c>
      <c r="AL30" s="201" t="b">
        <f ca="1">CHOOSE(AF30,FALSE,Data!DV$2,IF(Data!DP$2="Transport",FALSE,Data!DV$2),IF(Data!DP$2="Transport",FALSE,Data!DV$2),FALSE,FALSE,Data!DV$2)</f>
        <v>0</v>
      </c>
      <c r="AM30" s="201">
        <f ca="1">CHOOSE(AF30,"Affaires",IF(Data!DP$2="agricole","Agricole","Affaires"),IF(Data!DP$2="Agricole","Industriel",Data!DP$2),IF(Data!DP$2="Agricole","Industriel",Data!DP$2),IF(Data!DP$2="Agricole","Agricole","Affaires"),IF(Data!DP$2="Transport","Transport","Affaires"),IF(Data!DP$2="Agricole","Industriel",Data!DP$2))</f>
        <v>0</v>
      </c>
      <c r="AN30" s="201">
        <f ca="1">IF(C30="Innovation","1159400",IF(C30="Gestion","1151000",IF(C30="OPTER","1151210",IF(AND(C30="Connaissances",D30="Écoconduite"),"1157170",IF(AND(C30="Conversion",D30="Bioénergies"),"1151240",IF(AND(C30="Conversion",D30="Solaires"),"1151202",INDEX(OFFSET(Type_Entreprise,,2,,),MATCH('1. Demande'!AJ$67,Type_Entreprise,0))))))))</f>
        <v>0</v>
      </c>
      <c r="AO30"/>
      <c r="AP30"/>
    </row>
    <row r="31" spans="1:42" ht="15.75" customHeight="1">
      <c r="A31" s="17"/>
      <c r="B31" s="18"/>
      <c r="C31" s="18" t="s">
        <v>224</v>
      </c>
      <c r="D31" s="18" t="s">
        <v>851</v>
      </c>
      <c r="E31" s="18" t="s">
        <v>246</v>
      </c>
      <c r="F31" s="18"/>
      <c r="G31" s="155" t="str">
        <f t="shared" ca="1" si="0"/>
        <v/>
      </c>
      <c r="H31" s="219"/>
      <c r="I31" s="157"/>
      <c r="J31" s="18"/>
      <c r="K31" s="173"/>
      <c r="L31" s="157"/>
      <c r="M31" s="171"/>
      <c r="N31" s="220"/>
      <c r="O31" s="156" t="str">
        <f t="shared" ca="1" si="1"/>
        <v/>
      </c>
      <c r="P31" s="159" t="str">
        <f t="shared" ca="1" si="2"/>
        <v/>
      </c>
      <c r="Q31" s="223">
        <v>0</v>
      </c>
      <c r="R31" s="223">
        <v>0</v>
      </c>
      <c r="S31" s="223">
        <v>0</v>
      </c>
      <c r="T31" s="224"/>
      <c r="U31" s="223"/>
      <c r="V31" s="17" t="s">
        <v>173</v>
      </c>
      <c r="W31" s="33"/>
      <c r="X31" s="33"/>
      <c r="Y31" s="226"/>
      <c r="Z31" s="226"/>
      <c r="AA31" s="17"/>
      <c r="AB31" s="157"/>
      <c r="AC31" s="159" t="str">
        <f t="shared" ca="1" si="3"/>
        <v/>
      </c>
      <c r="AD31" s="156" t="str">
        <f t="shared" si="4"/>
        <v/>
      </c>
      <c r="AE31" s="170" t="str">
        <f t="shared" si="10"/>
        <v/>
      </c>
      <c r="AF31" s="201">
        <f t="shared" ca="1" si="5"/>
        <v>4</v>
      </c>
      <c r="AG31" s="201" t="e">
        <f t="shared" ca="1" si="11"/>
        <v>#N/A</v>
      </c>
      <c r="AH31" s="201">
        <f t="shared" ca="1" si="6"/>
        <v>1</v>
      </c>
      <c r="AI31" s="201" t="str">
        <f t="shared" ca="1" si="7"/>
        <v/>
      </c>
      <c r="AJ31" s="201">
        <f t="shared" ca="1" si="8"/>
        <v>0</v>
      </c>
      <c r="AK31" s="201" t="str">
        <f t="shared" ca="1" si="9"/>
        <v/>
      </c>
      <c r="AL31" s="201" t="b">
        <f ca="1">CHOOSE(AF31,FALSE,Data!DV$2,IF(Data!DP$2="Transport",FALSE,Data!DV$2),IF(Data!DP$2="Transport",FALSE,Data!DV$2),FALSE,FALSE,Data!DV$2)</f>
        <v>0</v>
      </c>
      <c r="AM31" s="201">
        <f ca="1">CHOOSE(AF31,"Affaires",IF(Data!DP$2="agricole","Agricole","Affaires"),IF(Data!DP$2="Agricole","Industriel",Data!DP$2),IF(Data!DP$2="Agricole","Industriel",Data!DP$2),IF(Data!DP$2="Agricole","Agricole","Affaires"),IF(Data!DP$2="Transport","Transport","Affaires"),IF(Data!DP$2="Agricole","Industriel",Data!DP$2))</f>
        <v>0</v>
      </c>
      <c r="AN31" s="201">
        <f ca="1">IF(C31="Innovation","1159400",IF(C31="Gestion","1151000",IF(C31="OPTER","1151210",IF(AND(C31="Connaissances",D31="Écoconduite"),"1157170",IF(AND(C31="Conversion",D31="Bioénergies"),"1151240",IF(AND(C31="Conversion",D31="Solaires"),"1151202",INDEX(OFFSET(Type_Entreprise,,2,,),MATCH('1. Demande'!AJ$67,Type_Entreprise,0))))))))</f>
        <v>0</v>
      </c>
      <c r="AO31"/>
      <c r="AP31"/>
    </row>
    <row r="32" spans="1:42" ht="15.75" customHeight="1">
      <c r="A32" s="17"/>
      <c r="B32" s="18"/>
      <c r="C32" s="18" t="s">
        <v>224</v>
      </c>
      <c r="D32" s="18" t="s">
        <v>851</v>
      </c>
      <c r="E32" s="18" t="s">
        <v>246</v>
      </c>
      <c r="F32" s="18"/>
      <c r="G32" s="155" t="str">
        <f t="shared" ca="1" si="0"/>
        <v/>
      </c>
      <c r="H32" s="219"/>
      <c r="I32" s="157"/>
      <c r="J32" s="18"/>
      <c r="K32" s="173"/>
      <c r="L32" s="157"/>
      <c r="M32" s="171"/>
      <c r="N32" s="220"/>
      <c r="O32" s="156" t="str">
        <f t="shared" ca="1" si="1"/>
        <v/>
      </c>
      <c r="P32" s="159" t="str">
        <f t="shared" ca="1" si="2"/>
        <v/>
      </c>
      <c r="Q32" s="223">
        <v>0</v>
      </c>
      <c r="R32" s="223">
        <v>0</v>
      </c>
      <c r="S32" s="223">
        <v>0</v>
      </c>
      <c r="T32" s="224"/>
      <c r="U32" s="223"/>
      <c r="V32" s="17" t="s">
        <v>173</v>
      </c>
      <c r="W32" s="33"/>
      <c r="X32" s="33"/>
      <c r="Y32" s="226"/>
      <c r="Z32" s="226"/>
      <c r="AA32" s="17"/>
      <c r="AB32" s="157"/>
      <c r="AC32" s="159" t="str">
        <f t="shared" ca="1" si="3"/>
        <v/>
      </c>
      <c r="AD32" s="156" t="str">
        <f t="shared" si="4"/>
        <v/>
      </c>
      <c r="AE32" s="170" t="str">
        <f t="shared" si="10"/>
        <v/>
      </c>
      <c r="AF32" s="201">
        <f t="shared" ca="1" si="5"/>
        <v>4</v>
      </c>
      <c r="AG32" s="201" t="e">
        <f t="shared" ca="1" si="11"/>
        <v>#N/A</v>
      </c>
      <c r="AH32" s="201">
        <f t="shared" ca="1" si="6"/>
        <v>1</v>
      </c>
      <c r="AI32" s="201" t="str">
        <f t="shared" ca="1" si="7"/>
        <v/>
      </c>
      <c r="AJ32" s="201">
        <f t="shared" ca="1" si="8"/>
        <v>0</v>
      </c>
      <c r="AK32" s="201" t="str">
        <f t="shared" ca="1" si="9"/>
        <v/>
      </c>
      <c r="AL32" s="201" t="b">
        <f ca="1">CHOOSE(AF32,FALSE,Data!DV$2,IF(Data!DP$2="Transport",FALSE,Data!DV$2),IF(Data!DP$2="Transport",FALSE,Data!DV$2),FALSE,FALSE,Data!DV$2)</f>
        <v>0</v>
      </c>
      <c r="AM32" s="201">
        <f ca="1">CHOOSE(AF32,"Affaires",IF(Data!DP$2="agricole","Agricole","Affaires"),IF(Data!DP$2="Agricole","Industriel",Data!DP$2),IF(Data!DP$2="Agricole","Industriel",Data!DP$2),IF(Data!DP$2="Agricole","Agricole","Affaires"),IF(Data!DP$2="Transport","Transport","Affaires"),IF(Data!DP$2="Agricole","Industriel",Data!DP$2))</f>
        <v>0</v>
      </c>
      <c r="AN32" s="201">
        <f ca="1">IF(C32="Innovation","1159400",IF(C32="Gestion","1151000",IF(C32="OPTER","1151210",IF(AND(C32="Connaissances",D32="Écoconduite"),"1157170",IF(AND(C32="Conversion",D32="Bioénergies"),"1151240",IF(AND(C32="Conversion",D32="Solaires"),"1151202",INDEX(OFFSET(Type_Entreprise,,2,,),MATCH('1. Demande'!AJ$67,Type_Entreprise,0))))))))</f>
        <v>0</v>
      </c>
      <c r="AO32"/>
      <c r="AP32"/>
    </row>
    <row r="33" spans="1:42" ht="16.5" customHeight="1">
      <c r="A33" s="17"/>
      <c r="B33" s="281"/>
      <c r="C33" s="18" t="s">
        <v>224</v>
      </c>
      <c r="D33" s="18" t="s">
        <v>851</v>
      </c>
      <c r="E33" s="18" t="s">
        <v>246</v>
      </c>
      <c r="F33" s="18"/>
      <c r="G33" s="282" t="str">
        <f t="shared" ca="1" si="0"/>
        <v/>
      </c>
      <c r="H33" s="283"/>
      <c r="I33" s="284"/>
      <c r="J33" s="281"/>
      <c r="K33" s="173"/>
      <c r="L33" s="157"/>
      <c r="M33" s="171"/>
      <c r="N33" s="220"/>
      <c r="O33" s="156" t="str">
        <f t="shared" ca="1" si="1"/>
        <v/>
      </c>
      <c r="P33" s="159" t="str">
        <f t="shared" ca="1" si="2"/>
        <v/>
      </c>
      <c r="Q33" s="223">
        <v>0</v>
      </c>
      <c r="R33" s="223">
        <v>0</v>
      </c>
      <c r="S33" s="223">
        <v>0</v>
      </c>
      <c r="T33" s="224"/>
      <c r="U33" s="223"/>
      <c r="V33" s="17" t="s">
        <v>173</v>
      </c>
      <c r="W33" s="33"/>
      <c r="X33" s="33"/>
      <c r="Y33" s="226"/>
      <c r="Z33" s="226"/>
      <c r="AA33" s="17"/>
      <c r="AB33" s="157"/>
      <c r="AC33" s="159" t="str">
        <f t="shared" ca="1" si="3"/>
        <v/>
      </c>
      <c r="AD33" s="156" t="str">
        <f t="shared" si="4"/>
        <v/>
      </c>
      <c r="AE33" s="170" t="str">
        <f t="shared" si="10"/>
        <v/>
      </c>
      <c r="AF33" s="201">
        <f t="shared" ca="1" si="5"/>
        <v>4</v>
      </c>
      <c r="AG33" s="201" t="e">
        <f t="shared" ca="1" si="11"/>
        <v>#N/A</v>
      </c>
      <c r="AH33" s="201">
        <f t="shared" ca="1" si="6"/>
        <v>1</v>
      </c>
      <c r="AI33" s="201" t="str">
        <f t="shared" ca="1" si="7"/>
        <v/>
      </c>
      <c r="AJ33" s="201">
        <f t="shared" ca="1" si="8"/>
        <v>0</v>
      </c>
      <c r="AK33" s="201" t="str">
        <f t="shared" ca="1" si="9"/>
        <v/>
      </c>
      <c r="AL33" s="201" t="b">
        <f ca="1">CHOOSE(AF33,FALSE,Data!DV$2,IF(Data!DP$2="Transport",FALSE,Data!DV$2),IF(Data!DP$2="Transport",FALSE,Data!DV$2),FALSE,FALSE,Data!DV$2)</f>
        <v>0</v>
      </c>
      <c r="AM33" s="201">
        <f ca="1">CHOOSE(AF33,"Affaires",IF(Data!DP$2="agricole","Agricole","Affaires"),IF(Data!DP$2="Agricole","Industriel",Data!DP$2),IF(Data!DP$2="Agricole","Industriel",Data!DP$2),IF(Data!DP$2="Agricole","Agricole","Affaires"),IF(Data!DP$2="Transport","Transport","Affaires"),IF(Data!DP$2="Agricole","Industriel",Data!DP$2))</f>
        <v>0</v>
      </c>
      <c r="AN33" s="201">
        <f ca="1">IF(C33="Innovation","1159400",IF(C33="Gestion","1151000",IF(C33="OPTER","1151210",IF(AND(C33="Connaissances",D33="Écoconduite"),"1157170",IF(AND(C33="Conversion",D33="Bioénergies"),"1151240",IF(AND(C33="Conversion",D33="Solaires"),"1151202",INDEX(OFFSET(Type_Entreprise,,2,,),MATCH('1. Demande'!AJ$67,Type_Entreprise,0))))))))</f>
        <v>0</v>
      </c>
      <c r="AO33"/>
      <c r="AP33"/>
    </row>
    <row r="34" spans="1:42" ht="15.75" customHeight="1">
      <c r="A34" s="17"/>
      <c r="B34" s="18"/>
      <c r="C34" s="18" t="s">
        <v>224</v>
      </c>
      <c r="D34" s="18" t="s">
        <v>851</v>
      </c>
      <c r="E34" s="18" t="s">
        <v>246</v>
      </c>
      <c r="F34" s="18"/>
      <c r="G34" s="155" t="str">
        <f t="shared" ca="1" si="0"/>
        <v/>
      </c>
      <c r="H34" s="219"/>
      <c r="I34" s="157"/>
      <c r="J34" s="18"/>
      <c r="K34" s="173"/>
      <c r="L34" s="157"/>
      <c r="M34" s="171"/>
      <c r="N34" s="220"/>
      <c r="O34" s="156" t="str">
        <f t="shared" ca="1" si="1"/>
        <v/>
      </c>
      <c r="P34" s="159" t="str">
        <f t="shared" ca="1" si="2"/>
        <v/>
      </c>
      <c r="Q34" s="223">
        <v>0</v>
      </c>
      <c r="R34" s="223">
        <v>0</v>
      </c>
      <c r="S34" s="223">
        <v>0</v>
      </c>
      <c r="T34" s="224"/>
      <c r="U34" s="223"/>
      <c r="V34" s="17" t="s">
        <v>173</v>
      </c>
      <c r="W34" s="33"/>
      <c r="X34" s="33"/>
      <c r="Y34" s="226"/>
      <c r="Z34" s="226"/>
      <c r="AA34" s="17"/>
      <c r="AB34" s="157"/>
      <c r="AC34" s="159" t="str">
        <f t="shared" ca="1" si="3"/>
        <v/>
      </c>
      <c r="AD34" s="156" t="str">
        <f t="shared" si="4"/>
        <v/>
      </c>
      <c r="AE34" s="170" t="str">
        <f t="shared" si="10"/>
        <v/>
      </c>
      <c r="AF34" s="201">
        <f t="shared" ca="1" si="5"/>
        <v>4</v>
      </c>
      <c r="AG34" s="201" t="e">
        <f t="shared" ca="1" si="11"/>
        <v>#N/A</v>
      </c>
      <c r="AH34" s="201">
        <f t="shared" ca="1" si="6"/>
        <v>1</v>
      </c>
      <c r="AI34" s="201" t="str">
        <f t="shared" ca="1" si="7"/>
        <v/>
      </c>
      <c r="AJ34" s="201">
        <f t="shared" ca="1" si="8"/>
        <v>0</v>
      </c>
      <c r="AK34" s="201" t="str">
        <f t="shared" ca="1" si="9"/>
        <v/>
      </c>
      <c r="AL34" s="201" t="b">
        <f ca="1">CHOOSE(AF34,FALSE,Data!DV$2,IF(Data!DP$2="Transport",FALSE,Data!DV$2),IF(Data!DP$2="Transport",FALSE,Data!DV$2),FALSE,FALSE,Data!DV$2)</f>
        <v>0</v>
      </c>
      <c r="AM34" s="201">
        <f ca="1">CHOOSE(AF34,"Affaires",IF(Data!DP$2="agricole","Agricole","Affaires"),IF(Data!DP$2="Agricole","Industriel",Data!DP$2),IF(Data!DP$2="Agricole","Industriel",Data!DP$2),IF(Data!DP$2="Agricole","Agricole","Affaires"),IF(Data!DP$2="Transport","Transport","Affaires"),IF(Data!DP$2="Agricole","Industriel",Data!DP$2))</f>
        <v>0</v>
      </c>
      <c r="AN34" s="201">
        <f ca="1">IF(C34="Innovation","1159400",IF(C34="Gestion","1151000",IF(C34="OPTER","1151210",IF(AND(C34="Connaissances",D34="Écoconduite"),"1157170",IF(AND(C34="Conversion",D34="Bioénergies"),"1151240",IF(AND(C34="Conversion",D34="Solaires"),"1151202",INDEX(OFFSET(Type_Entreprise,,2,,),MATCH('1. Demande'!AJ$67,Type_Entreprise,0))))))))</f>
        <v>0</v>
      </c>
      <c r="AO34"/>
      <c r="AP34"/>
    </row>
    <row r="35" spans="1:42" ht="15.75" customHeight="1">
      <c r="A35" s="17"/>
      <c r="B35" s="18"/>
      <c r="C35" s="18" t="s">
        <v>224</v>
      </c>
      <c r="D35" s="18" t="s">
        <v>851</v>
      </c>
      <c r="E35" s="18" t="s">
        <v>246</v>
      </c>
      <c r="F35" s="18"/>
      <c r="G35" s="155" t="str">
        <f t="shared" ca="1" si="0"/>
        <v/>
      </c>
      <c r="H35" s="219"/>
      <c r="I35" s="157"/>
      <c r="J35" s="18"/>
      <c r="K35" s="173"/>
      <c r="L35" s="157"/>
      <c r="M35" s="171"/>
      <c r="N35" s="220"/>
      <c r="O35" s="156" t="str">
        <f t="shared" ca="1" si="1"/>
        <v/>
      </c>
      <c r="P35" s="159" t="str">
        <f t="shared" ca="1" si="2"/>
        <v/>
      </c>
      <c r="Q35" s="223">
        <v>0</v>
      </c>
      <c r="R35" s="223">
        <v>0</v>
      </c>
      <c r="S35" s="223">
        <v>0</v>
      </c>
      <c r="T35" s="224"/>
      <c r="U35" s="223"/>
      <c r="V35" s="17" t="s">
        <v>173</v>
      </c>
      <c r="W35" s="33"/>
      <c r="X35" s="33"/>
      <c r="Y35" s="226"/>
      <c r="Z35" s="226"/>
      <c r="AA35" s="17"/>
      <c r="AB35" s="157"/>
      <c r="AC35" s="159" t="str">
        <f t="shared" ca="1" si="3"/>
        <v/>
      </c>
      <c r="AD35" s="156" t="str">
        <f t="shared" si="4"/>
        <v/>
      </c>
      <c r="AE35" s="170" t="str">
        <f t="shared" si="10"/>
        <v/>
      </c>
      <c r="AF35" s="201">
        <f t="shared" ca="1" si="5"/>
        <v>4</v>
      </c>
      <c r="AG35" s="201" t="e">
        <f t="shared" ca="1" si="11"/>
        <v>#N/A</v>
      </c>
      <c r="AH35" s="201">
        <f t="shared" ca="1" si="6"/>
        <v>1</v>
      </c>
      <c r="AI35" s="201" t="str">
        <f t="shared" ca="1" si="7"/>
        <v/>
      </c>
      <c r="AJ35" s="201">
        <f t="shared" ca="1" si="8"/>
        <v>0</v>
      </c>
      <c r="AK35" s="201" t="str">
        <f t="shared" ca="1" si="9"/>
        <v/>
      </c>
      <c r="AL35" s="201" t="b">
        <f ca="1">CHOOSE(AF35,FALSE,Data!DV$2,IF(Data!DP$2="Transport",FALSE,Data!DV$2),IF(Data!DP$2="Transport",FALSE,Data!DV$2),FALSE,FALSE,Data!DV$2)</f>
        <v>0</v>
      </c>
      <c r="AM35" s="201">
        <f ca="1">CHOOSE(AF35,"Affaires",IF(Data!DP$2="agricole","Agricole","Affaires"),IF(Data!DP$2="Agricole","Industriel",Data!DP$2),IF(Data!DP$2="Agricole","Industriel",Data!DP$2),IF(Data!DP$2="Agricole","Agricole","Affaires"),IF(Data!DP$2="Transport","Transport","Affaires"),IF(Data!DP$2="Agricole","Industriel",Data!DP$2))</f>
        <v>0</v>
      </c>
      <c r="AN35" s="201">
        <f ca="1">IF(C35="Innovation","1159400",IF(C35="Gestion","1151000",IF(C35="OPTER","1151210",IF(AND(C35="Connaissances",D35="Écoconduite"),"1157170",IF(AND(C35="Conversion",D35="Bioénergies"),"1151240",IF(AND(C35="Conversion",D35="Solaires"),"1151202",INDEX(OFFSET(Type_Entreprise,,2,,),MATCH('1. Demande'!AJ$67,Type_Entreprise,0))))))))</f>
        <v>0</v>
      </c>
      <c r="AO35"/>
      <c r="AP35"/>
    </row>
    <row r="36" spans="1:42" ht="15.75" customHeight="1">
      <c r="A36" s="17"/>
      <c r="B36" s="18"/>
      <c r="C36" s="18" t="s">
        <v>224</v>
      </c>
      <c r="D36" s="18" t="s">
        <v>851</v>
      </c>
      <c r="E36" s="18" t="s">
        <v>246</v>
      </c>
      <c r="F36" s="18"/>
      <c r="G36" s="155" t="str">
        <f t="shared" ca="1" si="0"/>
        <v/>
      </c>
      <c r="H36" s="219"/>
      <c r="I36" s="157"/>
      <c r="J36" s="18"/>
      <c r="K36" s="173"/>
      <c r="L36" s="157"/>
      <c r="M36" s="171"/>
      <c r="N36" s="220"/>
      <c r="O36" s="156" t="str">
        <f t="shared" ca="1" si="1"/>
        <v/>
      </c>
      <c r="P36" s="159" t="str">
        <f t="shared" ca="1" si="2"/>
        <v/>
      </c>
      <c r="Q36" s="223">
        <v>0</v>
      </c>
      <c r="R36" s="223">
        <v>0</v>
      </c>
      <c r="S36" s="223">
        <v>0</v>
      </c>
      <c r="T36" s="224"/>
      <c r="U36" s="223"/>
      <c r="V36" s="17" t="s">
        <v>173</v>
      </c>
      <c r="W36" s="33"/>
      <c r="X36" s="33"/>
      <c r="Y36" s="226"/>
      <c r="Z36" s="226"/>
      <c r="AA36" s="17"/>
      <c r="AB36" s="157"/>
      <c r="AC36" s="159" t="str">
        <f t="shared" ca="1" si="3"/>
        <v/>
      </c>
      <c r="AD36" s="156" t="str">
        <f t="shared" si="4"/>
        <v/>
      </c>
      <c r="AE36" s="170" t="str">
        <f t="shared" si="10"/>
        <v/>
      </c>
      <c r="AF36" s="201">
        <f t="shared" ca="1" si="5"/>
        <v>4</v>
      </c>
      <c r="AG36" s="201" t="e">
        <f t="shared" ca="1" si="11"/>
        <v>#N/A</v>
      </c>
      <c r="AH36" s="201">
        <f t="shared" ca="1" si="6"/>
        <v>1</v>
      </c>
      <c r="AI36" s="201" t="str">
        <f t="shared" ca="1" si="7"/>
        <v/>
      </c>
      <c r="AJ36" s="201">
        <f t="shared" ca="1" si="8"/>
        <v>0</v>
      </c>
      <c r="AK36" s="201" t="str">
        <f t="shared" ca="1" si="9"/>
        <v/>
      </c>
      <c r="AL36" s="201" t="b">
        <f ca="1">CHOOSE(AF36,FALSE,Data!DV$2,IF(Data!DP$2="Transport",FALSE,Data!DV$2),IF(Data!DP$2="Transport",FALSE,Data!DV$2),FALSE,FALSE,Data!DV$2)</f>
        <v>0</v>
      </c>
      <c r="AM36" s="201">
        <f ca="1">CHOOSE(AF36,"Affaires",IF(Data!DP$2="agricole","Agricole","Affaires"),IF(Data!DP$2="Agricole","Industriel",Data!DP$2),IF(Data!DP$2="Agricole","Industriel",Data!DP$2),IF(Data!DP$2="Agricole","Agricole","Affaires"),IF(Data!DP$2="Transport","Transport","Affaires"),IF(Data!DP$2="Agricole","Industriel",Data!DP$2))</f>
        <v>0</v>
      </c>
      <c r="AN36" s="201">
        <f ca="1">IF(C36="Innovation","1159400",IF(C36="Gestion","1151000",IF(C36="OPTER","1151210",IF(AND(C36="Connaissances",D36="Écoconduite"),"1157170",IF(AND(C36="Conversion",D36="Bioénergies"),"1151240",IF(AND(C36="Conversion",D36="Solaires"),"1151202",INDEX(OFFSET(Type_Entreprise,,2,,),MATCH('1. Demande'!AJ$67,Type_Entreprise,0))))))))</f>
        <v>0</v>
      </c>
      <c r="AO36"/>
      <c r="AP36"/>
    </row>
    <row r="37" spans="1:42" ht="15.75" customHeight="1">
      <c r="A37" s="17"/>
      <c r="B37" s="18"/>
      <c r="C37" s="18" t="s">
        <v>224</v>
      </c>
      <c r="D37" s="18" t="s">
        <v>851</v>
      </c>
      <c r="E37" s="18" t="s">
        <v>246</v>
      </c>
      <c r="F37" s="18"/>
      <c r="G37" s="155" t="str">
        <f t="shared" ca="1" si="0"/>
        <v/>
      </c>
      <c r="H37" s="219"/>
      <c r="I37" s="157"/>
      <c r="J37" s="18"/>
      <c r="K37" s="173"/>
      <c r="L37" s="157"/>
      <c r="M37" s="171"/>
      <c r="N37" s="220"/>
      <c r="O37" s="156" t="str">
        <f t="shared" ca="1" si="1"/>
        <v/>
      </c>
      <c r="P37" s="159" t="str">
        <f t="shared" ca="1" si="2"/>
        <v/>
      </c>
      <c r="Q37" s="223">
        <v>0</v>
      </c>
      <c r="R37" s="223">
        <v>0</v>
      </c>
      <c r="S37" s="223">
        <v>0</v>
      </c>
      <c r="T37" s="224"/>
      <c r="U37" s="223"/>
      <c r="V37" s="17" t="s">
        <v>173</v>
      </c>
      <c r="W37" s="33"/>
      <c r="X37" s="33"/>
      <c r="Y37" s="226"/>
      <c r="Z37" s="226"/>
      <c r="AA37" s="17"/>
      <c r="AB37" s="157"/>
      <c r="AC37" s="159" t="str">
        <f t="shared" ca="1" si="3"/>
        <v/>
      </c>
      <c r="AD37" s="156" t="str">
        <f t="shared" si="4"/>
        <v/>
      </c>
      <c r="AE37" s="170" t="str">
        <f t="shared" si="10"/>
        <v/>
      </c>
      <c r="AF37" s="201">
        <f t="shared" ca="1" si="5"/>
        <v>4</v>
      </c>
      <c r="AG37" s="201" t="e">
        <f t="shared" ca="1" si="11"/>
        <v>#N/A</v>
      </c>
      <c r="AH37" s="201">
        <f t="shared" ca="1" si="6"/>
        <v>1</v>
      </c>
      <c r="AI37" s="201" t="str">
        <f t="shared" ca="1" si="7"/>
        <v/>
      </c>
      <c r="AJ37" s="201">
        <f t="shared" ca="1" si="8"/>
        <v>0</v>
      </c>
      <c r="AK37" s="201" t="str">
        <f t="shared" ca="1" si="9"/>
        <v/>
      </c>
      <c r="AL37" s="201" t="b">
        <f ca="1">CHOOSE(AF37,FALSE,Data!DV$2,IF(Data!DP$2="Transport",FALSE,Data!DV$2),IF(Data!DP$2="Transport",FALSE,Data!DV$2),FALSE,FALSE,Data!DV$2)</f>
        <v>0</v>
      </c>
      <c r="AM37" s="201">
        <f ca="1">CHOOSE(AF37,"Affaires",IF(Data!DP$2="agricole","Agricole","Affaires"),IF(Data!DP$2="Agricole","Industriel",Data!DP$2),IF(Data!DP$2="Agricole","Industriel",Data!DP$2),IF(Data!DP$2="Agricole","Agricole","Affaires"),IF(Data!DP$2="Transport","Transport","Affaires"),IF(Data!DP$2="Agricole","Industriel",Data!DP$2))</f>
        <v>0</v>
      </c>
      <c r="AN37" s="201">
        <f ca="1">IF(C37="Innovation","1159400",IF(C37="Gestion","1151000",IF(C37="OPTER","1151210",IF(AND(C37="Connaissances",D37="Écoconduite"),"1157170",IF(AND(C37="Conversion",D37="Bioénergies"),"1151240",IF(AND(C37="Conversion",D37="Solaires"),"1151202",INDEX(OFFSET(Type_Entreprise,,2,,),MATCH('1. Demande'!AJ$67,Type_Entreprise,0))))))))</f>
        <v>0</v>
      </c>
      <c r="AO37"/>
      <c r="AP37"/>
    </row>
    <row r="38" spans="1:42" ht="15.75" customHeight="1">
      <c r="A38" s="17"/>
      <c r="B38" s="18"/>
      <c r="C38" s="18" t="s">
        <v>224</v>
      </c>
      <c r="D38" s="18" t="s">
        <v>851</v>
      </c>
      <c r="E38" s="18" t="s">
        <v>246</v>
      </c>
      <c r="F38" s="18"/>
      <c r="G38" s="155" t="str">
        <f t="shared" ca="1" si="0"/>
        <v/>
      </c>
      <c r="H38" s="219"/>
      <c r="I38" s="157"/>
      <c r="J38" s="18"/>
      <c r="K38" s="173"/>
      <c r="L38" s="157"/>
      <c r="M38" s="171"/>
      <c r="N38" s="220"/>
      <c r="O38" s="156" t="str">
        <f t="shared" ca="1" si="1"/>
        <v/>
      </c>
      <c r="P38" s="159" t="str">
        <f t="shared" ca="1" si="2"/>
        <v/>
      </c>
      <c r="Q38" s="223">
        <v>0</v>
      </c>
      <c r="R38" s="223">
        <v>0</v>
      </c>
      <c r="S38" s="223">
        <v>0</v>
      </c>
      <c r="T38" s="224"/>
      <c r="U38" s="223"/>
      <c r="V38" s="17" t="s">
        <v>173</v>
      </c>
      <c r="W38" s="33"/>
      <c r="X38" s="33"/>
      <c r="Y38" s="226"/>
      <c r="Z38" s="226"/>
      <c r="AA38" s="17"/>
      <c r="AB38" s="157"/>
      <c r="AC38" s="159" t="str">
        <f t="shared" ca="1" si="3"/>
        <v/>
      </c>
      <c r="AD38" s="156" t="str">
        <f t="shared" si="4"/>
        <v/>
      </c>
      <c r="AE38" s="170" t="str">
        <f t="shared" si="10"/>
        <v/>
      </c>
      <c r="AF38" s="201">
        <f t="shared" ca="1" si="5"/>
        <v>4</v>
      </c>
      <c r="AG38" s="201" t="e">
        <f t="shared" ca="1" si="11"/>
        <v>#N/A</v>
      </c>
      <c r="AH38" s="201">
        <f t="shared" ca="1" si="6"/>
        <v>1</v>
      </c>
      <c r="AI38" s="201" t="str">
        <f t="shared" ca="1" si="7"/>
        <v/>
      </c>
      <c r="AJ38" s="201">
        <f t="shared" ca="1" si="8"/>
        <v>0</v>
      </c>
      <c r="AK38" s="201" t="str">
        <f t="shared" ca="1" si="9"/>
        <v/>
      </c>
      <c r="AL38" s="201" t="b">
        <f ca="1">CHOOSE(AF38,FALSE,Data!DV$2,IF(Data!DP$2="Transport",FALSE,Data!DV$2),IF(Data!DP$2="Transport",FALSE,Data!DV$2),FALSE,FALSE,Data!DV$2)</f>
        <v>0</v>
      </c>
      <c r="AM38" s="201">
        <f ca="1">CHOOSE(AF38,"Affaires",IF(Data!DP$2="agricole","Agricole","Affaires"),IF(Data!DP$2="Agricole","Industriel",Data!DP$2),IF(Data!DP$2="Agricole","Industriel",Data!DP$2),IF(Data!DP$2="Agricole","Agricole","Affaires"),IF(Data!DP$2="Transport","Transport","Affaires"),IF(Data!DP$2="Agricole","Industriel",Data!DP$2))</f>
        <v>0</v>
      </c>
      <c r="AN38" s="201">
        <f ca="1">IF(C38="Innovation","1159400",IF(C38="Gestion","1151000",IF(C38="OPTER","1151210",IF(AND(C38="Connaissances",D38="Écoconduite"),"1157170",IF(AND(C38="Conversion",D38="Bioénergies"),"1151240",IF(AND(C38="Conversion",D38="Solaires"),"1151202",INDEX(OFFSET(Type_Entreprise,,2,,),MATCH('1. Demande'!AJ$67,Type_Entreprise,0))))))))</f>
        <v>0</v>
      </c>
      <c r="AO38"/>
      <c r="AP38"/>
    </row>
    <row r="39" spans="1:42" ht="15.75" customHeight="1">
      <c r="A39" s="17"/>
      <c r="B39" s="18"/>
      <c r="C39" s="18" t="s">
        <v>224</v>
      </c>
      <c r="D39" s="18" t="s">
        <v>851</v>
      </c>
      <c r="E39" s="18" t="s">
        <v>246</v>
      </c>
      <c r="F39" s="18"/>
      <c r="G39" s="155" t="str">
        <f t="shared" ca="1" si="0"/>
        <v/>
      </c>
      <c r="H39" s="219"/>
      <c r="I39" s="157"/>
      <c r="J39" s="18"/>
      <c r="K39" s="173"/>
      <c r="L39" s="157"/>
      <c r="M39" s="171"/>
      <c r="N39" s="220"/>
      <c r="O39" s="156" t="str">
        <f t="shared" ca="1" si="1"/>
        <v/>
      </c>
      <c r="P39" s="159" t="str">
        <f t="shared" ca="1" si="2"/>
        <v/>
      </c>
      <c r="Q39" s="223">
        <v>0</v>
      </c>
      <c r="R39" s="223">
        <v>0</v>
      </c>
      <c r="S39" s="223">
        <v>0</v>
      </c>
      <c r="T39" s="224"/>
      <c r="U39" s="223"/>
      <c r="V39" s="17" t="s">
        <v>173</v>
      </c>
      <c r="W39" s="33"/>
      <c r="X39" s="33"/>
      <c r="Y39" s="226"/>
      <c r="Z39" s="226"/>
      <c r="AA39" s="17"/>
      <c r="AB39" s="157"/>
      <c r="AC39" s="159" t="str">
        <f t="shared" ca="1" si="3"/>
        <v/>
      </c>
      <c r="AD39" s="156" t="str">
        <f t="shared" si="4"/>
        <v/>
      </c>
      <c r="AE39" s="170" t="str">
        <f t="shared" si="10"/>
        <v/>
      </c>
      <c r="AF39" s="201">
        <f t="shared" ca="1" si="5"/>
        <v>4</v>
      </c>
      <c r="AG39" s="201" t="e">
        <f t="shared" ca="1" si="11"/>
        <v>#N/A</v>
      </c>
      <c r="AH39" s="201">
        <f t="shared" ca="1" si="6"/>
        <v>1</v>
      </c>
      <c r="AI39" s="201" t="str">
        <f t="shared" ca="1" si="7"/>
        <v/>
      </c>
      <c r="AJ39" s="201">
        <f t="shared" ca="1" si="8"/>
        <v>0</v>
      </c>
      <c r="AK39" s="201" t="str">
        <f t="shared" ca="1" si="9"/>
        <v/>
      </c>
      <c r="AL39" s="201" t="b">
        <f ca="1">CHOOSE(AF39,FALSE,Data!DV$2,IF(Data!DP$2="Transport",FALSE,Data!DV$2),IF(Data!DP$2="Transport",FALSE,Data!DV$2),FALSE,FALSE,Data!DV$2)</f>
        <v>0</v>
      </c>
      <c r="AM39" s="201">
        <f ca="1">CHOOSE(AF39,"Affaires",IF(Data!DP$2="agricole","Agricole","Affaires"),IF(Data!DP$2="Agricole","Industriel",Data!DP$2),IF(Data!DP$2="Agricole","Industriel",Data!DP$2),IF(Data!DP$2="Agricole","Agricole","Affaires"),IF(Data!DP$2="Transport","Transport","Affaires"),IF(Data!DP$2="Agricole","Industriel",Data!DP$2))</f>
        <v>0</v>
      </c>
      <c r="AN39" s="201">
        <f ca="1">IF(C39="Innovation","1159400",IF(C39="Gestion","1151000",IF(C39="OPTER","1151210",IF(AND(C39="Connaissances",D39="Écoconduite"),"1157170",IF(AND(C39="Conversion",D39="Bioénergies"),"1151240",IF(AND(C39="Conversion",D39="Solaires"),"1151202",INDEX(OFFSET(Type_Entreprise,,2,,),MATCH('1. Demande'!AJ$67,Type_Entreprise,0))))))))</f>
        <v>0</v>
      </c>
      <c r="AO39"/>
      <c r="AP39"/>
    </row>
    <row r="40" spans="1:42" ht="15.75" customHeight="1">
      <c r="A40" s="17"/>
      <c r="B40" s="18"/>
      <c r="C40" s="18" t="s">
        <v>224</v>
      </c>
      <c r="D40" s="18" t="s">
        <v>851</v>
      </c>
      <c r="E40" s="18" t="s">
        <v>246</v>
      </c>
      <c r="F40" s="18"/>
      <c r="G40" s="155" t="str">
        <f t="shared" ca="1" si="0"/>
        <v/>
      </c>
      <c r="H40" s="219"/>
      <c r="I40" s="157"/>
      <c r="J40" s="18"/>
      <c r="K40" s="173"/>
      <c r="L40" s="157"/>
      <c r="M40" s="171"/>
      <c r="N40" s="220"/>
      <c r="O40" s="156" t="str">
        <f t="shared" ca="1" si="1"/>
        <v/>
      </c>
      <c r="P40" s="159" t="str">
        <f t="shared" ca="1" si="2"/>
        <v/>
      </c>
      <c r="Q40" s="223">
        <v>0</v>
      </c>
      <c r="R40" s="223">
        <v>0</v>
      </c>
      <c r="S40" s="223">
        <v>0</v>
      </c>
      <c r="T40" s="224"/>
      <c r="U40" s="223"/>
      <c r="V40" s="17" t="s">
        <v>173</v>
      </c>
      <c r="W40" s="33"/>
      <c r="X40" s="33"/>
      <c r="Y40" s="226"/>
      <c r="Z40" s="226"/>
      <c r="AA40" s="17"/>
      <c r="AB40" s="157"/>
      <c r="AC40" s="159" t="str">
        <f t="shared" ca="1" si="3"/>
        <v/>
      </c>
      <c r="AD40" s="156" t="str">
        <f t="shared" si="4"/>
        <v/>
      </c>
      <c r="AE40" s="170" t="str">
        <f t="shared" si="10"/>
        <v/>
      </c>
      <c r="AF40" s="201">
        <f t="shared" ca="1" si="5"/>
        <v>4</v>
      </c>
      <c r="AG40" s="201" t="e">
        <f t="shared" ca="1" si="11"/>
        <v>#N/A</v>
      </c>
      <c r="AH40" s="201">
        <f t="shared" ca="1" si="6"/>
        <v>1</v>
      </c>
      <c r="AI40" s="201" t="str">
        <f t="shared" ca="1" si="7"/>
        <v/>
      </c>
      <c r="AJ40" s="201">
        <f t="shared" ca="1" si="8"/>
        <v>0</v>
      </c>
      <c r="AK40" s="201" t="str">
        <f t="shared" ca="1" si="9"/>
        <v/>
      </c>
      <c r="AL40" s="201" t="b">
        <f ca="1">CHOOSE(AF40,FALSE,Data!DV$2,IF(Data!DP$2="Transport",FALSE,Data!DV$2),IF(Data!DP$2="Transport",FALSE,Data!DV$2),FALSE,FALSE,Data!DV$2)</f>
        <v>0</v>
      </c>
      <c r="AM40" s="201">
        <f ca="1">CHOOSE(AF40,"Affaires",IF(Data!DP$2="agricole","Agricole","Affaires"),IF(Data!DP$2="Agricole","Industriel",Data!DP$2),IF(Data!DP$2="Agricole","Industriel",Data!DP$2),IF(Data!DP$2="Agricole","Agricole","Affaires"),IF(Data!DP$2="Transport","Transport","Affaires"),IF(Data!DP$2="Agricole","Industriel",Data!DP$2))</f>
        <v>0</v>
      </c>
      <c r="AN40" s="201">
        <f ca="1">IF(C40="Innovation","1159400",IF(C40="Gestion","1151000",IF(C40="OPTER","1151210",IF(AND(C40="Connaissances",D40="Écoconduite"),"1157170",IF(AND(C40="Conversion",D40="Bioénergies"),"1151240",IF(AND(C40="Conversion",D40="Solaires"),"1151202",INDEX(OFFSET(Type_Entreprise,,2,,),MATCH('1. Demande'!AJ$67,Type_Entreprise,0))))))))</f>
        <v>0</v>
      </c>
      <c r="AO40"/>
      <c r="AP40"/>
    </row>
    <row r="41" spans="1:42" ht="15.75" customHeight="1">
      <c r="A41" s="17"/>
      <c r="B41" s="18"/>
      <c r="C41" s="18" t="s">
        <v>224</v>
      </c>
      <c r="D41" s="18" t="s">
        <v>851</v>
      </c>
      <c r="E41" s="18" t="s">
        <v>246</v>
      </c>
      <c r="F41" s="18"/>
      <c r="G41" s="155" t="str">
        <f t="shared" ca="1" si="0"/>
        <v/>
      </c>
      <c r="H41" s="219"/>
      <c r="I41" s="157"/>
      <c r="J41" s="18"/>
      <c r="K41" s="173"/>
      <c r="L41" s="157"/>
      <c r="M41" s="171"/>
      <c r="N41" s="220"/>
      <c r="O41" s="156" t="str">
        <f t="shared" ca="1" si="1"/>
        <v/>
      </c>
      <c r="P41" s="159" t="str">
        <f t="shared" ca="1" si="2"/>
        <v/>
      </c>
      <c r="Q41" s="223">
        <v>0</v>
      </c>
      <c r="R41" s="223">
        <v>0</v>
      </c>
      <c r="S41" s="223">
        <v>0</v>
      </c>
      <c r="T41" s="224"/>
      <c r="U41" s="223"/>
      <c r="V41" s="17" t="s">
        <v>173</v>
      </c>
      <c r="W41" s="33"/>
      <c r="X41" s="33"/>
      <c r="Y41" s="226"/>
      <c r="Z41" s="226"/>
      <c r="AA41" s="17"/>
      <c r="AB41" s="157"/>
      <c r="AC41" s="159" t="str">
        <f t="shared" ca="1" si="3"/>
        <v/>
      </c>
      <c r="AD41" s="156" t="str">
        <f t="shared" si="4"/>
        <v/>
      </c>
      <c r="AE41" s="170" t="str">
        <f t="shared" si="10"/>
        <v/>
      </c>
      <c r="AF41" s="201">
        <f t="shared" ca="1" si="5"/>
        <v>4</v>
      </c>
      <c r="AG41" s="201" t="e">
        <f t="shared" ca="1" si="11"/>
        <v>#N/A</v>
      </c>
      <c r="AH41" s="201">
        <f t="shared" ca="1" si="6"/>
        <v>1</v>
      </c>
      <c r="AI41" s="201" t="str">
        <f t="shared" ca="1" si="7"/>
        <v/>
      </c>
      <c r="AJ41" s="201">
        <f t="shared" ca="1" si="8"/>
        <v>0</v>
      </c>
      <c r="AK41" s="201" t="str">
        <f t="shared" ca="1" si="9"/>
        <v/>
      </c>
      <c r="AL41" s="201" t="b">
        <f ca="1">CHOOSE(AF41,FALSE,Data!DV$2,IF(Data!DP$2="Transport",FALSE,Data!DV$2),IF(Data!DP$2="Transport",FALSE,Data!DV$2),FALSE,FALSE,Data!DV$2)</f>
        <v>0</v>
      </c>
      <c r="AM41" s="201">
        <f ca="1">CHOOSE(AF41,"Affaires",IF(Data!DP$2="agricole","Agricole","Affaires"),IF(Data!DP$2="Agricole","Industriel",Data!DP$2),IF(Data!DP$2="Agricole","Industriel",Data!DP$2),IF(Data!DP$2="Agricole","Agricole","Affaires"),IF(Data!DP$2="Transport","Transport","Affaires"),IF(Data!DP$2="Agricole","Industriel",Data!DP$2))</f>
        <v>0</v>
      </c>
      <c r="AN41" s="201">
        <f ca="1">IF(C41="Innovation","1159400",IF(C41="Gestion","1151000",IF(C41="OPTER","1151210",IF(AND(C41="Connaissances",D41="Écoconduite"),"1157170",IF(AND(C41="Conversion",D41="Bioénergies"),"1151240",IF(AND(C41="Conversion",D41="Solaires"),"1151202",INDEX(OFFSET(Type_Entreprise,,2,,),MATCH('1. Demande'!AJ$67,Type_Entreprise,0))))))))</f>
        <v>0</v>
      </c>
      <c r="AO41"/>
      <c r="AP41"/>
    </row>
    <row r="42" spans="1:42" ht="15.75" customHeight="1">
      <c r="A42" s="17"/>
      <c r="B42" s="18"/>
      <c r="C42" s="18" t="s">
        <v>224</v>
      </c>
      <c r="D42" s="18" t="s">
        <v>851</v>
      </c>
      <c r="E42" s="18" t="s">
        <v>246</v>
      </c>
      <c r="F42" s="18"/>
      <c r="G42" s="155" t="str">
        <f t="shared" ca="1" si="0"/>
        <v/>
      </c>
      <c r="H42" s="219"/>
      <c r="I42" s="157"/>
      <c r="J42" s="18"/>
      <c r="K42" s="173"/>
      <c r="L42" s="157"/>
      <c r="M42" s="171"/>
      <c r="N42" s="220"/>
      <c r="O42" s="156" t="str">
        <f t="shared" ca="1" si="1"/>
        <v/>
      </c>
      <c r="P42" s="159" t="str">
        <f t="shared" ca="1" si="2"/>
        <v/>
      </c>
      <c r="Q42" s="223">
        <v>0</v>
      </c>
      <c r="R42" s="223">
        <v>0</v>
      </c>
      <c r="S42" s="223">
        <v>0</v>
      </c>
      <c r="T42" s="224"/>
      <c r="U42" s="223"/>
      <c r="V42" s="17" t="s">
        <v>173</v>
      </c>
      <c r="W42" s="33"/>
      <c r="X42" s="33"/>
      <c r="Y42" s="226"/>
      <c r="Z42" s="226"/>
      <c r="AA42" s="17"/>
      <c r="AB42" s="157"/>
      <c r="AC42" s="159" t="str">
        <f t="shared" ca="1" si="3"/>
        <v/>
      </c>
      <c r="AD42" s="156" t="str">
        <f t="shared" si="4"/>
        <v/>
      </c>
      <c r="AE42" s="170" t="str">
        <f t="shared" si="10"/>
        <v/>
      </c>
      <c r="AF42" s="201">
        <f t="shared" ca="1" si="5"/>
        <v>4</v>
      </c>
      <c r="AG42" s="201" t="e">
        <f t="shared" ca="1" si="11"/>
        <v>#N/A</v>
      </c>
      <c r="AH42" s="201">
        <f t="shared" ca="1" si="6"/>
        <v>1</v>
      </c>
      <c r="AI42" s="201" t="str">
        <f t="shared" ca="1" si="7"/>
        <v/>
      </c>
      <c r="AJ42" s="201">
        <f t="shared" ca="1" si="8"/>
        <v>0</v>
      </c>
      <c r="AK42" s="201" t="str">
        <f t="shared" ca="1" si="9"/>
        <v/>
      </c>
      <c r="AL42" s="201" t="b">
        <f ca="1">CHOOSE(AF42,FALSE,Data!DV$2,IF(Data!DP$2="Transport",FALSE,Data!DV$2),IF(Data!DP$2="Transport",FALSE,Data!DV$2),FALSE,FALSE,Data!DV$2)</f>
        <v>0</v>
      </c>
      <c r="AM42" s="201">
        <f ca="1">CHOOSE(AF42,"Affaires",IF(Data!DP$2="agricole","Agricole","Affaires"),IF(Data!DP$2="Agricole","Industriel",Data!DP$2),IF(Data!DP$2="Agricole","Industriel",Data!DP$2),IF(Data!DP$2="Agricole","Agricole","Affaires"),IF(Data!DP$2="Transport","Transport","Affaires"),IF(Data!DP$2="Agricole","Industriel",Data!DP$2))</f>
        <v>0</v>
      </c>
      <c r="AN42" s="201">
        <f ca="1">IF(C42="Innovation","1159400",IF(C42="Gestion","1151000",IF(C42="OPTER","1151210",IF(AND(C42="Connaissances",D42="Écoconduite"),"1157170",IF(AND(C42="Conversion",D42="Bioénergies"),"1151240",IF(AND(C42="Conversion",D42="Solaires"),"1151202",INDEX(OFFSET(Type_Entreprise,,2,,),MATCH('1. Demande'!AJ$67,Type_Entreprise,0))))))))</f>
        <v>0</v>
      </c>
      <c r="AO42"/>
      <c r="AP42"/>
    </row>
    <row r="43" spans="1:42" ht="15.75" customHeight="1">
      <c r="A43" s="17"/>
      <c r="B43" s="18"/>
      <c r="C43" s="18" t="s">
        <v>224</v>
      </c>
      <c r="D43" s="18" t="s">
        <v>851</v>
      </c>
      <c r="E43" s="18" t="s">
        <v>246</v>
      </c>
      <c r="F43" s="18"/>
      <c r="G43" s="155" t="str">
        <f t="shared" ca="1" si="0"/>
        <v/>
      </c>
      <c r="H43" s="219"/>
      <c r="I43" s="157"/>
      <c r="J43" s="18"/>
      <c r="K43" s="173"/>
      <c r="L43" s="157"/>
      <c r="M43" s="171"/>
      <c r="N43" s="220"/>
      <c r="O43" s="156" t="str">
        <f t="shared" ca="1" si="1"/>
        <v/>
      </c>
      <c r="P43" s="159" t="str">
        <f t="shared" ca="1" si="2"/>
        <v/>
      </c>
      <c r="Q43" s="223">
        <v>0</v>
      </c>
      <c r="R43" s="223">
        <v>0</v>
      </c>
      <c r="S43" s="223">
        <v>0</v>
      </c>
      <c r="T43" s="224"/>
      <c r="U43" s="223"/>
      <c r="V43" s="17" t="s">
        <v>173</v>
      </c>
      <c r="W43" s="33"/>
      <c r="X43" s="33"/>
      <c r="Y43" s="226"/>
      <c r="Z43" s="226"/>
      <c r="AA43" s="17"/>
      <c r="AB43" s="157"/>
      <c r="AC43" s="159" t="str">
        <f t="shared" ca="1" si="3"/>
        <v/>
      </c>
      <c r="AD43" s="156" t="str">
        <f t="shared" si="4"/>
        <v/>
      </c>
      <c r="AE43" s="170" t="str">
        <f t="shared" si="10"/>
        <v/>
      </c>
      <c r="AF43" s="201">
        <f t="shared" ca="1" si="5"/>
        <v>4</v>
      </c>
      <c r="AG43" s="201" t="e">
        <f t="shared" ca="1" si="11"/>
        <v>#N/A</v>
      </c>
      <c r="AH43" s="201">
        <f t="shared" ca="1" si="6"/>
        <v>1</v>
      </c>
      <c r="AI43" s="201" t="str">
        <f t="shared" ca="1" si="7"/>
        <v/>
      </c>
      <c r="AJ43" s="201">
        <f t="shared" ca="1" si="8"/>
        <v>0</v>
      </c>
      <c r="AK43" s="201" t="str">
        <f t="shared" ca="1" si="9"/>
        <v/>
      </c>
      <c r="AL43" s="201" t="b">
        <f ca="1">CHOOSE(AF43,FALSE,Data!DV$2,IF(Data!DP$2="Transport",FALSE,Data!DV$2),IF(Data!DP$2="Transport",FALSE,Data!DV$2),FALSE,FALSE,Data!DV$2)</f>
        <v>0</v>
      </c>
      <c r="AM43" s="201">
        <f ca="1">CHOOSE(AF43,"Affaires",IF(Data!DP$2="agricole","Agricole","Affaires"),IF(Data!DP$2="Agricole","Industriel",Data!DP$2),IF(Data!DP$2="Agricole","Industriel",Data!DP$2),IF(Data!DP$2="Agricole","Agricole","Affaires"),IF(Data!DP$2="Transport","Transport","Affaires"),IF(Data!DP$2="Agricole","Industriel",Data!DP$2))</f>
        <v>0</v>
      </c>
      <c r="AN43" s="201">
        <f ca="1">IF(C43="Innovation","1159400",IF(C43="Gestion","1151000",IF(C43="OPTER","1151210",IF(AND(C43="Connaissances",D43="Écoconduite"),"1157170",IF(AND(C43="Conversion",D43="Bioénergies"),"1151240",IF(AND(C43="Conversion",D43="Solaires"),"1151202",INDEX(OFFSET(Type_Entreprise,,2,,),MATCH('1. Demande'!AJ$67,Type_Entreprise,0))))))))</f>
        <v>0</v>
      </c>
      <c r="AO43"/>
      <c r="AP43"/>
    </row>
    <row r="44" spans="1:42" ht="15.75" customHeight="1">
      <c r="A44" s="17"/>
      <c r="B44" s="18"/>
      <c r="C44" s="18" t="s">
        <v>224</v>
      </c>
      <c r="D44" s="18" t="s">
        <v>851</v>
      </c>
      <c r="E44" s="18" t="s">
        <v>246</v>
      </c>
      <c r="F44" s="18"/>
      <c r="G44" s="155" t="str">
        <f t="shared" ca="1" si="0"/>
        <v/>
      </c>
      <c r="H44" s="219"/>
      <c r="I44" s="157"/>
      <c r="J44" s="18"/>
      <c r="K44" s="173"/>
      <c r="L44" s="157"/>
      <c r="M44" s="171"/>
      <c r="N44" s="220"/>
      <c r="O44" s="156" t="str">
        <f t="shared" ca="1" si="1"/>
        <v/>
      </c>
      <c r="P44" s="159" t="str">
        <f t="shared" ca="1" si="2"/>
        <v/>
      </c>
      <c r="Q44" s="223">
        <v>0</v>
      </c>
      <c r="R44" s="223">
        <v>0</v>
      </c>
      <c r="S44" s="223">
        <v>0</v>
      </c>
      <c r="T44" s="224"/>
      <c r="U44" s="223"/>
      <c r="V44" s="17" t="s">
        <v>173</v>
      </c>
      <c r="W44" s="33"/>
      <c r="X44" s="33"/>
      <c r="Y44" s="226"/>
      <c r="Z44" s="226"/>
      <c r="AA44" s="17"/>
      <c r="AB44" s="157"/>
      <c r="AC44" s="159" t="str">
        <f t="shared" ca="1" si="3"/>
        <v/>
      </c>
      <c r="AD44" s="156" t="str">
        <f t="shared" si="4"/>
        <v/>
      </c>
      <c r="AE44" s="170" t="str">
        <f t="shared" si="10"/>
        <v/>
      </c>
      <c r="AF44" s="201">
        <f t="shared" ca="1" si="5"/>
        <v>4</v>
      </c>
      <c r="AG44" s="201" t="e">
        <f t="shared" ca="1" si="11"/>
        <v>#N/A</v>
      </c>
      <c r="AH44" s="201">
        <f t="shared" ca="1" si="6"/>
        <v>1</v>
      </c>
      <c r="AI44" s="201" t="str">
        <f t="shared" ca="1" si="7"/>
        <v/>
      </c>
      <c r="AJ44" s="201">
        <f t="shared" ca="1" si="8"/>
        <v>0</v>
      </c>
      <c r="AK44" s="201" t="str">
        <f t="shared" ca="1" si="9"/>
        <v/>
      </c>
      <c r="AL44" s="201" t="b">
        <f ca="1">CHOOSE(AF44,FALSE,Data!DV$2,IF(Data!DP$2="Transport",FALSE,Data!DV$2),IF(Data!DP$2="Transport",FALSE,Data!DV$2),FALSE,FALSE,Data!DV$2)</f>
        <v>0</v>
      </c>
      <c r="AM44" s="201">
        <f ca="1">CHOOSE(AF44,"Affaires",IF(Data!DP$2="agricole","Agricole","Affaires"),IF(Data!DP$2="Agricole","Industriel",Data!DP$2),IF(Data!DP$2="Agricole","Industriel",Data!DP$2),IF(Data!DP$2="Agricole","Agricole","Affaires"),IF(Data!DP$2="Transport","Transport","Affaires"),IF(Data!DP$2="Agricole","Industriel",Data!DP$2))</f>
        <v>0</v>
      </c>
      <c r="AN44" s="201">
        <f ca="1">IF(C44="Innovation","1159400",IF(C44="Gestion","1151000",IF(C44="OPTER","1151210",IF(AND(C44="Connaissances",D44="Écoconduite"),"1157170",IF(AND(C44="Conversion",D44="Bioénergies"),"1151240",IF(AND(C44="Conversion",D44="Solaires"),"1151202",INDEX(OFFSET(Type_Entreprise,,2,,),MATCH('1. Demande'!AJ$67,Type_Entreprise,0))))))))</f>
        <v>0</v>
      </c>
      <c r="AO44"/>
      <c r="AP44"/>
    </row>
    <row r="45" spans="1:42" ht="15.75" customHeight="1">
      <c r="A45" s="17"/>
      <c r="B45" s="18"/>
      <c r="C45" s="18" t="s">
        <v>224</v>
      </c>
      <c r="D45" s="18" t="s">
        <v>851</v>
      </c>
      <c r="E45" s="18" t="s">
        <v>246</v>
      </c>
      <c r="F45" s="18"/>
      <c r="G45" s="155" t="str">
        <f t="shared" ca="1" si="0"/>
        <v/>
      </c>
      <c r="H45" s="219"/>
      <c r="I45" s="157"/>
      <c r="J45" s="18"/>
      <c r="K45" s="173"/>
      <c r="L45" s="157"/>
      <c r="M45" s="171"/>
      <c r="N45" s="220"/>
      <c r="O45" s="156" t="str">
        <f t="shared" ca="1" si="1"/>
        <v/>
      </c>
      <c r="P45" s="159" t="str">
        <f t="shared" ca="1" si="2"/>
        <v/>
      </c>
      <c r="Q45" s="223">
        <v>0</v>
      </c>
      <c r="R45" s="223">
        <v>0</v>
      </c>
      <c r="S45" s="223">
        <v>0</v>
      </c>
      <c r="T45" s="224"/>
      <c r="U45" s="223"/>
      <c r="V45" s="17" t="s">
        <v>173</v>
      </c>
      <c r="W45" s="33"/>
      <c r="X45" s="33"/>
      <c r="Y45" s="226"/>
      <c r="Z45" s="226"/>
      <c r="AA45" s="17"/>
      <c r="AB45" s="157"/>
      <c r="AC45" s="159" t="str">
        <f t="shared" ca="1" si="3"/>
        <v/>
      </c>
      <c r="AD45" s="156" t="str">
        <f t="shared" si="4"/>
        <v/>
      </c>
      <c r="AE45" s="170" t="str">
        <f t="shared" si="10"/>
        <v/>
      </c>
      <c r="AF45" s="201">
        <f t="shared" ca="1" si="5"/>
        <v>4</v>
      </c>
      <c r="AG45" s="201" t="e">
        <f t="shared" ca="1" si="11"/>
        <v>#N/A</v>
      </c>
      <c r="AH45" s="201">
        <f t="shared" ca="1" si="6"/>
        <v>1</v>
      </c>
      <c r="AI45" s="201" t="str">
        <f t="shared" ca="1" si="7"/>
        <v/>
      </c>
      <c r="AJ45" s="201">
        <f t="shared" ca="1" si="8"/>
        <v>0</v>
      </c>
      <c r="AK45" s="201" t="str">
        <f t="shared" ca="1" si="9"/>
        <v/>
      </c>
      <c r="AL45" s="201" t="b">
        <f ca="1">CHOOSE(AF45,FALSE,Data!DV$2,IF(Data!DP$2="Transport",FALSE,Data!DV$2),IF(Data!DP$2="Transport",FALSE,Data!DV$2),FALSE,FALSE,Data!DV$2)</f>
        <v>0</v>
      </c>
      <c r="AM45" s="201">
        <f ca="1">CHOOSE(AF45,"Affaires",IF(Data!DP$2="agricole","Agricole","Affaires"),IF(Data!DP$2="Agricole","Industriel",Data!DP$2),IF(Data!DP$2="Agricole","Industriel",Data!DP$2),IF(Data!DP$2="Agricole","Agricole","Affaires"),IF(Data!DP$2="Transport","Transport","Affaires"),IF(Data!DP$2="Agricole","Industriel",Data!DP$2))</f>
        <v>0</v>
      </c>
      <c r="AN45" s="201">
        <f ca="1">IF(C45="Innovation","1159400",IF(C45="Gestion","1151000",IF(C45="OPTER","1151210",IF(AND(C45="Connaissances",D45="Écoconduite"),"1157170",IF(AND(C45="Conversion",D45="Bioénergies"),"1151240",IF(AND(C45="Conversion",D45="Solaires"),"1151202",INDEX(OFFSET(Type_Entreprise,,2,,),MATCH('1. Demande'!AJ$67,Type_Entreprise,0))))))))</f>
        <v>0</v>
      </c>
      <c r="AO45"/>
      <c r="AP45"/>
    </row>
    <row r="46" spans="1:42" ht="15.75" customHeight="1">
      <c r="A46" s="17"/>
      <c r="B46" s="18"/>
      <c r="C46" s="18" t="s">
        <v>224</v>
      </c>
      <c r="D46" s="18" t="s">
        <v>851</v>
      </c>
      <c r="E46" s="18" t="s">
        <v>246</v>
      </c>
      <c r="F46" s="18"/>
      <c r="G46" s="155" t="str">
        <f t="shared" ca="1" si="0"/>
        <v/>
      </c>
      <c r="H46" s="219"/>
      <c r="I46" s="157"/>
      <c r="J46" s="18"/>
      <c r="K46" s="173"/>
      <c r="L46" s="157"/>
      <c r="M46" s="171"/>
      <c r="N46" s="220"/>
      <c r="O46" s="156" t="str">
        <f t="shared" ca="1" si="1"/>
        <v/>
      </c>
      <c r="P46" s="159" t="str">
        <f t="shared" ca="1" si="2"/>
        <v/>
      </c>
      <c r="Q46" s="223">
        <v>0</v>
      </c>
      <c r="R46" s="223">
        <v>0</v>
      </c>
      <c r="S46" s="223">
        <v>0</v>
      </c>
      <c r="T46" s="224"/>
      <c r="U46" s="223"/>
      <c r="V46" s="17" t="s">
        <v>173</v>
      </c>
      <c r="W46" s="33"/>
      <c r="X46" s="33"/>
      <c r="Y46" s="226"/>
      <c r="Z46" s="226"/>
      <c r="AA46" s="17"/>
      <c r="AB46" s="157"/>
      <c r="AC46" s="159" t="str">
        <f t="shared" ca="1" si="3"/>
        <v/>
      </c>
      <c r="AD46" s="156" t="str">
        <f t="shared" si="4"/>
        <v/>
      </c>
      <c r="AE46" s="170" t="str">
        <f t="shared" si="10"/>
        <v/>
      </c>
      <c r="AF46" s="201">
        <f t="shared" ca="1" si="5"/>
        <v>4</v>
      </c>
      <c r="AG46" s="201" t="e">
        <f t="shared" ca="1" si="11"/>
        <v>#N/A</v>
      </c>
      <c r="AH46" s="201">
        <f t="shared" ca="1" si="6"/>
        <v>1</v>
      </c>
      <c r="AI46" s="201" t="str">
        <f t="shared" ca="1" si="7"/>
        <v/>
      </c>
      <c r="AJ46" s="201">
        <f t="shared" ca="1" si="8"/>
        <v>0</v>
      </c>
      <c r="AK46" s="201" t="str">
        <f t="shared" ca="1" si="9"/>
        <v/>
      </c>
      <c r="AL46" s="201" t="b">
        <f ca="1">CHOOSE(AF46,FALSE,Data!DV$2,IF(Data!DP$2="Transport",FALSE,Data!DV$2),IF(Data!DP$2="Transport",FALSE,Data!DV$2),FALSE,FALSE,Data!DV$2)</f>
        <v>0</v>
      </c>
      <c r="AM46" s="201">
        <f ca="1">CHOOSE(AF46,"Affaires",IF(Data!DP$2="agricole","Agricole","Affaires"),IF(Data!DP$2="Agricole","Industriel",Data!DP$2),IF(Data!DP$2="Agricole","Industriel",Data!DP$2),IF(Data!DP$2="Agricole","Agricole","Affaires"),IF(Data!DP$2="Transport","Transport","Affaires"),IF(Data!DP$2="Agricole","Industriel",Data!DP$2))</f>
        <v>0</v>
      </c>
      <c r="AN46" s="201">
        <f ca="1">IF(C46="Innovation","1159400",IF(C46="Gestion","1151000",IF(C46="OPTER","1151210",IF(AND(C46="Connaissances",D46="Écoconduite"),"1157170",IF(AND(C46="Conversion",D46="Bioénergies"),"1151240",IF(AND(C46="Conversion",D46="Solaires"),"1151202",INDEX(OFFSET(Type_Entreprise,,2,,),MATCH('1. Demande'!AJ$67,Type_Entreprise,0))))))))</f>
        <v>0</v>
      </c>
      <c r="AO46"/>
      <c r="AP46"/>
    </row>
    <row r="47" spans="1:42" ht="15.75" customHeight="1">
      <c r="A47" s="17"/>
      <c r="B47" s="18"/>
      <c r="C47" s="18" t="s">
        <v>224</v>
      </c>
      <c r="D47" s="18" t="s">
        <v>851</v>
      </c>
      <c r="E47" s="18" t="s">
        <v>246</v>
      </c>
      <c r="F47" s="18"/>
      <c r="G47" s="155" t="str">
        <f t="shared" ca="1" si="0"/>
        <v/>
      </c>
      <c r="H47" s="219"/>
      <c r="I47" s="157"/>
      <c r="J47" s="18"/>
      <c r="K47" s="173"/>
      <c r="L47" s="157"/>
      <c r="M47" s="171"/>
      <c r="N47" s="220"/>
      <c r="O47" s="156" t="str">
        <f t="shared" ca="1" si="1"/>
        <v/>
      </c>
      <c r="P47" s="159" t="str">
        <f t="shared" ca="1" si="2"/>
        <v/>
      </c>
      <c r="Q47" s="223">
        <v>0</v>
      </c>
      <c r="R47" s="223">
        <v>0</v>
      </c>
      <c r="S47" s="223">
        <v>0</v>
      </c>
      <c r="T47" s="224"/>
      <c r="U47" s="223"/>
      <c r="V47" s="17" t="s">
        <v>173</v>
      </c>
      <c r="W47" s="33"/>
      <c r="X47" s="33"/>
      <c r="Y47" s="226"/>
      <c r="Z47" s="226"/>
      <c r="AA47" s="17"/>
      <c r="AB47" s="157"/>
      <c r="AC47" s="159" t="str">
        <f t="shared" ca="1" si="3"/>
        <v/>
      </c>
      <c r="AD47" s="156" t="str">
        <f t="shared" si="4"/>
        <v/>
      </c>
      <c r="AE47" s="170" t="str">
        <f t="shared" si="10"/>
        <v/>
      </c>
      <c r="AF47" s="201">
        <f t="shared" ca="1" si="5"/>
        <v>4</v>
      </c>
      <c r="AG47" s="201" t="e">
        <f t="shared" ca="1" si="11"/>
        <v>#N/A</v>
      </c>
      <c r="AH47" s="201">
        <f t="shared" ca="1" si="6"/>
        <v>1</v>
      </c>
      <c r="AI47" s="201" t="str">
        <f t="shared" ca="1" si="7"/>
        <v/>
      </c>
      <c r="AJ47" s="201">
        <f t="shared" ca="1" si="8"/>
        <v>0</v>
      </c>
      <c r="AK47" s="201" t="str">
        <f t="shared" ca="1" si="9"/>
        <v/>
      </c>
      <c r="AL47" s="201" t="b">
        <f ca="1">CHOOSE(AF47,FALSE,Data!DV$2,IF(Data!DP$2="Transport",FALSE,Data!DV$2),IF(Data!DP$2="Transport",FALSE,Data!DV$2),FALSE,FALSE,Data!DV$2)</f>
        <v>0</v>
      </c>
      <c r="AM47" s="201">
        <f ca="1">CHOOSE(AF47,"Affaires",IF(Data!DP$2="agricole","Agricole","Affaires"),IF(Data!DP$2="Agricole","Industriel",Data!DP$2),IF(Data!DP$2="Agricole","Industriel",Data!DP$2),IF(Data!DP$2="Agricole","Agricole","Affaires"),IF(Data!DP$2="Transport","Transport","Affaires"),IF(Data!DP$2="Agricole","Industriel",Data!DP$2))</f>
        <v>0</v>
      </c>
      <c r="AN47" s="201">
        <f ca="1">IF(C47="Innovation","1159400",IF(C47="Gestion","1151000",IF(C47="OPTER","1151210",IF(AND(C47="Connaissances",D47="Écoconduite"),"1157170",IF(AND(C47="Conversion",D47="Bioénergies"),"1151240",IF(AND(C47="Conversion",D47="Solaires"),"1151202",INDEX(OFFSET(Type_Entreprise,,2,,),MATCH('1. Demande'!AJ$67,Type_Entreprise,0))))))))</f>
        <v>0</v>
      </c>
      <c r="AO47"/>
      <c r="AP47"/>
    </row>
    <row r="48" spans="1:42" ht="15.75" customHeight="1">
      <c r="A48" s="17"/>
      <c r="B48" s="18"/>
      <c r="C48" s="18" t="s">
        <v>224</v>
      </c>
      <c r="D48" s="18" t="s">
        <v>851</v>
      </c>
      <c r="E48" s="18" t="s">
        <v>246</v>
      </c>
      <c r="F48" s="18"/>
      <c r="G48" s="155" t="str">
        <f t="shared" ca="1" si="0"/>
        <v/>
      </c>
      <c r="H48" s="219"/>
      <c r="I48" s="157"/>
      <c r="J48" s="18"/>
      <c r="K48" s="173"/>
      <c r="L48" s="157"/>
      <c r="M48" s="171"/>
      <c r="N48" s="220"/>
      <c r="O48" s="156" t="str">
        <f t="shared" ca="1" si="1"/>
        <v/>
      </c>
      <c r="P48" s="159" t="str">
        <f t="shared" ca="1" si="2"/>
        <v/>
      </c>
      <c r="Q48" s="223">
        <v>0</v>
      </c>
      <c r="R48" s="223">
        <v>0</v>
      </c>
      <c r="S48" s="223">
        <v>0</v>
      </c>
      <c r="T48" s="224"/>
      <c r="U48" s="223"/>
      <c r="V48" s="17" t="s">
        <v>173</v>
      </c>
      <c r="W48" s="33"/>
      <c r="X48" s="33"/>
      <c r="Y48" s="226"/>
      <c r="Z48" s="226"/>
      <c r="AA48" s="17"/>
      <c r="AB48" s="157"/>
      <c r="AC48" s="159" t="str">
        <f t="shared" ca="1" si="3"/>
        <v/>
      </c>
      <c r="AD48" s="156" t="str">
        <f t="shared" si="4"/>
        <v/>
      </c>
      <c r="AE48" s="170" t="str">
        <f t="shared" si="10"/>
        <v/>
      </c>
      <c r="AF48" s="201">
        <f t="shared" ca="1" si="5"/>
        <v>4</v>
      </c>
      <c r="AG48" s="201" t="e">
        <f t="shared" ca="1" si="11"/>
        <v>#N/A</v>
      </c>
      <c r="AH48" s="201">
        <f t="shared" ca="1" si="6"/>
        <v>1</v>
      </c>
      <c r="AI48" s="201" t="str">
        <f t="shared" ca="1" si="7"/>
        <v/>
      </c>
      <c r="AJ48" s="201">
        <f t="shared" ca="1" si="8"/>
        <v>0</v>
      </c>
      <c r="AK48" s="201" t="str">
        <f t="shared" ca="1" si="9"/>
        <v/>
      </c>
      <c r="AL48" s="201" t="b">
        <f ca="1">CHOOSE(AF48,FALSE,Data!DV$2,IF(Data!DP$2="Transport",FALSE,Data!DV$2),IF(Data!DP$2="Transport",FALSE,Data!DV$2),FALSE,FALSE,Data!DV$2)</f>
        <v>0</v>
      </c>
      <c r="AM48" s="201">
        <f ca="1">CHOOSE(AF48,"Affaires",IF(Data!DP$2="agricole","Agricole","Affaires"),IF(Data!DP$2="Agricole","Industriel",Data!DP$2),IF(Data!DP$2="Agricole","Industriel",Data!DP$2),IF(Data!DP$2="Agricole","Agricole","Affaires"),IF(Data!DP$2="Transport","Transport","Affaires"),IF(Data!DP$2="Agricole","Industriel",Data!DP$2))</f>
        <v>0</v>
      </c>
      <c r="AN48" s="201">
        <f ca="1">IF(C48="Innovation","1159400",IF(C48="Gestion","1151000",IF(C48="OPTER","1151210",IF(AND(C48="Connaissances",D48="Écoconduite"),"1157170",IF(AND(C48="Conversion",D48="Bioénergies"),"1151240",IF(AND(C48="Conversion",D48="Solaires"),"1151202",INDEX(OFFSET(Type_Entreprise,,2,,),MATCH('1. Demande'!AJ$67,Type_Entreprise,0))))))))</f>
        <v>0</v>
      </c>
      <c r="AO48"/>
      <c r="AP48"/>
    </row>
    <row r="49" spans="1:42" ht="15.75" customHeight="1" thickBot="1">
      <c r="A49" s="19"/>
      <c r="B49" s="20"/>
      <c r="C49" s="18" t="s">
        <v>224</v>
      </c>
      <c r="D49" s="18" t="s">
        <v>851</v>
      </c>
      <c r="E49" s="18" t="s">
        <v>246</v>
      </c>
      <c r="F49" s="18"/>
      <c r="G49" s="155" t="str">
        <f t="shared" ca="1" si="0"/>
        <v/>
      </c>
      <c r="H49" s="219"/>
      <c r="I49" s="158"/>
      <c r="J49" s="20"/>
      <c r="K49" s="174"/>
      <c r="L49" s="158"/>
      <c r="M49" s="172"/>
      <c r="N49" s="221"/>
      <c r="O49" s="156" t="str">
        <f t="shared" ca="1" si="1"/>
        <v/>
      </c>
      <c r="P49" s="159" t="str">
        <f t="shared" ca="1" si="2"/>
        <v/>
      </c>
      <c r="Q49" s="225">
        <v>0</v>
      </c>
      <c r="R49" s="225">
        <v>0</v>
      </c>
      <c r="S49" s="223">
        <v>0</v>
      </c>
      <c r="T49" s="224"/>
      <c r="U49" s="225"/>
      <c r="V49" s="17" t="s">
        <v>173</v>
      </c>
      <c r="W49" s="34"/>
      <c r="X49" s="34"/>
      <c r="Y49" s="227"/>
      <c r="Z49" s="227"/>
      <c r="AA49" s="19"/>
      <c r="AB49" s="158"/>
      <c r="AC49" s="159" t="str">
        <f t="shared" ca="1" si="3"/>
        <v/>
      </c>
      <c r="AD49" s="156" t="str">
        <f t="shared" si="4"/>
        <v/>
      </c>
      <c r="AE49" s="170" t="str">
        <f t="shared" si="10"/>
        <v/>
      </c>
      <c r="AF49" s="201">
        <f t="shared" ca="1" si="5"/>
        <v>4</v>
      </c>
      <c r="AG49" s="201" t="e">
        <f t="shared" ca="1" si="11"/>
        <v>#N/A</v>
      </c>
      <c r="AH49" s="201">
        <f t="shared" ca="1" si="6"/>
        <v>1</v>
      </c>
      <c r="AI49" s="201" t="str">
        <f t="shared" ca="1" si="7"/>
        <v/>
      </c>
      <c r="AJ49" s="201">
        <f t="shared" ca="1" si="8"/>
        <v>0</v>
      </c>
      <c r="AK49" s="201" t="str">
        <f t="shared" ca="1" si="9"/>
        <v/>
      </c>
      <c r="AL49" s="201" t="b">
        <f ca="1">CHOOSE(AF49,FALSE,Data!DV$2,IF(Data!DP$2="Transport",FALSE,Data!DV$2),IF(Data!DP$2="Transport",FALSE,Data!DV$2),FALSE,FALSE,Data!DV$2)</f>
        <v>0</v>
      </c>
      <c r="AM49" s="201">
        <f ca="1">CHOOSE(AF49,"Affaires",IF(Data!DP$2="agricole","Agricole","Affaires"),IF(Data!DP$2="Agricole","Industriel",Data!DP$2),IF(Data!DP$2="Agricole","Industriel",Data!DP$2),IF(Data!DP$2="Agricole","Agricole","Affaires"),IF(Data!DP$2="Transport","Transport","Affaires"),IF(Data!DP$2="Agricole","Industriel",Data!DP$2))</f>
        <v>0</v>
      </c>
      <c r="AN49" s="201">
        <f ca="1">IF(C49="Innovation","1159400",IF(C49="Gestion","1151000",IF(C49="OPTER","1151210",IF(AND(C49="Connaissances",D49="Écoconduite"),"1157170",IF(AND(C49="Conversion",D49="Bioénergies"),"1151240",IF(AND(C49="Conversion",D49="Solaires"),"1151202",INDEX(OFFSET(Type_Entreprise,,2,,),MATCH('1. Demande'!AJ$67,Type_Entreprise,0))))))))</f>
        <v>0</v>
      </c>
      <c r="AO49"/>
      <c r="AP49"/>
    </row>
    <row r="50" spans="1:42" ht="13" thickTop="1">
      <c r="A50" s="293"/>
      <c r="B50" s="292"/>
      <c r="C50" s="32" t="s">
        <v>113</v>
      </c>
      <c r="D50" s="293"/>
      <c r="E50" s="294"/>
      <c r="F50" s="289"/>
      <c r="G50" s="289"/>
      <c r="H50" s="289"/>
      <c r="I50" s="295"/>
      <c r="J50" s="295"/>
      <c r="K50" s="295"/>
      <c r="L50" s="295"/>
      <c r="M50" s="296"/>
      <c r="N50" s="222">
        <f t="shared" ref="N50:U50" si="12">SUM(N16:N49)</f>
        <v>0</v>
      </c>
      <c r="O50" s="160">
        <f t="shared" ca="1" si="12"/>
        <v>0</v>
      </c>
      <c r="P50" s="161">
        <f t="shared" ca="1" si="12"/>
        <v>0</v>
      </c>
      <c r="Q50" s="222">
        <f t="shared" si="12"/>
        <v>0</v>
      </c>
      <c r="R50" s="222">
        <f t="shared" si="12"/>
        <v>0</v>
      </c>
      <c r="S50" s="222">
        <f t="shared" si="12"/>
        <v>0</v>
      </c>
      <c r="T50" s="222">
        <f t="shared" si="12"/>
        <v>0</v>
      </c>
      <c r="U50" s="222">
        <f t="shared" si="12"/>
        <v>0</v>
      </c>
      <c r="V50" s="288"/>
      <c r="W50" s="289"/>
      <c r="X50" s="289"/>
      <c r="Y50" s="289"/>
      <c r="Z50" s="289"/>
      <c r="AA50" s="290"/>
      <c r="AB50" s="290"/>
      <c r="AC50" s="289"/>
      <c r="AD50" s="291"/>
      <c r="AE50" s="292"/>
    </row>
    <row r="51" spans="1:42">
      <c r="A51" s="163"/>
      <c r="B51" s="164"/>
      <c r="C51" s="163"/>
      <c r="D51" s="163"/>
      <c r="E51" s="163"/>
      <c r="F51" s="164"/>
      <c r="G51" s="164"/>
      <c r="H51" s="164"/>
      <c r="I51" s="207"/>
      <c r="J51" s="207"/>
      <c r="K51" s="207"/>
      <c r="L51" s="207"/>
      <c r="M51" s="165"/>
      <c r="N51" s="165"/>
      <c r="O51" s="166"/>
      <c r="P51" s="167"/>
      <c r="Q51" s="165"/>
      <c r="R51" s="165"/>
      <c r="S51" s="165"/>
      <c r="T51" s="165"/>
      <c r="U51" s="165"/>
      <c r="V51" s="164"/>
      <c r="W51" s="164"/>
      <c r="X51" s="164"/>
      <c r="Y51" s="164"/>
      <c r="Z51" s="164"/>
      <c r="AA51" s="168"/>
      <c r="AB51" s="168"/>
      <c r="AC51" s="164"/>
      <c r="AD51" s="169"/>
      <c r="AE51" s="164"/>
    </row>
    <row r="52" spans="1:42">
      <c r="A52" s="15"/>
      <c r="AC52" s="16"/>
      <c r="AD52" s="16"/>
    </row>
    <row r="53" spans="1:42" ht="16.149999999999999" customHeight="1">
      <c r="A53" s="278" t="s">
        <v>887</v>
      </c>
      <c r="W53" s="277"/>
      <c r="AD53" s="1429" t="e">
        <f>#REF!</f>
        <v>#REF!</v>
      </c>
      <c r="AE53" s="1429"/>
      <c r="AF53" s="1429"/>
    </row>
    <row r="54" spans="1:42" ht="6" customHeight="1">
      <c r="A54" s="287"/>
      <c r="B54" s="287"/>
      <c r="C54" s="287"/>
      <c r="D54" s="287"/>
      <c r="E54" s="287"/>
      <c r="F54" s="287"/>
      <c r="G54" s="287"/>
      <c r="H54" s="287"/>
      <c r="I54" s="287"/>
      <c r="J54" s="287"/>
      <c r="K54" s="287"/>
      <c r="L54" s="287"/>
      <c r="M54" s="287"/>
      <c r="N54" s="287"/>
      <c r="O54" s="287"/>
      <c r="P54" s="287"/>
      <c r="Q54" s="287"/>
      <c r="R54" s="287"/>
      <c r="S54" s="287"/>
      <c r="T54" s="287"/>
      <c r="U54" s="287"/>
      <c r="V54" s="287"/>
      <c r="W54" s="287"/>
      <c r="X54" s="287"/>
      <c r="Y54" s="287"/>
      <c r="Z54" s="287"/>
      <c r="AA54" s="287"/>
      <c r="AB54" s="287"/>
      <c r="AC54" s="287"/>
      <c r="AD54" s="287"/>
      <c r="AE54" s="287"/>
      <c r="AF54" s="287"/>
    </row>
    <row r="55" spans="1:42">
      <c r="A55" s="15"/>
      <c r="Y55" s="16"/>
      <c r="Z55" s="16"/>
      <c r="AA55" s="16"/>
      <c r="AB55" s="15"/>
      <c r="AC55" s="16"/>
      <c r="AD55" s="16"/>
      <c r="AE55" s="16"/>
    </row>
    <row r="56" spans="1:42">
      <c r="A56" s="15"/>
      <c r="Y56" s="16"/>
      <c r="Z56" s="16"/>
      <c r="AA56" s="16"/>
      <c r="AB56" s="15"/>
      <c r="AC56" s="16"/>
      <c r="AD56" s="16"/>
      <c r="AE56" s="16"/>
    </row>
    <row r="57" spans="1:42">
      <c r="A57" s="15"/>
      <c r="B57" s="16"/>
      <c r="F57" s="16"/>
      <c r="G57" s="16"/>
      <c r="H57" s="16"/>
      <c r="AA57" s="14"/>
      <c r="AB57" s="14"/>
      <c r="AC57" s="14"/>
    </row>
    <row r="58" spans="1:42">
      <c r="A58" s="15"/>
      <c r="AA58" s="14"/>
      <c r="AB58" s="14"/>
      <c r="AC58" s="14"/>
    </row>
    <row r="59" spans="1:42">
      <c r="A59" s="175"/>
      <c r="J59" s="15"/>
      <c r="AA59" s="14"/>
      <c r="AB59" s="14"/>
      <c r="AC59" s="14"/>
    </row>
  </sheetData>
  <sheetProtection password="C6C6" sheet="1" objects="1" scenarios="1"/>
  <mergeCells count="43">
    <mergeCell ref="C8:H8"/>
    <mergeCell ref="Y12:Y14"/>
    <mergeCell ref="C9:D9"/>
    <mergeCell ref="F13:F14"/>
    <mergeCell ref="W13:W14"/>
    <mergeCell ref="L12:P12"/>
    <mergeCell ref="N13:N14"/>
    <mergeCell ref="K13:K14"/>
    <mergeCell ref="I13:I14"/>
    <mergeCell ref="L13:L14"/>
    <mergeCell ref="P13:P14"/>
    <mergeCell ref="AD53:AF53"/>
    <mergeCell ref="A11:AA11"/>
    <mergeCell ref="H13:H14"/>
    <mergeCell ref="B12:B14"/>
    <mergeCell ref="E12:E14"/>
    <mergeCell ref="F12:K12"/>
    <mergeCell ref="G13:G14"/>
    <mergeCell ref="O13:O14"/>
    <mergeCell ref="T13:T14"/>
    <mergeCell ref="Q12:T12"/>
    <mergeCell ref="A12:A14"/>
    <mergeCell ref="J13:J14"/>
    <mergeCell ref="Q13:S13"/>
    <mergeCell ref="M13:M14"/>
    <mergeCell ref="D12:D14"/>
    <mergeCell ref="C12:C14"/>
    <mergeCell ref="AA8:AE8"/>
    <mergeCell ref="AA9:AB9"/>
    <mergeCell ref="V13:V14"/>
    <mergeCell ref="AB13:AB14"/>
    <mergeCell ref="U12:V12"/>
    <mergeCell ref="AE13:AE14"/>
    <mergeCell ref="AC13:AC14"/>
    <mergeCell ref="AB12:AC12"/>
    <mergeCell ref="AA12:AA14"/>
    <mergeCell ref="AD13:AD14"/>
    <mergeCell ref="U13:U14"/>
    <mergeCell ref="AB11:AE11"/>
    <mergeCell ref="W12:X12"/>
    <mergeCell ref="X13:X14"/>
    <mergeCell ref="AD12:AE12"/>
    <mergeCell ref="Z12:Z14"/>
  </mergeCells>
  <phoneticPr fontId="14" type="noConversion"/>
  <conditionalFormatting sqref="C16:C49">
    <cfRule type="cellIs" dxfId="10" priority="9" stopIfTrue="1" operator="equal">
      <formula>"Choisir…"</formula>
    </cfRule>
  </conditionalFormatting>
  <conditionalFormatting sqref="D16:D49">
    <cfRule type="cellIs" dxfId="9" priority="10" stopIfTrue="1" operator="equal">
      <formula>""</formula>
    </cfRule>
  </conditionalFormatting>
  <conditionalFormatting sqref="E16:E49">
    <cfRule type="expression" dxfId="8" priority="5" stopIfTrue="1">
      <formula>IF(AND(L16="",E16="Choisir…"),TRUE,FALSE)</formula>
    </cfRule>
    <cfRule type="expression" dxfId="7" priority="6" stopIfTrue="1">
      <formula>IF(AND(L16&lt;&gt;"",F16="",E16="Choisir…"),TRUE,FALSE)</formula>
    </cfRule>
  </conditionalFormatting>
  <conditionalFormatting sqref="F16:F49">
    <cfRule type="expression" dxfId="6" priority="7" stopIfTrue="1">
      <formula>IF(AND(L16="",F16=""),TRUE,FALSE)</formula>
    </cfRule>
    <cfRule type="expression" dxfId="5" priority="8" stopIfTrue="1">
      <formula>IF(AND(L16&lt;&gt;"",F16=""),TRUE,FALSE)</formula>
    </cfRule>
  </conditionalFormatting>
  <conditionalFormatting sqref="H16:H49">
    <cfRule type="expression" dxfId="4" priority="2" stopIfTrue="1">
      <formula>IF(AND(E16="Énergie",H16="",IF(F16&lt;&gt;"",INDEX(OFFSET(Énergie,,8,,),MATCH(F16,Énergie,0))&lt;&gt;"",FALSE)),TRUE,FALSE)</formula>
    </cfRule>
    <cfRule type="expression" dxfId="3" priority="3" stopIfTrue="1">
      <formula>IF(AND(E16="Énergie",H16&lt;&gt;"",IF(F16&lt;&gt;"",INDEX(OFFSET(Énergie,,8,,),MATCH(F16,Énergie,0))&lt;&gt; "",FALSE)),TRUE,FALSE)</formula>
    </cfRule>
    <cfRule type="expression" dxfId="2" priority="4" stopIfTrue="1">
      <formula>IF(OR(E16&lt;&gt;"Énergie",AND(E16="Énergie", IF(F16&lt;&gt;"",INDEX(OFFSET(Énergie,,8,,),MATCH(F16,Énergie,0))&lt;&gt; "",FALSE))),TRUE,FALSE)</formula>
    </cfRule>
  </conditionalFormatting>
  <conditionalFormatting sqref="V16:V49">
    <cfRule type="cellIs" dxfId="1" priority="1" stopIfTrue="1" operator="equal">
      <formula>"Choisir…"</formula>
    </cfRule>
  </conditionalFormatting>
  <dataValidations count="5">
    <dataValidation type="list" allowBlank="1" showInputMessage="1" showErrorMessage="1" sqref="V16:V49" xr:uid="{D88337F2-BB20-4F33-9AF9-61C7C5576736}">
      <formula1>Fin_Autre</formula1>
    </dataValidation>
    <dataValidation type="list" allowBlank="1" showInputMessage="1" showErrorMessage="1" sqref="C16:C49" xr:uid="{D9F5FC95-9D03-4370-8923-E65B2396DA20}">
      <formula1>Volet</formula1>
    </dataValidation>
    <dataValidation type="list" allowBlank="1" showInputMessage="1" showErrorMessage="1" sqref="E16:E49" xr:uid="{52EDD7A0-90D9-42FD-AADD-7CF5BC4BD6CC}">
      <formula1>Type_emission</formula1>
    </dataValidation>
    <dataValidation type="list" allowBlank="1" showInputMessage="1" showErrorMessage="1" sqref="D16:D49" xr:uid="{8E76CAC0-FD65-4D43-8DC8-AABAE49421CE}">
      <formula1>INDIRECT(C16)</formula1>
    </dataValidation>
    <dataValidation type="list" allowBlank="1" showInputMessage="1" showErrorMessage="1" sqref="F16:F49" xr:uid="{811B818F-7970-4A23-BE6F-DE6FED4029EF}">
      <formula1>Énergie_Biénergie</formula1>
    </dataValidation>
  </dataValidations>
  <printOptions horizontalCentered="1"/>
  <pageMargins left="0.39370078740157483" right="0.39370078740157483" top="0.39370078740157483" bottom="0.39370078740157483" header="0.31496062992125984" footer="0.31496062992125984"/>
  <pageSetup paperSize="5" orientation="portrait" r:id="rId1"/>
  <headerFooter>
    <oddFooter>&amp;L&amp;"Arial Narrow,Gras"&amp;8Ministère de l’Environnement, de la Lutte contre les changements climatiques, de la Faune et des Parcs&amp;R&amp;"Arial Narrow,Normal"&amp;8 2023-05-25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53" r:id="rId4" name="Button 85">
              <controlPr defaultSize="0" print="0" autoFill="0" autoPict="0" macro="[0]!Macro6">
                <anchor moveWithCells="1" sizeWithCells="1">
                  <from>
                    <xdr:col>0</xdr:col>
                    <xdr:colOff>0</xdr:colOff>
                    <xdr:row>5</xdr:row>
                    <xdr:rowOff>12700</xdr:rowOff>
                  </from>
                  <to>
                    <xdr:col>1</xdr:col>
                    <xdr:colOff>16211550</xdr:colOff>
                    <xdr:row>6</xdr:row>
                    <xdr:rowOff>1295400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85F6-7C8D-4646-9BAC-5FDF795DC4CA}">
  <sheetPr codeName="Feuil3">
    <tabColor rgb="FF00B0F0"/>
    <pageSetUpPr fitToPage="1"/>
  </sheetPr>
  <dimension ref="B1:EH1359"/>
  <sheetViews>
    <sheetView showGridLines="0" zoomScaleNormal="100" workbookViewId="0">
      <selection activeCell="N16" sqref="N16:U16"/>
    </sheetView>
  </sheetViews>
  <sheetFormatPr baseColWidth="10" defaultColWidth="11.453125" defaultRowHeight="14.5"/>
  <cols>
    <col min="1" max="2" width="2.7265625" style="300" customWidth="1"/>
    <col min="3" max="3" width="2.26953125" style="300" customWidth="1"/>
    <col min="4" max="4" width="3.453125" style="300" customWidth="1"/>
    <col min="5" max="5" width="0.7265625" style="300" customWidth="1"/>
    <col min="6" max="69" width="2.54296875" style="300" customWidth="1"/>
    <col min="70" max="70" width="4.453125" style="300" customWidth="1"/>
    <col min="71" max="71" width="13.7265625" style="300" customWidth="1"/>
    <col min="72" max="72" width="2.453125" style="300" customWidth="1"/>
    <col min="73" max="73" width="2.54296875" style="300" customWidth="1"/>
    <col min="74" max="81" width="2.54296875" style="300" hidden="1" customWidth="1"/>
    <col min="82" max="82" width="0" style="300" hidden="1" customWidth="1"/>
    <col min="83" max="138" width="11.453125" style="678"/>
    <col min="139" max="16384" width="11.453125" style="300"/>
  </cols>
  <sheetData>
    <row r="1" spans="2:138" ht="13.5" customHeight="1"/>
    <row r="2" spans="2:138" ht="26.25" customHeight="1">
      <c r="B2" s="417" t="s">
        <v>5529</v>
      </c>
      <c r="L2" s="679"/>
      <c r="M2" s="680"/>
      <c r="BV2" s="304"/>
    </row>
    <row r="3" spans="2:138" ht="18" customHeight="1">
      <c r="B3" s="418" t="s">
        <v>5524</v>
      </c>
      <c r="L3" s="679"/>
      <c r="M3" s="680"/>
      <c r="BV3" s="304"/>
    </row>
    <row r="4" spans="2:138" ht="18" customHeight="1">
      <c r="L4" s="679"/>
      <c r="M4" s="680"/>
      <c r="AU4" s="606"/>
      <c r="BV4" s="304"/>
    </row>
    <row r="5" spans="2:138" ht="12.75" customHeight="1">
      <c r="D5" s="304" t="s">
        <v>5640</v>
      </c>
      <c r="L5" s="679"/>
      <c r="M5" s="680"/>
      <c r="BV5" s="304"/>
    </row>
    <row r="6" spans="2:138" ht="3" customHeight="1">
      <c r="D6" s="304"/>
      <c r="L6" s="679"/>
      <c r="M6" s="680"/>
      <c r="BV6" s="304"/>
    </row>
    <row r="7" spans="2:138" ht="13.5" customHeight="1">
      <c r="D7" s="681" t="s">
        <v>5647</v>
      </c>
      <c r="L7" s="679"/>
      <c r="M7" s="680"/>
      <c r="BV7" s="304"/>
    </row>
    <row r="8" spans="2:138" s="682" customFormat="1" ht="11.25" customHeight="1" thickBot="1">
      <c r="D8" s="683"/>
      <c r="E8" s="683"/>
      <c r="F8" s="683"/>
      <c r="G8" s="683"/>
      <c r="H8" s="683"/>
      <c r="I8" s="683"/>
      <c r="J8" s="683"/>
      <c r="K8" s="683"/>
      <c r="L8" s="683"/>
      <c r="M8" s="683"/>
      <c r="N8" s="683"/>
      <c r="O8" s="683"/>
      <c r="P8" s="683"/>
      <c r="Q8" s="683"/>
      <c r="R8" s="683"/>
      <c r="S8" s="683"/>
      <c r="T8" s="683"/>
      <c r="U8" s="683"/>
      <c r="V8" s="683"/>
      <c r="W8" s="683"/>
      <c r="X8" s="683"/>
      <c r="Y8" s="683"/>
      <c r="Z8" s="683"/>
      <c r="AA8" s="683"/>
      <c r="AB8" s="683"/>
      <c r="AC8" s="683"/>
      <c r="AD8" s="683"/>
      <c r="AE8" s="683"/>
      <c r="AF8" s="683"/>
      <c r="AG8" s="683"/>
      <c r="AH8" s="683"/>
      <c r="AI8" s="683"/>
      <c r="AJ8" s="683"/>
      <c r="AK8" s="683"/>
      <c r="AL8" s="683"/>
      <c r="AM8" s="683"/>
      <c r="AN8" s="683"/>
      <c r="AO8" s="683"/>
      <c r="AP8" s="683"/>
      <c r="AQ8" s="683"/>
      <c r="AR8" s="683"/>
      <c r="AS8" s="683"/>
      <c r="AT8" s="683"/>
      <c r="BV8" s="684"/>
      <c r="CE8" s="685"/>
      <c r="CF8" s="685"/>
      <c r="CG8" s="685"/>
      <c r="CH8" s="685"/>
      <c r="CI8" s="685"/>
      <c r="CJ8" s="685"/>
      <c r="CK8" s="685"/>
      <c r="CL8" s="685"/>
      <c r="CM8" s="685"/>
      <c r="CN8" s="685"/>
      <c r="CO8" s="685"/>
      <c r="CP8" s="685"/>
      <c r="CQ8" s="685"/>
      <c r="CR8" s="685"/>
      <c r="CS8" s="685"/>
      <c r="CT8" s="685"/>
      <c r="CU8" s="685"/>
      <c r="CV8" s="685"/>
      <c r="CW8" s="685"/>
      <c r="CX8" s="685"/>
      <c r="CY8" s="685"/>
      <c r="CZ8" s="685"/>
      <c r="DA8" s="685"/>
      <c r="DB8" s="685"/>
      <c r="DC8" s="685"/>
      <c r="DD8" s="685"/>
      <c r="DE8" s="685"/>
      <c r="DF8" s="685"/>
      <c r="DG8" s="685"/>
      <c r="DH8" s="685"/>
      <c r="DI8" s="685"/>
      <c r="DJ8" s="685"/>
      <c r="DK8" s="685"/>
      <c r="DL8" s="685"/>
      <c r="DM8" s="685"/>
      <c r="DN8" s="685"/>
      <c r="DO8" s="685"/>
      <c r="DP8" s="685"/>
      <c r="DQ8" s="685"/>
      <c r="DR8" s="685"/>
      <c r="DS8" s="685"/>
      <c r="DT8" s="685"/>
      <c r="DU8" s="685"/>
      <c r="DV8" s="685"/>
      <c r="DW8" s="685"/>
      <c r="DX8" s="685"/>
      <c r="DY8" s="685"/>
      <c r="DZ8" s="685"/>
      <c r="EA8" s="685"/>
      <c r="EB8" s="685"/>
      <c r="EC8" s="685"/>
      <c r="ED8" s="685"/>
      <c r="EE8" s="685"/>
      <c r="EF8" s="685"/>
      <c r="EG8" s="685"/>
      <c r="EH8" s="685"/>
    </row>
    <row r="9" spans="2:138" ht="8.25" customHeight="1">
      <c r="C9" s="686"/>
      <c r="D9" s="1464" t="s">
        <v>4971</v>
      </c>
      <c r="E9" s="687"/>
      <c r="F9" s="688"/>
      <c r="G9" s="689"/>
      <c r="H9" s="689"/>
      <c r="I9" s="689"/>
      <c r="J9" s="690"/>
      <c r="K9" s="690"/>
      <c r="L9" s="690"/>
      <c r="M9" s="690"/>
      <c r="N9" s="690"/>
      <c r="O9" s="690"/>
      <c r="P9" s="690"/>
      <c r="Q9" s="690"/>
      <c r="R9" s="690"/>
      <c r="S9" s="690"/>
      <c r="T9" s="690"/>
      <c r="U9" s="690"/>
      <c r="V9" s="691"/>
      <c r="W9" s="1494" t="str">
        <f>IFERROR(_xlfn.XLOOKUP(N10,Data_calc!G37:G40,Data_calc!H37:H40),"")</f>
        <v xml:space="preserve"> </v>
      </c>
      <c r="X9" s="1494"/>
      <c r="Y9" s="1494"/>
      <c r="Z9" s="1494"/>
      <c r="AA9" s="1494"/>
      <c r="AB9" s="1494"/>
      <c r="AC9" s="1494"/>
      <c r="AD9" s="1494"/>
      <c r="AE9" s="1494"/>
      <c r="AF9" s="1494"/>
      <c r="AG9" s="1494"/>
      <c r="AH9" s="1494"/>
      <c r="AI9" s="1494"/>
      <c r="AJ9" s="1494"/>
      <c r="AK9" s="1494"/>
      <c r="AL9" s="1494"/>
      <c r="AM9" s="1494"/>
      <c r="AN9" s="1494"/>
      <c r="AO9" s="1494"/>
      <c r="AP9" s="1494"/>
      <c r="AQ9" s="1494"/>
      <c r="AR9" s="1494"/>
      <c r="AS9" s="1494"/>
      <c r="AT9" s="1494"/>
      <c r="AU9" s="1494"/>
      <c r="AV9" s="1494"/>
      <c r="AW9" s="1494"/>
      <c r="AX9" s="1494"/>
      <c r="AY9" s="1494"/>
      <c r="AZ9" s="1494"/>
      <c r="BA9" s="1494"/>
      <c r="BB9" s="1494"/>
      <c r="BC9" s="1494"/>
      <c r="BD9" s="1494"/>
      <c r="BE9" s="1494"/>
      <c r="BF9" s="1494"/>
      <c r="BG9" s="1494"/>
      <c r="BH9" s="1494"/>
      <c r="BI9" s="1494"/>
      <c r="BJ9" s="1494"/>
      <c r="BK9" s="1494"/>
      <c r="BL9" s="1494"/>
      <c r="BM9" s="1494"/>
      <c r="BN9" s="1494"/>
      <c r="BO9" s="1494"/>
      <c r="BP9" s="1494"/>
      <c r="BQ9" s="1494"/>
      <c r="BR9" s="1494"/>
      <c r="BS9" s="1494"/>
      <c r="BT9" s="692"/>
    </row>
    <row r="10" spans="2:138" ht="12.75" customHeight="1">
      <c r="D10" s="1465"/>
      <c r="E10" s="693"/>
      <c r="F10" s="694" t="s">
        <v>4970</v>
      </c>
      <c r="G10" s="694"/>
      <c r="H10" s="695"/>
      <c r="I10" s="695"/>
      <c r="J10" s="694"/>
      <c r="K10" s="695"/>
      <c r="L10" s="694"/>
      <c r="M10" s="695"/>
      <c r="N10" s="1443" t="s">
        <v>173</v>
      </c>
      <c r="O10" s="1444"/>
      <c r="P10" s="1444"/>
      <c r="Q10" s="1444"/>
      <c r="R10" s="1444"/>
      <c r="S10" s="1444"/>
      <c r="T10" s="1444"/>
      <c r="U10" s="1445"/>
      <c r="V10" s="696"/>
      <c r="W10" s="1495"/>
      <c r="X10" s="1495"/>
      <c r="Y10" s="1495"/>
      <c r="Z10" s="1495"/>
      <c r="AA10" s="1495"/>
      <c r="AB10" s="1495"/>
      <c r="AC10" s="1495"/>
      <c r="AD10" s="1495"/>
      <c r="AE10" s="1495"/>
      <c r="AF10" s="1495"/>
      <c r="AG10" s="1495"/>
      <c r="AH10" s="1495"/>
      <c r="AI10" s="1495"/>
      <c r="AJ10" s="1495"/>
      <c r="AK10" s="1495"/>
      <c r="AL10" s="1495"/>
      <c r="AM10" s="1495"/>
      <c r="AN10" s="1495"/>
      <c r="AO10" s="1495"/>
      <c r="AP10" s="1495"/>
      <c r="AQ10" s="1495"/>
      <c r="AR10" s="1495"/>
      <c r="AS10" s="1495"/>
      <c r="AT10" s="1495"/>
      <c r="AU10" s="1495"/>
      <c r="AV10" s="1495"/>
      <c r="AW10" s="1495"/>
      <c r="AX10" s="1495"/>
      <c r="AY10" s="1495"/>
      <c r="AZ10" s="1495"/>
      <c r="BA10" s="1495"/>
      <c r="BB10" s="1495"/>
      <c r="BC10" s="1495"/>
      <c r="BD10" s="1495"/>
      <c r="BE10" s="1495"/>
      <c r="BF10" s="1495"/>
      <c r="BG10" s="1495"/>
      <c r="BH10" s="1495"/>
      <c r="BI10" s="1495"/>
      <c r="BJ10" s="1495"/>
      <c r="BK10" s="1495"/>
      <c r="BL10" s="1495"/>
      <c r="BM10" s="1495"/>
      <c r="BN10" s="1495"/>
      <c r="BO10" s="1495"/>
      <c r="BP10" s="1495"/>
      <c r="BQ10" s="1495"/>
      <c r="BR10" s="1495"/>
      <c r="BS10" s="1495"/>
      <c r="BT10" s="697"/>
      <c r="BV10" s="304"/>
    </row>
    <row r="11" spans="2:138" ht="3" customHeight="1">
      <c r="C11" s="686"/>
      <c r="D11" s="1465"/>
      <c r="E11" s="698"/>
      <c r="F11" s="699"/>
      <c r="G11" s="699"/>
      <c r="H11" s="699"/>
      <c r="I11" s="699"/>
      <c r="J11" s="700"/>
      <c r="K11" s="700"/>
      <c r="L11" s="694"/>
      <c r="M11" s="700"/>
      <c r="N11" s="700"/>
      <c r="O11" s="700"/>
      <c r="P11" s="700"/>
      <c r="Q11" s="701"/>
      <c r="R11" s="701"/>
      <c r="S11" s="701"/>
      <c r="T11" s="701"/>
      <c r="U11" s="701"/>
      <c r="V11" s="696"/>
      <c r="W11" s="1495"/>
      <c r="X11" s="1495"/>
      <c r="Y11" s="1495"/>
      <c r="Z11" s="1495"/>
      <c r="AA11" s="1495"/>
      <c r="AB11" s="1495"/>
      <c r="AC11" s="1495"/>
      <c r="AD11" s="1495"/>
      <c r="AE11" s="1495"/>
      <c r="AF11" s="1495"/>
      <c r="AG11" s="1495"/>
      <c r="AH11" s="1495"/>
      <c r="AI11" s="1495"/>
      <c r="AJ11" s="1495"/>
      <c r="AK11" s="1495"/>
      <c r="AL11" s="1495"/>
      <c r="AM11" s="1495"/>
      <c r="AN11" s="1495"/>
      <c r="AO11" s="1495"/>
      <c r="AP11" s="1495"/>
      <c r="AQ11" s="1495"/>
      <c r="AR11" s="1495"/>
      <c r="AS11" s="1495"/>
      <c r="AT11" s="1495"/>
      <c r="AU11" s="1495"/>
      <c r="AV11" s="1495"/>
      <c r="AW11" s="1495"/>
      <c r="AX11" s="1495"/>
      <c r="AY11" s="1495"/>
      <c r="AZ11" s="1495"/>
      <c r="BA11" s="1495"/>
      <c r="BB11" s="1495"/>
      <c r="BC11" s="1495"/>
      <c r="BD11" s="1495"/>
      <c r="BE11" s="1495"/>
      <c r="BF11" s="1495"/>
      <c r="BG11" s="1495"/>
      <c r="BH11" s="1495"/>
      <c r="BI11" s="1495"/>
      <c r="BJ11" s="1495"/>
      <c r="BK11" s="1495"/>
      <c r="BL11" s="1495"/>
      <c r="BM11" s="1495"/>
      <c r="BN11" s="1495"/>
      <c r="BO11" s="1495"/>
      <c r="BP11" s="1495"/>
      <c r="BQ11" s="1495"/>
      <c r="BR11" s="1495"/>
      <c r="BS11" s="1495"/>
      <c r="BT11" s="697"/>
    </row>
    <row r="12" spans="2:138" ht="12.75" customHeight="1">
      <c r="D12" s="1465"/>
      <c r="E12" s="693"/>
      <c r="F12" s="694" t="s">
        <v>5380</v>
      </c>
      <c r="G12" s="694"/>
      <c r="H12" s="694"/>
      <c r="I12" s="694"/>
      <c r="J12" s="694"/>
      <c r="K12" s="694"/>
      <c r="L12" s="694"/>
      <c r="M12" s="694"/>
      <c r="N12" s="1443" t="s">
        <v>173</v>
      </c>
      <c r="O12" s="1444"/>
      <c r="P12" s="1444"/>
      <c r="Q12" s="1444"/>
      <c r="R12" s="1444"/>
      <c r="S12" s="1444"/>
      <c r="T12" s="1444"/>
      <c r="U12" s="1445"/>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c r="BB12" s="702"/>
      <c r="BC12" s="702"/>
      <c r="BD12" s="702"/>
      <c r="BE12" s="702"/>
      <c r="BF12" s="702"/>
      <c r="BG12" s="702"/>
      <c r="BH12" s="702"/>
      <c r="BI12" s="702"/>
      <c r="BJ12" s="702"/>
      <c r="BK12" s="702"/>
      <c r="BL12" s="702"/>
      <c r="BM12" s="702"/>
      <c r="BN12" s="702"/>
      <c r="BO12" s="702"/>
      <c r="BP12" s="702"/>
      <c r="BQ12" s="702"/>
      <c r="BR12" s="702"/>
      <c r="BS12" s="702"/>
      <c r="BT12" s="697"/>
      <c r="BV12" s="304"/>
    </row>
    <row r="13" spans="2:138" ht="3" customHeight="1">
      <c r="C13" s="686"/>
      <c r="D13" s="1465"/>
      <c r="E13" s="698"/>
      <c r="F13" s="699"/>
      <c r="G13" s="699"/>
      <c r="H13" s="699"/>
      <c r="I13" s="699"/>
      <c r="J13" s="700"/>
      <c r="K13" s="700"/>
      <c r="L13" s="694"/>
      <c r="M13" s="700"/>
      <c r="N13" s="700"/>
      <c r="O13" s="700"/>
      <c r="P13" s="700"/>
      <c r="Q13" s="701"/>
      <c r="R13" s="701"/>
      <c r="S13" s="701"/>
      <c r="T13" s="701"/>
      <c r="U13" s="701"/>
      <c r="V13" s="701"/>
      <c r="W13" s="701"/>
      <c r="X13" s="701"/>
      <c r="Y13" s="701"/>
      <c r="Z13" s="701"/>
      <c r="AA13" s="701"/>
      <c r="AB13" s="701"/>
      <c r="AC13" s="701"/>
      <c r="AD13" s="701"/>
      <c r="AE13" s="701"/>
      <c r="AF13" s="703"/>
      <c r="AG13" s="693"/>
      <c r="AH13" s="693"/>
      <c r="AI13" s="693"/>
      <c r="AJ13" s="693"/>
      <c r="AK13" s="693"/>
      <c r="AL13" s="693"/>
      <c r="AM13" s="693"/>
      <c r="AN13" s="693"/>
      <c r="AO13" s="693"/>
      <c r="AP13" s="693"/>
      <c r="AQ13" s="693"/>
      <c r="AR13" s="693"/>
      <c r="AS13" s="693"/>
      <c r="AT13" s="704"/>
      <c r="AU13" s="693"/>
      <c r="AV13" s="693"/>
      <c r="AW13" s="693"/>
      <c r="AX13" s="693"/>
      <c r="AY13" s="693"/>
      <c r="AZ13" s="693"/>
      <c r="BA13" s="693"/>
      <c r="BB13" s="693"/>
      <c r="BC13" s="693"/>
      <c r="BD13" s="693"/>
      <c r="BE13" s="693"/>
      <c r="BF13" s="693"/>
      <c r="BG13" s="693"/>
      <c r="BH13" s="693"/>
      <c r="BI13" s="693"/>
      <c r="BJ13" s="693"/>
      <c r="BK13" s="693"/>
      <c r="BL13" s="693"/>
      <c r="BM13" s="693"/>
      <c r="BN13" s="693"/>
      <c r="BO13" s="693"/>
      <c r="BP13" s="693"/>
      <c r="BQ13" s="693"/>
      <c r="BR13" s="693"/>
      <c r="BS13" s="693"/>
      <c r="BT13" s="697"/>
    </row>
    <row r="14" spans="2:138" ht="12.75" customHeight="1">
      <c r="D14" s="1465"/>
      <c r="E14" s="693"/>
      <c r="F14" s="694" t="s">
        <v>4969</v>
      </c>
      <c r="G14" s="694"/>
      <c r="H14" s="694"/>
      <c r="I14" s="694"/>
      <c r="J14" s="694"/>
      <c r="K14" s="694"/>
      <c r="L14" s="694"/>
      <c r="M14" s="694"/>
      <c r="N14" s="1443" t="s">
        <v>173</v>
      </c>
      <c r="O14" s="1444"/>
      <c r="P14" s="1444"/>
      <c r="Q14" s="1444"/>
      <c r="R14" s="1444"/>
      <c r="S14" s="1444"/>
      <c r="T14" s="1444"/>
      <c r="U14" s="1445"/>
      <c r="V14" s="694"/>
      <c r="W14" s="694" t="s">
        <v>5509</v>
      </c>
      <c r="X14" s="693"/>
      <c r="Y14" s="693"/>
      <c r="Z14" s="693"/>
      <c r="AA14" s="693"/>
      <c r="AB14" s="693"/>
      <c r="AC14" s="693"/>
      <c r="AD14" s="693"/>
      <c r="AE14" s="693"/>
      <c r="AF14" s="693"/>
      <c r="AG14" s="693"/>
      <c r="AH14" s="693"/>
      <c r="AI14" s="693"/>
      <c r="AJ14" s="693"/>
      <c r="AK14" s="693"/>
      <c r="AL14" s="693"/>
      <c r="AM14" s="693"/>
      <c r="AN14" s="693"/>
      <c r="AO14" s="693"/>
      <c r="AP14" s="693"/>
      <c r="AQ14" s="693"/>
      <c r="AR14" s="693"/>
      <c r="AS14" s="693"/>
      <c r="AT14" s="693"/>
      <c r="AU14" s="693"/>
      <c r="AV14" s="693"/>
      <c r="AW14" s="693"/>
      <c r="AX14" s="693"/>
      <c r="AY14" s="693"/>
      <c r="AZ14" s="693"/>
      <c r="BA14" s="693"/>
      <c r="BB14" s="693"/>
      <c r="BC14" s="693"/>
      <c r="BD14" s="693"/>
      <c r="BE14" s="693"/>
      <c r="BF14" s="693"/>
      <c r="BG14" s="693"/>
      <c r="BH14" s="693"/>
      <c r="BI14" s="693"/>
      <c r="BJ14" s="693"/>
      <c r="BK14" s="693"/>
      <c r="BL14" s="693"/>
      <c r="BM14" s="693"/>
      <c r="BN14" s="693"/>
      <c r="BO14" s="693"/>
      <c r="BP14" s="693"/>
      <c r="BQ14" s="693"/>
      <c r="BR14" s="693"/>
      <c r="BS14" s="693"/>
      <c r="BT14" s="697"/>
    </row>
    <row r="15" spans="2:138" ht="3" customHeight="1">
      <c r="C15" s="686"/>
      <c r="D15" s="1465"/>
      <c r="E15" s="698"/>
      <c r="F15" s="699"/>
      <c r="G15" s="699"/>
      <c r="H15" s="699"/>
      <c r="I15" s="699"/>
      <c r="J15" s="700"/>
      <c r="K15" s="700"/>
      <c r="L15" s="694"/>
      <c r="M15" s="700"/>
      <c r="N15" s="700"/>
      <c r="O15" s="700"/>
      <c r="P15" s="700"/>
      <c r="Q15" s="701"/>
      <c r="R15" s="701"/>
      <c r="S15" s="701"/>
      <c r="T15" s="701"/>
      <c r="U15" s="701"/>
      <c r="V15" s="701"/>
      <c r="W15" s="701"/>
      <c r="X15" s="701"/>
      <c r="Y15" s="701"/>
      <c r="Z15" s="701"/>
      <c r="AA15" s="701"/>
      <c r="AB15" s="701"/>
      <c r="AC15" s="701"/>
      <c r="AD15" s="701"/>
      <c r="AE15" s="701"/>
      <c r="AF15" s="703"/>
      <c r="AG15" s="693"/>
      <c r="AH15" s="693"/>
      <c r="AI15" s="693"/>
      <c r="AJ15" s="693"/>
      <c r="AK15" s="693"/>
      <c r="AL15" s="693"/>
      <c r="AM15" s="693"/>
      <c r="AN15" s="693"/>
      <c r="AO15" s="693"/>
      <c r="AP15" s="693"/>
      <c r="AQ15" s="693"/>
      <c r="AR15" s="693"/>
      <c r="AS15" s="693"/>
      <c r="AT15" s="704"/>
      <c r="AU15" s="693"/>
      <c r="AV15" s="693"/>
      <c r="AW15" s="693"/>
      <c r="AX15" s="693"/>
      <c r="AY15" s="693"/>
      <c r="AZ15" s="693"/>
      <c r="BA15" s="693"/>
      <c r="BB15" s="693"/>
      <c r="BC15" s="693"/>
      <c r="BD15" s="693"/>
      <c r="BE15" s="693"/>
      <c r="BF15" s="693"/>
      <c r="BG15" s="693"/>
      <c r="BH15" s="693"/>
      <c r="BI15" s="693"/>
      <c r="BJ15" s="693"/>
      <c r="BK15" s="693"/>
      <c r="BL15" s="693"/>
      <c r="BM15" s="693"/>
      <c r="BN15" s="693"/>
      <c r="BO15" s="693"/>
      <c r="BP15" s="693"/>
      <c r="BQ15" s="693"/>
      <c r="BR15" s="693"/>
      <c r="BS15" s="693"/>
      <c r="BT15" s="697"/>
    </row>
    <row r="16" spans="2:138" ht="12.75" customHeight="1">
      <c r="D16" s="1465"/>
      <c r="E16" s="693"/>
      <c r="F16" s="694" t="s">
        <v>4968</v>
      </c>
      <c r="G16" s="694"/>
      <c r="H16" s="694"/>
      <c r="I16" s="694"/>
      <c r="J16" s="694"/>
      <c r="K16" s="694"/>
      <c r="L16" s="694"/>
      <c r="M16" s="694"/>
      <c r="N16" s="1443" t="s">
        <v>173</v>
      </c>
      <c r="O16" s="1444"/>
      <c r="P16" s="1444"/>
      <c r="Q16" s="1444"/>
      <c r="R16" s="1444"/>
      <c r="S16" s="1444"/>
      <c r="T16" s="1444"/>
      <c r="U16" s="1445"/>
      <c r="V16" s="694"/>
      <c r="W16" s="694"/>
      <c r="X16" s="694"/>
      <c r="Y16" s="694"/>
      <c r="Z16" s="694"/>
      <c r="AA16" s="694"/>
      <c r="AB16" s="694"/>
      <c r="AC16" s="693"/>
      <c r="AD16" s="693"/>
      <c r="AE16" s="693"/>
      <c r="AF16" s="693"/>
      <c r="AG16" s="693"/>
      <c r="AH16" s="693"/>
      <c r="AI16" s="693"/>
      <c r="AJ16" s="693"/>
      <c r="AK16" s="693"/>
      <c r="AL16" s="693"/>
      <c r="AM16" s="693"/>
      <c r="AN16" s="693"/>
      <c r="AO16" s="693"/>
      <c r="AP16" s="693"/>
      <c r="AQ16" s="693"/>
      <c r="AR16" s="693"/>
      <c r="AS16" s="693"/>
      <c r="AT16" s="693"/>
      <c r="AU16" s="693"/>
      <c r="AV16" s="693"/>
      <c r="AW16" s="693"/>
      <c r="AX16" s="693"/>
      <c r="AY16" s="693"/>
      <c r="AZ16" s="693"/>
      <c r="BA16" s="693"/>
      <c r="BB16" s="693"/>
      <c r="BC16" s="693"/>
      <c r="BD16" s="693"/>
      <c r="BE16" s="693"/>
      <c r="BF16" s="693"/>
      <c r="BG16" s="693"/>
      <c r="BH16" s="693"/>
      <c r="BI16" s="693"/>
      <c r="BJ16" s="693"/>
      <c r="BK16" s="693"/>
      <c r="BL16" s="693"/>
      <c r="BM16" s="693"/>
      <c r="BN16" s="693"/>
      <c r="BO16" s="693"/>
      <c r="BP16" s="693"/>
      <c r="BQ16" s="693"/>
      <c r="BR16" s="693"/>
      <c r="BS16" s="693"/>
      <c r="BT16" s="697"/>
    </row>
    <row r="17" spans="3:74" ht="8.25" customHeight="1" thickBot="1">
      <c r="C17" s="686"/>
      <c r="D17" s="1466"/>
      <c r="E17" s="705"/>
      <c r="F17" s="706"/>
      <c r="G17" s="707"/>
      <c r="H17" s="707"/>
      <c r="I17" s="707"/>
      <c r="J17" s="708"/>
      <c r="K17" s="708"/>
      <c r="L17" s="708"/>
      <c r="M17" s="708"/>
      <c r="N17" s="708"/>
      <c r="O17" s="708"/>
      <c r="P17" s="708"/>
      <c r="Q17" s="708"/>
      <c r="R17" s="708"/>
      <c r="S17" s="708"/>
      <c r="T17" s="708"/>
      <c r="U17" s="708"/>
      <c r="V17" s="708"/>
      <c r="W17" s="708"/>
      <c r="X17" s="708"/>
      <c r="Y17" s="708"/>
      <c r="Z17" s="708"/>
      <c r="AA17" s="708"/>
      <c r="AB17" s="708"/>
      <c r="AC17" s="708"/>
      <c r="AD17" s="708"/>
      <c r="AE17" s="708"/>
      <c r="AF17" s="709"/>
      <c r="AG17" s="710"/>
      <c r="AH17" s="710"/>
      <c r="AI17" s="710"/>
      <c r="AJ17" s="710"/>
      <c r="AK17" s="710"/>
      <c r="AL17" s="710"/>
      <c r="AM17" s="710"/>
      <c r="AN17" s="710"/>
      <c r="AO17" s="710"/>
      <c r="AP17" s="710"/>
      <c r="AQ17" s="710"/>
      <c r="AR17" s="710"/>
      <c r="AS17" s="710"/>
      <c r="AT17" s="707"/>
      <c r="AU17" s="710"/>
      <c r="AV17" s="710"/>
      <c r="AW17" s="710"/>
      <c r="AX17" s="710"/>
      <c r="AY17" s="710"/>
      <c r="AZ17" s="710"/>
      <c r="BA17" s="710"/>
      <c r="BB17" s="710"/>
      <c r="BC17" s="710"/>
      <c r="BD17" s="710"/>
      <c r="BE17" s="710"/>
      <c r="BF17" s="710"/>
      <c r="BG17" s="710"/>
      <c r="BH17" s="710"/>
      <c r="BI17" s="710"/>
      <c r="BJ17" s="710"/>
      <c r="BK17" s="710"/>
      <c r="BL17" s="710"/>
      <c r="BM17" s="710"/>
      <c r="BN17" s="710"/>
      <c r="BO17" s="710"/>
      <c r="BP17" s="710"/>
      <c r="BQ17" s="710"/>
      <c r="BR17" s="710"/>
      <c r="BS17" s="710"/>
      <c r="BT17" s="711"/>
    </row>
    <row r="18" spans="3:74" ht="3.65" customHeight="1">
      <c r="C18" s="686"/>
      <c r="D18" s="1464" t="s">
        <v>4967</v>
      </c>
      <c r="E18" s="698"/>
      <c r="F18" s="699"/>
      <c r="G18" s="699"/>
      <c r="H18" s="699"/>
      <c r="I18" s="699"/>
      <c r="J18" s="700"/>
      <c r="K18" s="700"/>
      <c r="L18" s="694"/>
      <c r="M18" s="700"/>
      <c r="N18" s="700"/>
      <c r="O18" s="700"/>
      <c r="P18" s="700"/>
      <c r="Q18" s="701"/>
      <c r="R18" s="701"/>
      <c r="S18" s="701"/>
      <c r="T18" s="701"/>
      <c r="U18" s="701"/>
      <c r="V18" s="701"/>
      <c r="W18" s="701"/>
      <c r="X18" s="701"/>
      <c r="Y18" s="701"/>
      <c r="Z18" s="701"/>
      <c r="AA18" s="701"/>
      <c r="AB18" s="701"/>
      <c r="AC18" s="701"/>
      <c r="AD18" s="701"/>
      <c r="AE18" s="701"/>
      <c r="AF18" s="703"/>
      <c r="AG18" s="693"/>
      <c r="AH18" s="693"/>
      <c r="AI18" s="693"/>
      <c r="AJ18" s="693"/>
      <c r="AK18" s="693"/>
      <c r="AL18" s="693"/>
      <c r="AM18" s="693"/>
      <c r="AN18" s="693"/>
      <c r="AO18" s="693"/>
      <c r="AP18" s="693"/>
      <c r="AQ18" s="693"/>
      <c r="AR18" s="693"/>
      <c r="AS18" s="693"/>
      <c r="AT18" s="704"/>
      <c r="AU18" s="693"/>
      <c r="AV18" s="693"/>
      <c r="AW18" s="693"/>
      <c r="AX18" s="693"/>
      <c r="AY18" s="693"/>
      <c r="AZ18" s="693"/>
      <c r="BA18" s="693"/>
      <c r="BB18" s="693"/>
      <c r="BC18" s="693"/>
      <c r="BD18" s="693"/>
      <c r="BE18" s="693"/>
      <c r="BF18" s="693"/>
      <c r="BG18" s="693"/>
      <c r="BH18" s="693"/>
      <c r="BI18" s="693"/>
      <c r="BJ18" s="693"/>
      <c r="BK18" s="693"/>
      <c r="BL18" s="693"/>
      <c r="BM18" s="693"/>
      <c r="BN18" s="693"/>
      <c r="BO18" s="693"/>
      <c r="BP18" s="693"/>
      <c r="BQ18" s="693"/>
      <c r="BR18" s="693"/>
      <c r="BS18" s="693"/>
      <c r="BT18" s="697"/>
    </row>
    <row r="19" spans="3:74" ht="12.75" customHeight="1">
      <c r="D19" s="1465"/>
      <c r="E19" s="693"/>
      <c r="F19" s="1449" t="s">
        <v>4966</v>
      </c>
      <c r="G19" s="1449"/>
      <c r="H19" s="1449"/>
      <c r="I19" s="1449"/>
      <c r="J19" s="1449"/>
      <c r="K19" s="1449"/>
      <c r="L19" s="1449"/>
      <c r="M19" s="1449"/>
      <c r="N19" s="1449" t="s">
        <v>4965</v>
      </c>
      <c r="O19" s="1449"/>
      <c r="P19" s="1449"/>
      <c r="Q19" s="1449"/>
      <c r="R19" s="1449"/>
      <c r="S19" s="1449"/>
      <c r="T19" s="1449"/>
      <c r="U19" s="1449"/>
      <c r="V19" s="1449"/>
      <c r="W19" s="1449"/>
      <c r="X19" s="1449" t="s">
        <v>4964</v>
      </c>
      <c r="Y19" s="1449"/>
      <c r="Z19" s="1449"/>
      <c r="AA19" s="1449"/>
      <c r="AB19" s="1449"/>
      <c r="AC19" s="1449"/>
      <c r="AD19" s="1449"/>
      <c r="AE19" s="1449"/>
      <c r="AF19" s="1449"/>
      <c r="AG19" s="1449"/>
      <c r="AH19" s="1449" t="s">
        <v>4963</v>
      </c>
      <c r="AI19" s="1449"/>
      <c r="AJ19" s="1449"/>
      <c r="AK19" s="1449"/>
      <c r="AL19" s="1449"/>
      <c r="AM19" s="1449"/>
      <c r="AN19" s="1449"/>
      <c r="AO19" s="1449" t="s">
        <v>4949</v>
      </c>
      <c r="AP19" s="1449"/>
      <c r="AQ19" s="1449"/>
      <c r="AR19" s="1449" t="s">
        <v>4962</v>
      </c>
      <c r="AS19" s="1449"/>
      <c r="AT19" s="1449"/>
      <c r="AU19" s="1449"/>
      <c r="AV19" s="1449"/>
      <c r="AW19" s="1449" t="s">
        <v>5059</v>
      </c>
      <c r="AX19" s="1449"/>
      <c r="AY19" s="1449"/>
      <c r="AZ19" s="1449"/>
      <c r="BA19" s="693"/>
      <c r="BB19" s="693"/>
      <c r="BC19" s="693"/>
      <c r="BD19" s="693"/>
      <c r="BE19" s="693"/>
      <c r="BF19" s="693"/>
      <c r="BG19" s="693"/>
      <c r="BH19" s="693"/>
      <c r="BI19" s="693"/>
      <c r="BJ19" s="693"/>
      <c r="BK19" s="693"/>
      <c r="BL19" s="693"/>
      <c r="BM19" s="693"/>
      <c r="BN19" s="693"/>
      <c r="BO19" s="693"/>
      <c r="BP19" s="693"/>
      <c r="BQ19" s="693"/>
      <c r="BR19" s="693"/>
      <c r="BS19" s="693"/>
      <c r="BT19" s="697"/>
      <c r="BV19" s="304"/>
    </row>
    <row r="20" spans="3:74" ht="12.75" customHeight="1">
      <c r="D20" s="1465"/>
      <c r="E20" s="693"/>
      <c r="F20" s="1505" t="s">
        <v>173</v>
      </c>
      <c r="G20" s="1506"/>
      <c r="H20" s="1506"/>
      <c r="I20" s="1506"/>
      <c r="J20" s="1506"/>
      <c r="K20" s="1506"/>
      <c r="L20" s="1506"/>
      <c r="M20" s="1507"/>
      <c r="N20" s="1496"/>
      <c r="O20" s="1496"/>
      <c r="P20" s="1496"/>
      <c r="Q20" s="1496"/>
      <c r="R20" s="1496"/>
      <c r="S20" s="1496"/>
      <c r="T20" s="1496"/>
      <c r="U20" s="1496"/>
      <c r="V20" s="1496"/>
      <c r="W20" s="1496"/>
      <c r="X20" s="1496"/>
      <c r="Y20" s="1496"/>
      <c r="Z20" s="1496"/>
      <c r="AA20" s="1496"/>
      <c r="AB20" s="1496"/>
      <c r="AC20" s="1496"/>
      <c r="AD20" s="1496"/>
      <c r="AE20" s="1496"/>
      <c r="AF20" s="1496"/>
      <c r="AG20" s="1496"/>
      <c r="AH20" s="1496" t="s">
        <v>173</v>
      </c>
      <c r="AI20" s="1496"/>
      <c r="AJ20" s="1496"/>
      <c r="AK20" s="1496"/>
      <c r="AL20" s="1496"/>
      <c r="AM20" s="1496"/>
      <c r="AN20" s="1496"/>
      <c r="AO20" s="1488"/>
      <c r="AP20" s="1488"/>
      <c r="AQ20" s="1488"/>
      <c r="AR20" s="1501"/>
      <c r="AS20" s="1501"/>
      <c r="AT20" s="1501"/>
      <c r="AU20" s="1501"/>
      <c r="AV20" s="1501"/>
      <c r="AW20" s="1499"/>
      <c r="AX20" s="1499"/>
      <c r="AY20" s="1499"/>
      <c r="AZ20" s="1500"/>
      <c r="BA20" s="693"/>
      <c r="BB20" s="693"/>
      <c r="BC20" s="693"/>
      <c r="BD20" s="693"/>
      <c r="BE20" s="693"/>
      <c r="BF20" s="693"/>
      <c r="BG20" s="693"/>
      <c r="BH20" s="693"/>
      <c r="BI20" s="693"/>
      <c r="BJ20" s="693"/>
      <c r="BK20" s="693"/>
      <c r="BL20" s="693"/>
      <c r="BM20" s="693"/>
      <c r="BN20" s="693"/>
      <c r="BO20" s="693"/>
      <c r="BP20" s="693"/>
      <c r="BQ20" s="693"/>
      <c r="BR20" s="693"/>
      <c r="BS20" s="693"/>
      <c r="BT20" s="697"/>
      <c r="BV20" s="304"/>
    </row>
    <row r="21" spans="3:74" ht="12.75" customHeight="1">
      <c r="D21" s="1465"/>
      <c r="E21" s="693"/>
      <c r="F21" s="1492" t="s">
        <v>173</v>
      </c>
      <c r="G21" s="1493"/>
      <c r="H21" s="1493"/>
      <c r="I21" s="1493"/>
      <c r="J21" s="1493"/>
      <c r="K21" s="1493"/>
      <c r="L21" s="1493"/>
      <c r="M21" s="1493"/>
      <c r="N21" s="1451"/>
      <c r="O21" s="1451"/>
      <c r="P21" s="1451"/>
      <c r="Q21" s="1451"/>
      <c r="R21" s="1451"/>
      <c r="S21" s="1451"/>
      <c r="T21" s="1451"/>
      <c r="U21" s="1451"/>
      <c r="V21" s="1451"/>
      <c r="W21" s="1451"/>
      <c r="X21" s="1451"/>
      <c r="Y21" s="1451"/>
      <c r="Z21" s="1451"/>
      <c r="AA21" s="1451"/>
      <c r="AB21" s="1451"/>
      <c r="AC21" s="1451"/>
      <c r="AD21" s="1451"/>
      <c r="AE21" s="1451"/>
      <c r="AF21" s="1451"/>
      <c r="AG21" s="1451"/>
      <c r="AH21" s="1451" t="s">
        <v>173</v>
      </c>
      <c r="AI21" s="1451"/>
      <c r="AJ21" s="1451"/>
      <c r="AK21" s="1451"/>
      <c r="AL21" s="1451"/>
      <c r="AM21" s="1451"/>
      <c r="AN21" s="1451"/>
      <c r="AO21" s="1508"/>
      <c r="AP21" s="1508"/>
      <c r="AQ21" s="1508"/>
      <c r="AR21" s="1467"/>
      <c r="AS21" s="1467"/>
      <c r="AT21" s="1467"/>
      <c r="AU21" s="1467"/>
      <c r="AV21" s="1467"/>
      <c r="AW21" s="1497"/>
      <c r="AX21" s="1497"/>
      <c r="AY21" s="1497"/>
      <c r="AZ21" s="1498"/>
      <c r="BA21" s="693"/>
      <c r="BB21" s="693"/>
      <c r="BC21" s="693"/>
      <c r="BD21" s="693"/>
      <c r="BE21" s="693"/>
      <c r="BF21" s="693"/>
      <c r="BG21" s="693"/>
      <c r="BH21" s="693"/>
      <c r="BI21" s="693"/>
      <c r="BJ21" s="693"/>
      <c r="BK21" s="693"/>
      <c r="BL21" s="693"/>
      <c r="BM21" s="693"/>
      <c r="BN21" s="693"/>
      <c r="BO21" s="693"/>
      <c r="BP21" s="693"/>
      <c r="BQ21" s="693"/>
      <c r="BR21" s="693"/>
      <c r="BS21" s="693"/>
      <c r="BT21" s="697"/>
    </row>
    <row r="22" spans="3:74" ht="12.75" customHeight="1">
      <c r="D22" s="1465"/>
      <c r="E22" s="693"/>
      <c r="F22" s="1492" t="s">
        <v>173</v>
      </c>
      <c r="G22" s="1493"/>
      <c r="H22" s="1493"/>
      <c r="I22" s="1493"/>
      <c r="J22" s="1493"/>
      <c r="K22" s="1493"/>
      <c r="L22" s="1493"/>
      <c r="M22" s="1493"/>
      <c r="N22" s="1451"/>
      <c r="O22" s="1451"/>
      <c r="P22" s="1451"/>
      <c r="Q22" s="1451"/>
      <c r="R22" s="1451"/>
      <c r="S22" s="1451"/>
      <c r="T22" s="1451"/>
      <c r="U22" s="1451"/>
      <c r="V22" s="1451"/>
      <c r="W22" s="1451"/>
      <c r="X22" s="1451"/>
      <c r="Y22" s="1451"/>
      <c r="Z22" s="1451"/>
      <c r="AA22" s="1451"/>
      <c r="AB22" s="1451"/>
      <c r="AC22" s="1451"/>
      <c r="AD22" s="1451"/>
      <c r="AE22" s="1451"/>
      <c r="AF22" s="1451"/>
      <c r="AG22" s="1451"/>
      <c r="AH22" s="1451" t="s">
        <v>173</v>
      </c>
      <c r="AI22" s="1451"/>
      <c r="AJ22" s="1451"/>
      <c r="AK22" s="1451"/>
      <c r="AL22" s="1451"/>
      <c r="AM22" s="1451"/>
      <c r="AN22" s="1451"/>
      <c r="AO22" s="1508"/>
      <c r="AP22" s="1508"/>
      <c r="AQ22" s="1508"/>
      <c r="AR22" s="1467"/>
      <c r="AS22" s="1467"/>
      <c r="AT22" s="1467"/>
      <c r="AU22" s="1467"/>
      <c r="AV22" s="1467"/>
      <c r="AW22" s="1497"/>
      <c r="AX22" s="1497"/>
      <c r="AY22" s="1497"/>
      <c r="AZ22" s="1498"/>
      <c r="BA22" s="693"/>
      <c r="BB22" s="693"/>
      <c r="BC22" s="693"/>
      <c r="BD22" s="693"/>
      <c r="BE22" s="693"/>
      <c r="BF22" s="693"/>
      <c r="BG22" s="693"/>
      <c r="BH22" s="693"/>
      <c r="BI22" s="693"/>
      <c r="BJ22" s="693"/>
      <c r="BK22" s="693"/>
      <c r="BL22" s="693"/>
      <c r="BM22" s="693"/>
      <c r="BN22" s="693"/>
      <c r="BO22" s="693"/>
      <c r="BP22" s="693"/>
      <c r="BQ22" s="693"/>
      <c r="BR22" s="693"/>
      <c r="BS22" s="693"/>
      <c r="BT22" s="697"/>
    </row>
    <row r="23" spans="3:74" ht="12.75" customHeight="1">
      <c r="D23" s="1465"/>
      <c r="E23" s="693"/>
      <c r="F23" s="1492" t="s">
        <v>173</v>
      </c>
      <c r="G23" s="1493"/>
      <c r="H23" s="1493"/>
      <c r="I23" s="1493"/>
      <c r="J23" s="1493"/>
      <c r="K23" s="1493"/>
      <c r="L23" s="1493"/>
      <c r="M23" s="1493"/>
      <c r="N23" s="1451"/>
      <c r="O23" s="1451"/>
      <c r="P23" s="1451"/>
      <c r="Q23" s="1451"/>
      <c r="R23" s="1451"/>
      <c r="S23" s="1451"/>
      <c r="T23" s="1451"/>
      <c r="U23" s="1451"/>
      <c r="V23" s="1451"/>
      <c r="W23" s="1451"/>
      <c r="X23" s="1451"/>
      <c r="Y23" s="1451"/>
      <c r="Z23" s="1451"/>
      <c r="AA23" s="1451"/>
      <c r="AB23" s="1451"/>
      <c r="AC23" s="1451"/>
      <c r="AD23" s="1451"/>
      <c r="AE23" s="1451"/>
      <c r="AF23" s="1451"/>
      <c r="AG23" s="1451"/>
      <c r="AH23" s="1451" t="s">
        <v>173</v>
      </c>
      <c r="AI23" s="1451"/>
      <c r="AJ23" s="1451"/>
      <c r="AK23" s="1451"/>
      <c r="AL23" s="1451"/>
      <c r="AM23" s="1451"/>
      <c r="AN23" s="1451"/>
      <c r="AO23" s="1508"/>
      <c r="AP23" s="1508"/>
      <c r="AQ23" s="1508"/>
      <c r="AR23" s="1467"/>
      <c r="AS23" s="1467"/>
      <c r="AT23" s="1467"/>
      <c r="AU23" s="1467"/>
      <c r="AV23" s="1467"/>
      <c r="AW23" s="1497"/>
      <c r="AX23" s="1497"/>
      <c r="AY23" s="1497"/>
      <c r="AZ23" s="1498"/>
      <c r="BA23" s="693"/>
      <c r="BB23" s="693"/>
      <c r="BC23" s="693"/>
      <c r="BD23" s="693"/>
      <c r="BE23" s="693"/>
      <c r="BF23" s="693"/>
      <c r="BG23" s="693"/>
      <c r="BH23" s="693"/>
      <c r="BI23" s="693"/>
      <c r="BJ23" s="693"/>
      <c r="BK23" s="693"/>
      <c r="BL23" s="693"/>
      <c r="BM23" s="693"/>
      <c r="BN23" s="693"/>
      <c r="BO23" s="693"/>
      <c r="BP23" s="693"/>
      <c r="BQ23" s="693"/>
      <c r="BR23" s="693"/>
      <c r="BS23" s="693"/>
      <c r="BT23" s="697"/>
    </row>
    <row r="24" spans="3:74" ht="12.75" customHeight="1">
      <c r="D24" s="1465"/>
      <c r="E24" s="693"/>
      <c r="F24" s="1490" t="s">
        <v>173</v>
      </c>
      <c r="G24" s="1491"/>
      <c r="H24" s="1491"/>
      <c r="I24" s="1491"/>
      <c r="J24" s="1491"/>
      <c r="K24" s="1491"/>
      <c r="L24" s="1491"/>
      <c r="M24" s="1491"/>
      <c r="N24" s="1450"/>
      <c r="O24" s="1450"/>
      <c r="P24" s="1450"/>
      <c r="Q24" s="1450"/>
      <c r="R24" s="1450"/>
      <c r="S24" s="1450"/>
      <c r="T24" s="1450"/>
      <c r="U24" s="1450"/>
      <c r="V24" s="1450"/>
      <c r="W24" s="1450"/>
      <c r="X24" s="1450"/>
      <c r="Y24" s="1450"/>
      <c r="Z24" s="1450"/>
      <c r="AA24" s="1450"/>
      <c r="AB24" s="1450"/>
      <c r="AC24" s="1450"/>
      <c r="AD24" s="1450"/>
      <c r="AE24" s="1450"/>
      <c r="AF24" s="1450"/>
      <c r="AG24" s="1450"/>
      <c r="AH24" s="1450" t="s">
        <v>173</v>
      </c>
      <c r="AI24" s="1450"/>
      <c r="AJ24" s="1450"/>
      <c r="AK24" s="1450"/>
      <c r="AL24" s="1450"/>
      <c r="AM24" s="1450"/>
      <c r="AN24" s="1450"/>
      <c r="AO24" s="1504"/>
      <c r="AP24" s="1504"/>
      <c r="AQ24" s="1504"/>
      <c r="AR24" s="1513"/>
      <c r="AS24" s="1513"/>
      <c r="AT24" s="1513"/>
      <c r="AU24" s="1513"/>
      <c r="AV24" s="1513"/>
      <c r="AW24" s="1502"/>
      <c r="AX24" s="1502"/>
      <c r="AY24" s="1502"/>
      <c r="AZ24" s="1503"/>
      <c r="BA24" s="693"/>
      <c r="BB24" s="693"/>
      <c r="BC24" s="693"/>
      <c r="BD24" s="693"/>
      <c r="BE24" s="693"/>
      <c r="BF24" s="693"/>
      <c r="BG24" s="693"/>
      <c r="BH24" s="693"/>
      <c r="BI24" s="693"/>
      <c r="BJ24" s="693"/>
      <c r="BK24" s="693"/>
      <c r="BL24" s="693"/>
      <c r="BM24" s="693"/>
      <c r="BN24" s="693"/>
      <c r="BO24" s="693"/>
      <c r="BP24" s="693"/>
      <c r="BQ24" s="693"/>
      <c r="BR24" s="693"/>
      <c r="BS24" s="693"/>
      <c r="BT24" s="697"/>
    </row>
    <row r="25" spans="3:74" ht="3" customHeight="1">
      <c r="C25" s="686"/>
      <c r="D25" s="1465"/>
      <c r="E25" s="698"/>
      <c r="F25" s="699"/>
      <c r="G25" s="699"/>
      <c r="H25" s="699"/>
      <c r="I25" s="699"/>
      <c r="J25" s="700"/>
      <c r="K25" s="700"/>
      <c r="L25" s="694"/>
      <c r="M25" s="700"/>
      <c r="N25" s="700"/>
      <c r="O25" s="700"/>
      <c r="P25" s="700"/>
      <c r="Q25" s="701"/>
      <c r="R25" s="701"/>
      <c r="S25" s="701"/>
      <c r="T25" s="701"/>
      <c r="U25" s="701"/>
      <c r="V25" s="701"/>
      <c r="W25" s="701"/>
      <c r="X25" s="701"/>
      <c r="Y25" s="701"/>
      <c r="Z25" s="701"/>
      <c r="AA25" s="701"/>
      <c r="AB25" s="701"/>
      <c r="AC25" s="701"/>
      <c r="AD25" s="701"/>
      <c r="AE25" s="701"/>
      <c r="AF25" s="703"/>
      <c r="AG25" s="693"/>
      <c r="AH25" s="693"/>
      <c r="AI25" s="693"/>
      <c r="AJ25" s="693"/>
      <c r="AK25" s="693"/>
      <c r="AL25" s="693"/>
      <c r="AM25" s="693"/>
      <c r="AN25" s="693"/>
      <c r="AO25" s="693"/>
      <c r="AP25" s="693"/>
      <c r="AQ25" s="693"/>
      <c r="AR25" s="693"/>
      <c r="AS25" s="693"/>
      <c r="AT25" s="704"/>
      <c r="AU25" s="693"/>
      <c r="AV25" s="693"/>
      <c r="AW25" s="693"/>
      <c r="AX25" s="693"/>
      <c r="AY25" s="693"/>
      <c r="AZ25" s="693"/>
      <c r="BA25" s="693"/>
      <c r="BB25" s="693"/>
      <c r="BC25" s="693"/>
      <c r="BD25" s="693"/>
      <c r="BE25" s="693"/>
      <c r="BF25" s="693"/>
      <c r="BG25" s="693"/>
      <c r="BH25" s="693"/>
      <c r="BI25" s="693"/>
      <c r="BJ25" s="693"/>
      <c r="BK25" s="693"/>
      <c r="BL25" s="693"/>
      <c r="BM25" s="693"/>
      <c r="BN25" s="693"/>
      <c r="BO25" s="693"/>
      <c r="BP25" s="693"/>
      <c r="BQ25" s="693"/>
      <c r="BR25" s="693"/>
      <c r="BS25" s="693"/>
      <c r="BT25" s="697"/>
    </row>
    <row r="26" spans="3:74" ht="3" customHeight="1">
      <c r="C26" s="686"/>
      <c r="D26" s="1465"/>
      <c r="E26" s="698"/>
      <c r="F26" s="699"/>
      <c r="G26" s="699"/>
      <c r="H26" s="699"/>
      <c r="I26" s="699"/>
      <c r="J26" s="700"/>
      <c r="K26" s="700"/>
      <c r="L26" s="694"/>
      <c r="M26" s="700"/>
      <c r="N26" s="700"/>
      <c r="O26" s="700"/>
      <c r="P26" s="700"/>
      <c r="Q26" s="701"/>
      <c r="R26" s="701"/>
      <c r="S26" s="701"/>
      <c r="T26" s="701"/>
      <c r="U26" s="701"/>
      <c r="V26" s="701"/>
      <c r="W26" s="701"/>
      <c r="X26" s="701"/>
      <c r="Y26" s="701"/>
      <c r="Z26" s="701"/>
      <c r="AA26" s="701"/>
      <c r="AB26" s="701"/>
      <c r="AC26" s="701"/>
      <c r="AD26" s="701"/>
      <c r="AE26" s="701"/>
      <c r="AF26" s="703"/>
      <c r="AG26" s="693"/>
      <c r="AH26" s="693"/>
      <c r="AI26" s="693"/>
      <c r="AJ26" s="693"/>
      <c r="AK26" s="693"/>
      <c r="AL26" s="693"/>
      <c r="AM26" s="693"/>
      <c r="AN26" s="693"/>
      <c r="AO26" s="693"/>
      <c r="AP26" s="693"/>
      <c r="AQ26" s="693"/>
      <c r="AR26" s="693"/>
      <c r="AS26" s="693"/>
      <c r="AT26" s="704"/>
      <c r="AU26" s="693"/>
      <c r="AV26" s="693"/>
      <c r="AW26" s="693"/>
      <c r="AX26" s="693"/>
      <c r="AY26" s="693"/>
      <c r="AZ26" s="693"/>
      <c r="BA26" s="693"/>
      <c r="BB26" s="693"/>
      <c r="BC26" s="693"/>
      <c r="BD26" s="693"/>
      <c r="BE26" s="693"/>
      <c r="BF26" s="693"/>
      <c r="BG26" s="693"/>
      <c r="BH26" s="693"/>
      <c r="BI26" s="693"/>
      <c r="BJ26" s="693"/>
      <c r="BK26" s="693"/>
      <c r="BL26" s="693"/>
      <c r="BM26" s="693"/>
      <c r="BN26" s="693"/>
      <c r="BO26" s="693"/>
      <c r="BP26" s="693"/>
      <c r="BQ26" s="693"/>
      <c r="BR26" s="693"/>
      <c r="BS26" s="693"/>
      <c r="BT26" s="697"/>
    </row>
    <row r="27" spans="3:74" ht="12.75" customHeight="1">
      <c r="D27" s="1465"/>
      <c r="E27" s="693"/>
      <c r="F27" s="695" t="s">
        <v>5451</v>
      </c>
      <c r="G27" s="694"/>
      <c r="H27" s="694"/>
      <c r="I27" s="694"/>
      <c r="J27" s="694"/>
      <c r="K27" s="694"/>
      <c r="L27" s="700"/>
      <c r="M27" s="700"/>
      <c r="N27" s="712"/>
      <c r="O27" s="712"/>
      <c r="P27" s="712"/>
      <c r="Q27" s="712"/>
      <c r="R27" s="712"/>
      <c r="S27" s="712"/>
      <c r="T27" s="712"/>
      <c r="U27" s="712"/>
      <c r="V27" s="712"/>
      <c r="W27" s="712"/>
      <c r="X27" s="712"/>
      <c r="Y27" s="712"/>
      <c r="Z27" s="712"/>
      <c r="AA27" s="712"/>
      <c r="AB27" s="712"/>
      <c r="AC27" s="712"/>
      <c r="AD27" s="712"/>
      <c r="AE27" s="712"/>
      <c r="AF27" s="712"/>
      <c r="AG27" s="712"/>
      <c r="AH27" s="712"/>
      <c r="AI27" s="712"/>
      <c r="AJ27" s="712"/>
      <c r="AK27" s="712"/>
      <c r="AL27" s="712"/>
      <c r="AM27" s="712"/>
      <c r="AN27" s="712"/>
      <c r="AO27" s="713"/>
      <c r="AP27" s="713"/>
      <c r="AQ27" s="713"/>
      <c r="AR27" s="713"/>
      <c r="AS27" s="713"/>
      <c r="AT27" s="713"/>
      <c r="AU27" s="713"/>
      <c r="AV27" s="713"/>
      <c r="AW27" s="713"/>
      <c r="AX27" s="713"/>
      <c r="AY27" s="713"/>
      <c r="AZ27" s="713"/>
      <c r="BA27" s="693"/>
      <c r="BB27" s="693"/>
      <c r="BC27" s="693"/>
      <c r="BD27" s="693"/>
      <c r="BE27" s="693"/>
      <c r="BF27" s="693"/>
      <c r="BG27" s="693"/>
      <c r="BH27" s="693"/>
      <c r="BI27" s="693"/>
      <c r="BJ27" s="693"/>
      <c r="BK27" s="693"/>
      <c r="BL27" s="693"/>
      <c r="BM27" s="693"/>
      <c r="BN27" s="693"/>
      <c r="BO27" s="693"/>
      <c r="BP27" s="693"/>
      <c r="BQ27" s="693"/>
      <c r="BR27" s="693"/>
      <c r="BS27" s="693"/>
      <c r="BT27" s="697"/>
    </row>
    <row r="28" spans="3:74" ht="12.75" customHeight="1">
      <c r="D28" s="1465"/>
      <c r="E28" s="693"/>
      <c r="F28" s="752" t="s">
        <v>5384</v>
      </c>
      <c r="G28" s="753"/>
      <c r="H28" s="754"/>
      <c r="I28" s="754"/>
      <c r="J28" s="754"/>
      <c r="K28" s="753"/>
      <c r="L28" s="755"/>
      <c r="M28" s="755"/>
      <c r="N28" s="756"/>
      <c r="O28" s="753"/>
      <c r="P28" s="753"/>
      <c r="Q28" s="756"/>
      <c r="R28" s="712"/>
      <c r="S28" s="693"/>
      <c r="T28" s="712"/>
      <c r="U28" s="484"/>
      <c r="V28" s="712"/>
      <c r="W28" s="712"/>
      <c r="X28" s="712"/>
      <c r="Y28" s="712"/>
      <c r="Z28" s="712"/>
      <c r="AA28" s="712"/>
      <c r="AB28" s="712"/>
      <c r="AC28" s="712"/>
      <c r="AD28" s="712"/>
      <c r="AE28" s="712"/>
      <c r="AF28" s="712"/>
      <c r="AG28" s="712"/>
      <c r="AH28" s="712"/>
      <c r="AI28" s="712"/>
      <c r="AJ28" s="712"/>
      <c r="AK28" s="712"/>
      <c r="AL28" s="712"/>
      <c r="AM28" s="712"/>
      <c r="AN28" s="712"/>
      <c r="AO28" s="713"/>
      <c r="AP28" s="713"/>
      <c r="AQ28" s="713"/>
      <c r="AR28" s="713"/>
      <c r="AS28" s="713"/>
      <c r="AT28" s="713"/>
      <c r="AU28" s="713"/>
      <c r="AV28" s="713"/>
      <c r="AW28" s="713"/>
      <c r="AX28" s="713"/>
      <c r="AY28" s="713"/>
      <c r="AZ28" s="713"/>
      <c r="BA28" s="693"/>
      <c r="BB28" s="693"/>
      <c r="BC28" s="693"/>
      <c r="BD28" s="693"/>
      <c r="BE28" s="693"/>
      <c r="BF28" s="693"/>
      <c r="BG28" s="693"/>
      <c r="BH28" s="693"/>
      <c r="BI28" s="693"/>
      <c r="BJ28" s="693"/>
      <c r="BK28" s="693"/>
      <c r="BL28" s="693"/>
      <c r="BM28" s="693"/>
      <c r="BN28" s="693"/>
      <c r="BO28" s="693"/>
      <c r="BP28" s="693"/>
      <c r="BQ28" s="693"/>
      <c r="BR28" s="693"/>
      <c r="BS28" s="693"/>
      <c r="BT28" s="697"/>
    </row>
    <row r="29" spans="3:74" ht="12.75" customHeight="1">
      <c r="D29" s="1465"/>
      <c r="E29" s="693"/>
      <c r="F29" s="694"/>
      <c r="G29" s="693"/>
      <c r="H29" s="694"/>
      <c r="I29" s="694"/>
      <c r="J29" s="693"/>
      <c r="K29" s="693"/>
      <c r="L29" s="700"/>
      <c r="M29" s="700"/>
      <c r="N29" s="712"/>
      <c r="O29" s="712"/>
      <c r="P29" s="483"/>
      <c r="Q29" s="693"/>
      <c r="R29" s="712"/>
      <c r="S29" s="712"/>
      <c r="T29" s="693"/>
      <c r="U29" s="484"/>
      <c r="V29" s="712"/>
      <c r="W29" s="712"/>
      <c r="X29" s="712"/>
      <c r="Y29" s="712"/>
      <c r="Z29" s="712"/>
      <c r="AA29" s="712"/>
      <c r="AB29" s="712"/>
      <c r="AC29" s="712"/>
      <c r="AD29" s="712"/>
      <c r="AE29" s="712"/>
      <c r="AF29" s="712"/>
      <c r="AG29" s="712"/>
      <c r="AH29" s="712"/>
      <c r="AI29" s="712"/>
      <c r="AJ29" s="712"/>
      <c r="AK29" s="712"/>
      <c r="AL29" s="712"/>
      <c r="AM29" s="712"/>
      <c r="AN29" s="712"/>
      <c r="AO29" s="713"/>
      <c r="AP29" s="713"/>
      <c r="AQ29" s="713"/>
      <c r="AR29" s="713"/>
      <c r="AS29" s="713"/>
      <c r="AT29" s="713"/>
      <c r="AU29" s="713"/>
      <c r="AV29" s="713"/>
      <c r="AW29" s="713"/>
      <c r="AX29" s="713"/>
      <c r="AY29" s="713"/>
      <c r="AZ29" s="713"/>
      <c r="BA29" s="693"/>
      <c r="BB29" s="693"/>
      <c r="BC29" s="693"/>
      <c r="BD29" s="693"/>
      <c r="BE29" s="693"/>
      <c r="BF29" s="693"/>
      <c r="BG29" s="693"/>
      <c r="BH29" s="693"/>
      <c r="BI29" s="693"/>
      <c r="BJ29" s="693"/>
      <c r="BK29" s="693"/>
      <c r="BL29" s="693"/>
      <c r="BM29" s="693"/>
      <c r="BN29" s="693"/>
      <c r="BO29" s="693"/>
      <c r="BP29" s="693"/>
      <c r="BQ29" s="693"/>
      <c r="BR29" s="693"/>
      <c r="BS29" s="693"/>
      <c r="BT29" s="697"/>
    </row>
    <row r="30" spans="3:74" ht="12.75" customHeight="1">
      <c r="D30" s="1465"/>
      <c r="E30" s="693"/>
      <c r="F30" s="694"/>
      <c r="G30" s="694"/>
      <c r="H30" s="694"/>
      <c r="I30" s="694"/>
      <c r="J30" s="693"/>
      <c r="K30" s="693"/>
      <c r="L30" s="700"/>
      <c r="M30" s="700"/>
      <c r="N30" s="712"/>
      <c r="O30" s="712"/>
      <c r="P30" s="483"/>
      <c r="Q30" s="693"/>
      <c r="R30" s="712"/>
      <c r="S30" s="712"/>
      <c r="T30" s="693"/>
      <c r="U30" s="484"/>
      <c r="V30" s="712"/>
      <c r="W30" s="712"/>
      <c r="X30" s="712"/>
      <c r="Y30" s="712"/>
      <c r="Z30" s="712"/>
      <c r="AA30" s="712"/>
      <c r="AB30" s="712"/>
      <c r="AC30" s="712"/>
      <c r="AD30" s="712"/>
      <c r="AE30" s="712"/>
      <c r="AF30" s="712"/>
      <c r="AG30" s="712"/>
      <c r="AH30" s="712"/>
      <c r="AI30" s="712"/>
      <c r="AJ30" s="712"/>
      <c r="AK30" s="712"/>
      <c r="AL30" s="712"/>
      <c r="AM30" s="712"/>
      <c r="AN30" s="712"/>
      <c r="AO30" s="713"/>
      <c r="AP30" s="713"/>
      <c r="AQ30" s="713"/>
      <c r="AR30" s="713"/>
      <c r="AS30" s="713"/>
      <c r="AT30" s="713"/>
      <c r="AU30" s="713"/>
      <c r="AV30" s="713"/>
      <c r="AW30" s="713"/>
      <c r="AX30" s="713"/>
      <c r="AY30" s="713"/>
      <c r="AZ30" s="713"/>
      <c r="BA30" s="693"/>
      <c r="BB30" s="693"/>
      <c r="BC30" s="693"/>
      <c r="BD30" s="693"/>
      <c r="BE30" s="693"/>
      <c r="BF30" s="693"/>
      <c r="BG30" s="693"/>
      <c r="BH30" s="693"/>
      <c r="BI30" s="693"/>
      <c r="BJ30" s="693"/>
      <c r="BK30" s="693"/>
      <c r="BL30" s="693"/>
      <c r="BM30" s="693"/>
      <c r="BN30" s="693"/>
      <c r="BO30" s="693"/>
      <c r="BP30" s="693"/>
      <c r="BQ30" s="693"/>
      <c r="BR30" s="693"/>
      <c r="BS30" s="693"/>
      <c r="BT30" s="697"/>
    </row>
    <row r="31" spans="3:74" ht="4.9000000000000004" customHeight="1" thickBot="1">
      <c r="C31" s="686"/>
      <c r="D31" s="1465"/>
      <c r="E31" s="698"/>
      <c r="F31" s="699"/>
      <c r="G31" s="699"/>
      <c r="H31" s="699"/>
      <c r="I31" s="699"/>
      <c r="J31" s="700"/>
      <c r="K31" s="700"/>
      <c r="L31" s="694"/>
      <c r="M31" s="700"/>
      <c r="N31" s="700"/>
      <c r="O31" s="700"/>
      <c r="P31" s="700"/>
      <c r="Q31" s="701"/>
      <c r="R31" s="701"/>
      <c r="S31" s="701"/>
      <c r="T31" s="701"/>
      <c r="U31" s="701"/>
      <c r="V31" s="701"/>
      <c r="W31" s="701"/>
      <c r="X31" s="701"/>
      <c r="Y31" s="701"/>
      <c r="Z31" s="701"/>
      <c r="AA31" s="701"/>
      <c r="AB31" s="701"/>
      <c r="AC31" s="701"/>
      <c r="AD31" s="701"/>
      <c r="AE31" s="701"/>
      <c r="AF31" s="703"/>
      <c r="AG31" s="693"/>
      <c r="AH31" s="693"/>
      <c r="AI31" s="693"/>
      <c r="AJ31" s="693"/>
      <c r="AK31" s="693"/>
      <c r="AL31" s="693"/>
      <c r="AM31" s="693"/>
      <c r="AN31" s="693"/>
      <c r="AO31" s="693"/>
      <c r="AP31" s="693"/>
      <c r="AQ31" s="693"/>
      <c r="AR31" s="693"/>
      <c r="AS31" s="693"/>
      <c r="AT31" s="704"/>
      <c r="AU31" s="693"/>
      <c r="AV31" s="693"/>
      <c r="AW31" s="693"/>
      <c r="AX31" s="693"/>
      <c r="AY31" s="693"/>
      <c r="AZ31" s="693"/>
      <c r="BA31" s="693"/>
      <c r="BB31" s="693"/>
      <c r="BC31" s="693"/>
      <c r="BD31" s="693"/>
      <c r="BE31" s="693"/>
      <c r="BF31" s="693"/>
      <c r="BG31" s="693"/>
      <c r="BH31" s="693"/>
      <c r="BI31" s="693"/>
      <c r="BJ31" s="693"/>
      <c r="BK31" s="693"/>
      <c r="BL31" s="693"/>
      <c r="BM31" s="693"/>
      <c r="BN31" s="693"/>
      <c r="BO31" s="693"/>
      <c r="BP31" s="693"/>
      <c r="BQ31" s="693"/>
      <c r="BR31" s="693"/>
      <c r="BS31" s="693"/>
      <c r="BT31" s="697"/>
    </row>
    <row r="32" spans="3:74" ht="3" customHeight="1">
      <c r="C32" s="686"/>
      <c r="D32" s="1464" t="s">
        <v>5476</v>
      </c>
      <c r="E32" s="687"/>
      <c r="F32" s="688"/>
      <c r="G32" s="688"/>
      <c r="H32" s="688"/>
      <c r="I32" s="688"/>
      <c r="J32" s="714"/>
      <c r="K32" s="714"/>
      <c r="L32" s="715"/>
      <c r="M32" s="714"/>
      <c r="N32" s="714"/>
      <c r="O32" s="714"/>
      <c r="P32" s="714"/>
      <c r="Q32" s="690"/>
      <c r="R32" s="690"/>
      <c r="S32" s="690"/>
      <c r="T32" s="690"/>
      <c r="U32" s="690"/>
      <c r="V32" s="690"/>
      <c r="W32" s="690"/>
      <c r="X32" s="690"/>
      <c r="Y32" s="690"/>
      <c r="Z32" s="690"/>
      <c r="AA32" s="690"/>
      <c r="AB32" s="690"/>
      <c r="AC32" s="690"/>
      <c r="AD32" s="690"/>
      <c r="AE32" s="690"/>
      <c r="AF32" s="716"/>
      <c r="AG32" s="717"/>
      <c r="AH32" s="717"/>
      <c r="AI32" s="717"/>
      <c r="AJ32" s="717"/>
      <c r="AK32" s="717"/>
      <c r="AL32" s="717"/>
      <c r="AM32" s="717"/>
      <c r="AN32" s="717"/>
      <c r="AO32" s="717"/>
      <c r="AP32" s="717"/>
      <c r="AQ32" s="717"/>
      <c r="AR32" s="717"/>
      <c r="AS32" s="717"/>
      <c r="AT32" s="689"/>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692"/>
    </row>
    <row r="33" spans="3:82" ht="3.65" customHeight="1">
      <c r="C33" s="686"/>
      <c r="D33" s="1465"/>
      <c r="E33" s="698"/>
      <c r="F33" s="699"/>
      <c r="G33" s="699"/>
      <c r="H33" s="699"/>
      <c r="I33" s="699"/>
      <c r="J33" s="700"/>
      <c r="K33" s="700"/>
      <c r="L33" s="694"/>
      <c r="M33" s="700"/>
      <c r="N33" s="700"/>
      <c r="O33" s="700"/>
      <c r="P33" s="700"/>
      <c r="Q33" s="701"/>
      <c r="R33" s="701"/>
      <c r="S33" s="701"/>
      <c r="T33" s="701"/>
      <c r="U33" s="701"/>
      <c r="V33" s="701"/>
      <c r="W33" s="701"/>
      <c r="X33" s="701"/>
      <c r="Y33" s="701"/>
      <c r="Z33" s="701"/>
      <c r="AA33" s="701"/>
      <c r="AB33" s="701"/>
      <c r="AC33" s="701"/>
      <c r="AD33" s="701"/>
      <c r="AE33" s="701"/>
      <c r="AF33" s="703"/>
      <c r="AG33" s="693"/>
      <c r="AH33" s="693"/>
      <c r="AI33" s="693"/>
      <c r="AJ33" s="693"/>
      <c r="AK33" s="693"/>
      <c r="AL33" s="693"/>
      <c r="AM33" s="693"/>
      <c r="AN33" s="693"/>
      <c r="AO33" s="693"/>
      <c r="AP33" s="693"/>
      <c r="AQ33" s="693"/>
      <c r="AR33" s="693"/>
      <c r="AS33" s="693"/>
      <c r="AT33" s="704"/>
      <c r="AU33" s="693"/>
      <c r="AV33" s="693"/>
      <c r="AW33" s="693"/>
      <c r="AX33" s="693"/>
      <c r="AY33" s="693"/>
      <c r="AZ33" s="693"/>
      <c r="BA33" s="693"/>
      <c r="BB33" s="693"/>
      <c r="BC33" s="693"/>
      <c r="BD33" s="693"/>
      <c r="BE33" s="693"/>
      <c r="BF33" s="693"/>
      <c r="BG33" s="693"/>
      <c r="BH33" s="693"/>
      <c r="BI33" s="693"/>
      <c r="BJ33" s="693"/>
      <c r="BK33" s="693"/>
      <c r="BL33" s="693"/>
      <c r="BM33" s="693"/>
      <c r="BN33" s="693"/>
      <c r="BO33" s="693"/>
      <c r="BP33" s="693"/>
      <c r="BQ33" s="693"/>
      <c r="BR33" s="693"/>
      <c r="BS33" s="693"/>
      <c r="BT33" s="697"/>
    </row>
    <row r="34" spans="3:82" ht="14.25" customHeight="1">
      <c r="C34" s="686"/>
      <c r="D34" s="1465"/>
      <c r="E34" s="718"/>
      <c r="F34" s="695" t="s">
        <v>5471</v>
      </c>
      <c r="G34" s="719"/>
      <c r="H34" s="719"/>
      <c r="I34" s="719"/>
      <c r="J34" s="719"/>
      <c r="K34" s="719"/>
      <c r="L34" s="719"/>
      <c r="M34" s="719"/>
      <c r="N34" s="719"/>
      <c r="O34" s="719"/>
      <c r="P34" s="719"/>
      <c r="Q34" s="719"/>
      <c r="R34" s="719"/>
      <c r="S34" s="719"/>
      <c r="T34" s="719"/>
      <c r="U34" s="693"/>
      <c r="V34" s="693"/>
      <c r="W34" s="701"/>
      <c r="X34" s="701"/>
      <c r="Y34" s="701"/>
      <c r="Z34" s="701"/>
      <c r="AA34" s="701"/>
      <c r="AB34" s="701"/>
      <c r="AC34" s="701"/>
      <c r="AD34" s="701"/>
      <c r="AE34" s="701"/>
      <c r="AF34" s="703"/>
      <c r="AG34" s="693"/>
      <c r="AH34" s="693"/>
      <c r="AI34" s="693"/>
      <c r="AJ34" s="693"/>
      <c r="AK34" s="693"/>
      <c r="AL34" s="693"/>
      <c r="AM34" s="693"/>
      <c r="AN34" s="693"/>
      <c r="AO34" s="693"/>
      <c r="AP34" s="693"/>
      <c r="AQ34" s="693"/>
      <c r="AR34" s="693"/>
      <c r="AS34" s="693"/>
      <c r="AT34" s="704"/>
      <c r="AU34" s="693"/>
      <c r="AV34" s="693"/>
      <c r="AW34" s="693"/>
      <c r="AX34" s="693"/>
      <c r="AY34" s="693"/>
      <c r="AZ34" s="693"/>
      <c r="BA34" s="693"/>
      <c r="BB34" s="693"/>
      <c r="BC34" s="693"/>
      <c r="BD34" s="693"/>
      <c r="BE34" s="693"/>
      <c r="BF34" s="693"/>
      <c r="BG34" s="693"/>
      <c r="BH34" s="693"/>
      <c r="BI34" s="693"/>
      <c r="BJ34" s="693"/>
      <c r="BK34" s="693"/>
      <c r="BL34" s="693"/>
      <c r="BM34" s="693"/>
      <c r="BN34" s="693"/>
      <c r="BO34" s="693"/>
      <c r="BP34" s="693"/>
      <c r="BQ34" s="693"/>
      <c r="BR34" s="693"/>
      <c r="BS34" s="693"/>
      <c r="BT34" s="697"/>
    </row>
    <row r="35" spans="3:82" ht="13.5" customHeight="1">
      <c r="C35" s="686"/>
      <c r="D35" s="1465"/>
      <c r="E35" s="718"/>
      <c r="F35" s="694" t="s">
        <v>5479</v>
      </c>
      <c r="G35" s="693"/>
      <c r="H35" s="693"/>
      <c r="I35" s="693"/>
      <c r="J35" s="693"/>
      <c r="K35" s="693"/>
      <c r="L35" s="693"/>
      <c r="M35" s="693"/>
      <c r="N35" s="693"/>
      <c r="O35" s="693"/>
      <c r="P35" s="693"/>
      <c r="Q35" s="693"/>
      <c r="R35" s="693"/>
      <c r="S35" s="693"/>
      <c r="T35" s="693"/>
      <c r="U35" s="693"/>
      <c r="V35" s="693"/>
      <c r="W35" s="693"/>
      <c r="X35" s="693"/>
      <c r="Y35" s="1516" t="s">
        <v>173</v>
      </c>
      <c r="Z35" s="1517"/>
      <c r="AA35" s="1517"/>
      <c r="AB35" s="1517"/>
      <c r="AC35" s="1517"/>
      <c r="AD35" s="1517"/>
      <c r="AE35" s="1517"/>
      <c r="AF35" s="1517"/>
      <c r="AG35" s="1517"/>
      <c r="AH35" s="1517"/>
      <c r="AI35" s="1517"/>
      <c r="AJ35" s="1517"/>
      <c r="AK35" s="1517"/>
      <c r="AL35" s="1517"/>
      <c r="AM35" s="1518"/>
      <c r="AN35" s="693"/>
      <c r="AO35" s="693"/>
      <c r="AP35" s="693"/>
      <c r="AQ35" s="693"/>
      <c r="AR35" s="693"/>
      <c r="AS35" s="693"/>
      <c r="AT35" s="704"/>
      <c r="AU35" s="693"/>
      <c r="AV35" s="693"/>
      <c r="AW35" s="693"/>
      <c r="AX35" s="693"/>
      <c r="AY35" s="693"/>
      <c r="AZ35" s="693"/>
      <c r="BA35" s="693"/>
      <c r="BB35" s="693"/>
      <c r="BC35" s="693"/>
      <c r="BD35" s="693"/>
      <c r="BE35" s="693"/>
      <c r="BF35" s="693"/>
      <c r="BG35" s="693"/>
      <c r="BH35" s="693"/>
      <c r="BI35" s="693"/>
      <c r="BJ35" s="693"/>
      <c r="BK35" s="693"/>
      <c r="BL35" s="693"/>
      <c r="BM35" s="693"/>
      <c r="BN35" s="693"/>
      <c r="BO35" s="693"/>
      <c r="BP35" s="693"/>
      <c r="BQ35" s="693"/>
      <c r="BR35" s="693"/>
      <c r="BS35" s="693"/>
      <c r="BT35" s="697"/>
    </row>
    <row r="36" spans="3:82" ht="13.5" customHeight="1">
      <c r="C36" s="686"/>
      <c r="D36" s="1465"/>
      <c r="E36" s="718"/>
      <c r="F36" s="694" t="s">
        <v>5513</v>
      </c>
      <c r="G36" s="693"/>
      <c r="H36" s="693"/>
      <c r="I36" s="693"/>
      <c r="J36" s="693"/>
      <c r="K36" s="693"/>
      <c r="L36" s="693"/>
      <c r="M36" s="693"/>
      <c r="N36" s="693"/>
      <c r="O36" s="693"/>
      <c r="P36" s="693"/>
      <c r="Q36" s="693"/>
      <c r="R36" s="693"/>
      <c r="S36" s="693"/>
      <c r="T36" s="693"/>
      <c r="U36" s="693"/>
      <c r="V36" s="693"/>
      <c r="W36" s="693"/>
      <c r="X36" s="693"/>
      <c r="Y36" s="1509">
        <f>'2. Plan d''implantation'!N16</f>
        <v>0</v>
      </c>
      <c r="Z36" s="1510"/>
      <c r="AA36" s="1510"/>
      <c r="AB36" s="1510"/>
      <c r="AC36" s="1511"/>
      <c r="AD36" s="701"/>
      <c r="AE36" s="701"/>
      <c r="AF36" s="701"/>
      <c r="AG36" s="703"/>
      <c r="AH36" s="693"/>
      <c r="AI36" s="693"/>
      <c r="AJ36" s="693"/>
      <c r="AK36" s="693"/>
      <c r="AL36" s="693"/>
      <c r="AM36" s="693"/>
      <c r="AN36" s="693"/>
      <c r="AO36" s="693"/>
      <c r="AP36" s="693"/>
      <c r="AQ36" s="693"/>
      <c r="AR36" s="693"/>
      <c r="AS36" s="693"/>
      <c r="AT36" s="704"/>
      <c r="AU36" s="693"/>
      <c r="AV36" s="693"/>
      <c r="AW36" s="693"/>
      <c r="AX36" s="693"/>
      <c r="AY36" s="693"/>
      <c r="AZ36" s="693"/>
      <c r="BA36" s="693"/>
      <c r="BB36" s="693"/>
      <c r="BC36" s="693"/>
      <c r="BD36" s="693"/>
      <c r="BE36" s="693"/>
      <c r="BF36" s="693"/>
      <c r="BG36" s="693"/>
      <c r="BH36" s="693"/>
      <c r="BI36" s="693"/>
      <c r="BJ36" s="693"/>
      <c r="BK36" s="693"/>
      <c r="BL36" s="693"/>
      <c r="BM36" s="693"/>
      <c r="BN36" s="693"/>
      <c r="BO36" s="693"/>
      <c r="BP36" s="693"/>
      <c r="BQ36" s="693"/>
      <c r="BR36" s="693"/>
      <c r="BS36" s="693"/>
      <c r="BT36" s="697"/>
    </row>
    <row r="37" spans="3:82" ht="13.5" customHeight="1">
      <c r="C37" s="686"/>
      <c r="D37" s="1465"/>
      <c r="E37" s="718"/>
      <c r="F37" s="694" t="s">
        <v>5468</v>
      </c>
      <c r="G37" s="693"/>
      <c r="H37" s="693"/>
      <c r="I37" s="693"/>
      <c r="J37" s="693"/>
      <c r="K37" s="693"/>
      <c r="L37" s="693"/>
      <c r="M37" s="693"/>
      <c r="N37" s="693"/>
      <c r="O37" s="693"/>
      <c r="P37" s="693"/>
      <c r="Q37" s="693"/>
      <c r="R37" s="693"/>
      <c r="S37" s="693"/>
      <c r="T37" s="693"/>
      <c r="U37" s="693"/>
      <c r="V37" s="693"/>
      <c r="W37" s="693"/>
      <c r="X37" s="693"/>
      <c r="Y37" s="1455"/>
      <c r="Z37" s="1456"/>
      <c r="AA37" s="1456"/>
      <c r="AB37" s="1456"/>
      <c r="AC37" s="1457"/>
      <c r="AD37" s="701"/>
      <c r="AE37" s="701"/>
      <c r="AF37" s="701"/>
      <c r="AG37" s="703"/>
      <c r="AH37" s="693"/>
      <c r="AI37" s="693"/>
      <c r="AJ37" s="693"/>
      <c r="AK37" s="693"/>
      <c r="AL37" s="693"/>
      <c r="AM37" s="693"/>
      <c r="AN37" s="693"/>
      <c r="AO37" s="693"/>
      <c r="AP37" s="693"/>
      <c r="AQ37" s="693"/>
      <c r="AR37" s="693"/>
      <c r="AS37" s="693"/>
      <c r="AT37" s="704"/>
      <c r="AU37" s="693"/>
      <c r="AV37" s="693"/>
      <c r="AW37" s="693"/>
      <c r="AX37" s="693"/>
      <c r="AY37" s="693"/>
      <c r="AZ37" s="693"/>
      <c r="BA37" s="693"/>
      <c r="BB37" s="693"/>
      <c r="BC37" s="693"/>
      <c r="BD37" s="693"/>
      <c r="BE37" s="693"/>
      <c r="BF37" s="693"/>
      <c r="BG37" s="693"/>
      <c r="BH37" s="693"/>
      <c r="BI37" s="693"/>
      <c r="BJ37" s="693"/>
      <c r="BK37" s="693"/>
      <c r="BL37" s="693"/>
      <c r="BM37" s="693"/>
      <c r="BN37" s="693"/>
      <c r="BO37" s="693"/>
      <c r="BP37" s="693"/>
      <c r="BQ37" s="693"/>
      <c r="BR37" s="693"/>
      <c r="BS37" s="693"/>
      <c r="BT37" s="697"/>
    </row>
    <row r="38" spans="3:82" ht="15.65" customHeight="1">
      <c r="C38" s="686"/>
      <c r="D38" s="1465"/>
      <c r="E38" s="718"/>
      <c r="F38" s="693"/>
      <c r="G38" s="693"/>
      <c r="H38" s="693"/>
      <c r="I38" s="693"/>
      <c r="J38" s="693"/>
      <c r="K38" s="693"/>
      <c r="L38" s="693"/>
      <c r="M38" s="693"/>
      <c r="N38" s="693"/>
      <c r="O38" s="693"/>
      <c r="P38" s="693"/>
      <c r="Q38" s="693"/>
      <c r="R38" s="693"/>
      <c r="S38" s="693"/>
      <c r="T38" s="693"/>
      <c r="U38" s="693"/>
      <c r="V38" s="693"/>
      <c r="W38" s="693"/>
      <c r="X38" s="693"/>
      <c r="Y38" s="693"/>
      <c r="Z38" s="693"/>
      <c r="AA38" s="693"/>
      <c r="AB38" s="693"/>
      <c r="AC38" s="693"/>
      <c r="AD38" s="693"/>
      <c r="AE38" s="693"/>
      <c r="AF38" s="693"/>
      <c r="AG38" s="693"/>
      <c r="AH38" s="693"/>
      <c r="AI38" s="693"/>
      <c r="AJ38" s="693"/>
      <c r="AK38" s="693"/>
      <c r="AL38" s="693"/>
      <c r="AM38" s="693"/>
      <c r="AN38" s="693"/>
      <c r="AO38" s="693"/>
      <c r="AP38" s="693"/>
      <c r="AQ38" s="693"/>
      <c r="AR38" s="693"/>
      <c r="AS38" s="693"/>
      <c r="AT38" s="704"/>
      <c r="AU38" s="693"/>
      <c r="AV38" s="693"/>
      <c r="AW38" s="693"/>
      <c r="AX38" s="693"/>
      <c r="AY38" s="693"/>
      <c r="AZ38" s="693"/>
      <c r="BA38" s="693"/>
      <c r="BB38" s="693"/>
      <c r="BC38" s="693"/>
      <c r="BD38" s="693"/>
      <c r="BE38" s="693"/>
      <c r="BF38" s="693"/>
      <c r="BG38" s="693"/>
      <c r="BH38" s="693"/>
      <c r="BI38" s="693"/>
      <c r="BJ38" s="693"/>
      <c r="BK38" s="693"/>
      <c r="BL38" s="693"/>
      <c r="BM38" s="693"/>
      <c r="BN38" s="693"/>
      <c r="BO38" s="693"/>
      <c r="BP38" s="693"/>
      <c r="BQ38" s="693"/>
      <c r="BR38" s="693"/>
      <c r="BS38" s="693"/>
      <c r="BT38" s="697"/>
    </row>
    <row r="39" spans="3:82" ht="15.65" customHeight="1">
      <c r="C39" s="686"/>
      <c r="D39" s="1465"/>
      <c r="E39" s="718"/>
      <c r="F39" s="693"/>
      <c r="G39" s="693"/>
      <c r="H39" s="694" t="s">
        <v>236</v>
      </c>
      <c r="I39" s="694" t="s">
        <v>5514</v>
      </c>
      <c r="J39" s="694"/>
      <c r="K39" s="694"/>
      <c r="L39" s="694"/>
      <c r="M39" s="694"/>
      <c r="N39" s="694"/>
      <c r="O39" s="693"/>
      <c r="P39" s="693"/>
      <c r="Q39" s="693"/>
      <c r="R39" s="693"/>
      <c r="S39" s="693"/>
      <c r="T39" s="693"/>
      <c r="U39" s="693"/>
      <c r="V39" s="693"/>
      <c r="W39" s="693"/>
      <c r="X39" s="693"/>
      <c r="Y39" s="693"/>
      <c r="Z39" s="693"/>
      <c r="AA39" s="693"/>
      <c r="AB39" s="693"/>
      <c r="AC39" s="693"/>
      <c r="AD39" s="693"/>
      <c r="AE39" s="693"/>
      <c r="AF39" s="693"/>
      <c r="AG39" s="693"/>
      <c r="AH39" s="693"/>
      <c r="AI39" s="693"/>
      <c r="AJ39" s="693"/>
      <c r="AK39" s="693"/>
      <c r="AL39" s="693"/>
      <c r="AM39" s="693"/>
      <c r="AN39" s="693"/>
      <c r="AO39" s="693"/>
      <c r="AP39" s="693"/>
      <c r="AQ39" s="693"/>
      <c r="AR39" s="693"/>
      <c r="AS39" s="693"/>
      <c r="AT39" s="704"/>
      <c r="AU39" s="693"/>
      <c r="AV39" s="693"/>
      <c r="AW39" s="693"/>
      <c r="AX39" s="693"/>
      <c r="AY39" s="693"/>
      <c r="AZ39" s="693"/>
      <c r="BA39" s="693"/>
      <c r="BB39" s="693"/>
      <c r="BC39" s="693"/>
      <c r="BD39" s="693"/>
      <c r="BE39" s="693"/>
      <c r="BF39" s="693"/>
      <c r="BG39" s="693"/>
      <c r="BH39" s="693"/>
      <c r="BI39" s="693"/>
      <c r="BJ39" s="693"/>
      <c r="BK39" s="693"/>
      <c r="BL39" s="693"/>
      <c r="BM39" s="693"/>
      <c r="BN39" s="693"/>
      <c r="BO39" s="693"/>
      <c r="BP39" s="693"/>
      <c r="BQ39" s="693"/>
      <c r="BR39" s="693"/>
      <c r="BS39" s="693"/>
      <c r="BT39" s="697"/>
    </row>
    <row r="40" spans="3:82" ht="15.65" customHeight="1">
      <c r="C40" s="686"/>
      <c r="D40" s="1465"/>
      <c r="E40" s="718"/>
      <c r="F40" s="693"/>
      <c r="G40" s="693"/>
      <c r="H40" s="694" t="s">
        <v>5472</v>
      </c>
      <c r="I40" s="694" t="s">
        <v>5475</v>
      </c>
      <c r="J40" s="693"/>
      <c r="K40" s="694"/>
      <c r="L40" s="694"/>
      <c r="M40" s="694"/>
      <c r="N40" s="694"/>
      <c r="O40" s="693"/>
      <c r="P40" s="693"/>
      <c r="Q40" s="693"/>
      <c r="R40" s="693"/>
      <c r="S40" s="693"/>
      <c r="T40" s="693"/>
      <c r="U40" s="693"/>
      <c r="V40" s="693"/>
      <c r="W40" s="693"/>
      <c r="X40" s="693"/>
      <c r="Y40" s="693"/>
      <c r="Z40" s="693"/>
      <c r="AA40" s="693"/>
      <c r="AB40" s="693"/>
      <c r="AC40" s="693"/>
      <c r="AD40" s="693"/>
      <c r="AE40" s="693"/>
      <c r="AF40" s="693"/>
      <c r="AG40" s="693"/>
      <c r="AH40" s="693"/>
      <c r="AI40" s="693"/>
      <c r="AJ40" s="693"/>
      <c r="AK40" s="693"/>
      <c r="AL40" s="693"/>
      <c r="AM40" s="693"/>
      <c r="AN40" s="693"/>
      <c r="AO40" s="693"/>
      <c r="AP40" s="693"/>
      <c r="AQ40" s="693"/>
      <c r="AR40" s="693"/>
      <c r="AS40" s="693"/>
      <c r="AT40" s="704"/>
      <c r="AU40" s="693"/>
      <c r="AV40" s="693"/>
      <c r="AW40" s="693"/>
      <c r="AX40" s="693"/>
      <c r="AY40" s="693"/>
      <c r="AZ40" s="693"/>
      <c r="BA40" s="693"/>
      <c r="BB40" s="693"/>
      <c r="BC40" s="693"/>
      <c r="BD40" s="693"/>
      <c r="BE40" s="693"/>
      <c r="BF40" s="693"/>
      <c r="BG40" s="693"/>
      <c r="BH40" s="693"/>
      <c r="BI40" s="693"/>
      <c r="BJ40" s="693"/>
      <c r="BK40" s="693"/>
      <c r="BL40" s="693"/>
      <c r="BM40" s="693"/>
      <c r="BN40" s="693"/>
      <c r="BO40" s="693"/>
      <c r="BP40" s="693"/>
      <c r="BQ40" s="693"/>
      <c r="BR40" s="693"/>
      <c r="BS40" s="693"/>
      <c r="BT40" s="697"/>
    </row>
    <row r="41" spans="3:82" ht="15.65" customHeight="1">
      <c r="C41" s="686"/>
      <c r="D41" s="1465"/>
      <c r="E41" s="718"/>
      <c r="F41" s="693"/>
      <c r="G41" s="693"/>
      <c r="H41" s="694"/>
      <c r="I41" s="694" t="s">
        <v>5515</v>
      </c>
      <c r="J41" s="693"/>
      <c r="K41" s="694"/>
      <c r="L41" s="694"/>
      <c r="M41" s="694"/>
      <c r="N41" s="694"/>
      <c r="O41" s="693"/>
      <c r="P41" s="693"/>
      <c r="Q41" s="693"/>
      <c r="R41" s="693"/>
      <c r="S41" s="693"/>
      <c r="T41" s="693"/>
      <c r="U41" s="693"/>
      <c r="V41" s="693"/>
      <c r="W41" s="693"/>
      <c r="X41" s="693"/>
      <c r="Y41" s="693"/>
      <c r="Z41" s="693"/>
      <c r="AA41" s="693"/>
      <c r="AB41" s="693"/>
      <c r="AC41" s="693"/>
      <c r="AD41" s="693"/>
      <c r="AE41" s="693"/>
      <c r="AF41" s="693"/>
      <c r="AG41" s="693"/>
      <c r="AH41" s="693"/>
      <c r="AI41" s="693"/>
      <c r="AJ41" s="693"/>
      <c r="AK41" s="693"/>
      <c r="AL41" s="693"/>
      <c r="AM41" s="693"/>
      <c r="AN41" s="693"/>
      <c r="AO41" s="693"/>
      <c r="AP41" s="693"/>
      <c r="AQ41" s="693"/>
      <c r="AR41" s="693"/>
      <c r="AS41" s="693"/>
      <c r="AT41" s="704"/>
      <c r="AU41" s="693"/>
      <c r="AV41" s="693"/>
      <c r="AW41" s="693"/>
      <c r="AX41" s="693"/>
      <c r="AY41" s="693"/>
      <c r="AZ41" s="693"/>
      <c r="BA41" s="693"/>
      <c r="BB41" s="693"/>
      <c r="BC41" s="693"/>
      <c r="BD41" s="693"/>
      <c r="BE41" s="693"/>
      <c r="BF41" s="693"/>
      <c r="BG41" s="693"/>
      <c r="BH41" s="693"/>
      <c r="BI41" s="693"/>
      <c r="BJ41" s="693"/>
      <c r="BK41" s="693"/>
      <c r="BL41" s="693"/>
      <c r="BM41" s="693"/>
      <c r="BN41" s="693"/>
      <c r="BO41" s="693"/>
      <c r="BP41" s="693"/>
      <c r="BQ41" s="693"/>
      <c r="BR41" s="693"/>
      <c r="BS41" s="693"/>
      <c r="BT41" s="697"/>
    </row>
    <row r="42" spans="3:82" ht="15" customHeight="1">
      <c r="C42" s="686"/>
      <c r="D42" s="1465"/>
      <c r="E42" s="718"/>
      <c r="F42" s="693"/>
      <c r="G42" s="693"/>
      <c r="H42" s="694" t="s">
        <v>5473</v>
      </c>
      <c r="I42" s="694" t="s">
        <v>5474</v>
      </c>
      <c r="J42" s="693"/>
      <c r="K42" s="694"/>
      <c r="L42" s="694"/>
      <c r="M42" s="694"/>
      <c r="N42" s="694"/>
      <c r="O42" s="693"/>
      <c r="P42" s="693"/>
      <c r="Q42" s="693"/>
      <c r="R42" s="693"/>
      <c r="S42" s="693"/>
      <c r="T42" s="693"/>
      <c r="U42" s="693"/>
      <c r="V42" s="693"/>
      <c r="W42" s="693"/>
      <c r="X42" s="693"/>
      <c r="Y42" s="693"/>
      <c r="Z42" s="693"/>
      <c r="AA42" s="693"/>
      <c r="AB42" s="693"/>
      <c r="AC42" s="693"/>
      <c r="AD42" s="693"/>
      <c r="AE42" s="693"/>
      <c r="AF42" s="693"/>
      <c r="AG42" s="693"/>
      <c r="AH42" s="693"/>
      <c r="AI42" s="693"/>
      <c r="AJ42" s="693"/>
      <c r="AK42" s="693"/>
      <c r="AL42" s="693"/>
      <c r="AM42" s="693"/>
      <c r="AN42" s="693"/>
      <c r="AO42" s="693"/>
      <c r="AP42" s="693"/>
      <c r="AQ42" s="693"/>
      <c r="AR42" s="693"/>
      <c r="AS42" s="693"/>
      <c r="AT42" s="704"/>
      <c r="AU42" s="693"/>
      <c r="AV42" s="693"/>
      <c r="AW42" s="693"/>
      <c r="AX42" s="693"/>
      <c r="AY42" s="693"/>
      <c r="AZ42" s="693"/>
      <c r="BA42" s="693"/>
      <c r="BB42" s="693"/>
      <c r="BC42" s="693"/>
      <c r="BD42" s="693"/>
      <c r="BE42" s="693"/>
      <c r="BF42" s="693"/>
      <c r="BG42" s="693"/>
      <c r="BH42" s="693"/>
      <c r="BI42" s="693"/>
      <c r="BJ42" s="693"/>
      <c r="BK42" s="693"/>
      <c r="BL42" s="693"/>
      <c r="BM42" s="693"/>
      <c r="BN42" s="693"/>
      <c r="BO42" s="693"/>
      <c r="BP42" s="693"/>
      <c r="BQ42" s="693"/>
      <c r="BR42" s="693"/>
      <c r="BS42" s="693"/>
      <c r="BT42" s="697"/>
    </row>
    <row r="43" spans="3:82" ht="12.75" customHeight="1" thickBot="1">
      <c r="D43" s="1466"/>
      <c r="E43" s="720"/>
      <c r="F43" s="721"/>
      <c r="G43" s="721"/>
      <c r="H43" s="721"/>
      <c r="I43" s="721"/>
      <c r="J43" s="710"/>
      <c r="K43" s="710"/>
      <c r="L43" s="722"/>
      <c r="M43" s="722"/>
      <c r="N43" s="723"/>
      <c r="O43" s="723"/>
      <c r="P43" s="485"/>
      <c r="Q43" s="710"/>
      <c r="R43" s="723"/>
      <c r="S43" s="723"/>
      <c r="T43" s="710"/>
      <c r="U43" s="486"/>
      <c r="V43" s="723"/>
      <c r="W43" s="723"/>
      <c r="X43" s="723"/>
      <c r="Y43" s="723"/>
      <c r="Z43" s="723"/>
      <c r="AA43" s="723"/>
      <c r="AB43" s="723"/>
      <c r="AC43" s="723"/>
      <c r="AD43" s="723"/>
      <c r="AE43" s="723"/>
      <c r="AF43" s="723"/>
      <c r="AG43" s="723"/>
      <c r="AH43" s="723"/>
      <c r="AI43" s="723"/>
      <c r="AJ43" s="723"/>
      <c r="AK43" s="723"/>
      <c r="AL43" s="723"/>
      <c r="AM43" s="723"/>
      <c r="AN43" s="723"/>
      <c r="AO43" s="724"/>
      <c r="AP43" s="724"/>
      <c r="AQ43" s="724"/>
      <c r="AR43" s="724"/>
      <c r="AS43" s="724"/>
      <c r="AT43" s="724"/>
      <c r="AU43" s="724"/>
      <c r="AV43" s="724"/>
      <c r="AW43" s="724"/>
      <c r="AX43" s="724"/>
      <c r="AY43" s="724"/>
      <c r="AZ43" s="724"/>
      <c r="BA43" s="710"/>
      <c r="BB43" s="710"/>
      <c r="BC43" s="710"/>
      <c r="BD43" s="710"/>
      <c r="BE43" s="710"/>
      <c r="BF43" s="710"/>
      <c r="BG43" s="710"/>
      <c r="BH43" s="710"/>
      <c r="BI43" s="710"/>
      <c r="BJ43" s="710"/>
      <c r="BK43" s="710"/>
      <c r="BL43" s="710"/>
      <c r="BM43" s="710"/>
      <c r="BN43" s="710"/>
      <c r="BO43" s="710"/>
      <c r="BP43" s="710"/>
      <c r="BQ43" s="710"/>
      <c r="BR43" s="710"/>
      <c r="BS43" s="710"/>
      <c r="BT43" s="711"/>
    </row>
    <row r="44" spans="3:82" ht="8.5" customHeight="1">
      <c r="C44" s="686"/>
      <c r="D44" s="725"/>
      <c r="E44" s="698"/>
      <c r="F44" s="699"/>
      <c r="G44" s="699"/>
      <c r="H44" s="699"/>
      <c r="I44" s="699"/>
      <c r="J44" s="700"/>
      <c r="K44" s="700"/>
      <c r="L44" s="694"/>
      <c r="M44" s="700"/>
      <c r="N44" s="700"/>
      <c r="O44" s="700"/>
      <c r="P44" s="700"/>
      <c r="Q44" s="701"/>
      <c r="R44" s="701"/>
      <c r="S44" s="701"/>
      <c r="T44" s="701"/>
      <c r="U44" s="701"/>
      <c r="V44" s="701"/>
      <c r="W44" s="701"/>
      <c r="X44" s="701"/>
      <c r="Y44" s="701"/>
      <c r="Z44" s="701"/>
      <c r="AA44" s="701"/>
      <c r="AB44" s="701"/>
      <c r="AC44" s="701"/>
      <c r="AD44" s="701"/>
      <c r="AE44" s="701"/>
      <c r="AF44" s="703"/>
      <c r="AG44" s="693"/>
      <c r="AH44" s="693"/>
      <c r="AI44" s="693"/>
      <c r="AJ44" s="693"/>
      <c r="AK44" s="693"/>
      <c r="AL44" s="693"/>
      <c r="AM44" s="693"/>
      <c r="AN44" s="693"/>
      <c r="AO44" s="693"/>
      <c r="AP44" s="693"/>
      <c r="AQ44" s="693"/>
      <c r="AR44" s="693"/>
      <c r="AS44" s="693"/>
      <c r="AT44" s="704"/>
      <c r="AU44" s="693"/>
      <c r="AV44" s="693"/>
      <c r="AW44" s="693"/>
      <c r="AX44" s="693"/>
      <c r="AY44" s="693"/>
      <c r="AZ44" s="693"/>
      <c r="BA44" s="693"/>
      <c r="BB44" s="693"/>
      <c r="BC44" s="693"/>
      <c r="BD44" s="693"/>
      <c r="BE44" s="693"/>
      <c r="BF44" s="693"/>
      <c r="BG44" s="693"/>
      <c r="BH44" s="693"/>
      <c r="BI44" s="693"/>
      <c r="BJ44" s="693"/>
      <c r="BK44" s="693"/>
      <c r="BL44" s="693"/>
      <c r="BM44" s="693"/>
      <c r="BN44" s="693"/>
      <c r="BO44" s="693"/>
      <c r="BP44" s="693"/>
      <c r="BQ44" s="693"/>
      <c r="BR44" s="693"/>
      <c r="BS44" s="693"/>
      <c r="BT44" s="697"/>
    </row>
    <row r="45" spans="3:82" ht="19.149999999999999" customHeight="1">
      <c r="C45" s="686"/>
      <c r="D45" s="1465" t="s">
        <v>5477</v>
      </c>
      <c r="E45" s="718"/>
      <c r="F45" s="1547" t="s">
        <v>5561</v>
      </c>
      <c r="G45" s="1548"/>
      <c r="H45" s="1548"/>
      <c r="I45" s="1548"/>
      <c r="J45" s="1548"/>
      <c r="K45" s="1548"/>
      <c r="L45" s="1548"/>
      <c r="M45" s="1548"/>
      <c r="N45" s="1548"/>
      <c r="O45" s="1548"/>
      <c r="P45" s="1548"/>
      <c r="Q45" s="1548"/>
      <c r="R45" s="1548"/>
      <c r="S45" s="1548"/>
      <c r="T45" s="1548"/>
      <c r="U45" s="1548"/>
      <c r="V45" s="1548"/>
      <c r="W45" s="1548"/>
      <c r="X45" s="1548"/>
      <c r="Y45" s="1548"/>
      <c r="Z45" s="1548"/>
      <c r="AA45" s="1548"/>
      <c r="AB45" s="1548"/>
      <c r="AC45" s="1548"/>
      <c r="AD45" s="1548"/>
      <c r="AE45" s="1548"/>
      <c r="AF45" s="1548"/>
      <c r="AG45" s="1548"/>
      <c r="AH45" s="1548"/>
      <c r="AI45" s="1548"/>
      <c r="AJ45" s="1548"/>
      <c r="AK45" s="1548"/>
      <c r="AL45" s="1548"/>
      <c r="AM45" s="1548"/>
      <c r="AN45" s="1548"/>
      <c r="AO45" s="1548"/>
      <c r="AP45" s="1548"/>
      <c r="AQ45" s="1548"/>
      <c r="AR45" s="1548"/>
      <c r="AS45" s="1548"/>
      <c r="AT45" s="1548"/>
      <c r="AU45" s="1548"/>
      <c r="AV45" s="1548"/>
      <c r="AW45" s="1548"/>
      <c r="AX45" s="1548"/>
      <c r="AY45" s="1548"/>
      <c r="AZ45" s="1548"/>
      <c r="BA45" s="1548"/>
      <c r="BB45" s="1548"/>
      <c r="BC45" s="1548"/>
      <c r="BD45" s="1548"/>
      <c r="BE45" s="1548"/>
      <c r="BF45" s="1548"/>
      <c r="BG45" s="1548"/>
      <c r="BH45" s="1548"/>
      <c r="BI45" s="1548"/>
      <c r="BJ45" s="1548"/>
      <c r="BK45" s="1548"/>
      <c r="BL45" s="1548"/>
      <c r="BM45" s="694"/>
      <c r="BN45" s="694"/>
      <c r="BO45" s="694"/>
      <c r="BP45" s="694"/>
      <c r="BQ45" s="694"/>
      <c r="BR45" s="694"/>
      <c r="BS45" s="694"/>
      <c r="BT45" s="697"/>
    </row>
    <row r="46" spans="3:82" ht="33.75" customHeight="1">
      <c r="D46" s="1465"/>
      <c r="E46" s="693"/>
      <c r="F46" s="1449" t="s">
        <v>5562</v>
      </c>
      <c r="G46" s="1449"/>
      <c r="H46" s="1449"/>
      <c r="I46" s="1449"/>
      <c r="J46" s="1449"/>
      <c r="K46" s="1449"/>
      <c r="L46" s="1449"/>
      <c r="M46" s="1449"/>
      <c r="N46" s="1449"/>
      <c r="O46" s="1449"/>
      <c r="P46" s="1449"/>
      <c r="Q46" s="1449"/>
      <c r="R46" s="1449"/>
      <c r="S46" s="1449"/>
      <c r="T46" s="1449"/>
      <c r="U46" s="1449"/>
      <c r="V46" s="1449"/>
      <c r="W46" s="1449" t="s">
        <v>4951</v>
      </c>
      <c r="X46" s="1449"/>
      <c r="Y46" s="1449"/>
      <c r="Z46" s="1449"/>
      <c r="AA46" s="1449"/>
      <c r="AB46" s="1449"/>
      <c r="AC46" s="1449"/>
      <c r="AD46" s="1449"/>
      <c r="AE46" s="1449"/>
      <c r="AF46" s="1449"/>
      <c r="AG46" s="1449"/>
      <c r="AH46" s="1449"/>
      <c r="AI46" s="1449"/>
      <c r="AJ46" s="1449"/>
      <c r="AK46" s="1449"/>
      <c r="AL46" s="1449" t="s">
        <v>4950</v>
      </c>
      <c r="AM46" s="1449"/>
      <c r="AN46" s="1449"/>
      <c r="AO46" s="1449"/>
      <c r="AP46" s="1449"/>
      <c r="AQ46" s="1449"/>
      <c r="AR46" s="1449"/>
      <c r="AS46" s="1449"/>
      <c r="AT46" s="1449"/>
      <c r="AU46" s="1449"/>
      <c r="AV46" s="1449"/>
      <c r="AW46" s="1449"/>
      <c r="AX46" s="1449"/>
      <c r="AY46" s="1449"/>
      <c r="AZ46" s="1449"/>
      <c r="BA46" s="1449"/>
      <c r="BB46" s="1449"/>
      <c r="BC46" s="1449"/>
      <c r="BD46" s="1449" t="s">
        <v>4949</v>
      </c>
      <c r="BE46" s="1449"/>
      <c r="BF46" s="1449"/>
      <c r="BG46" s="1449"/>
      <c r="BH46" s="1512" t="s">
        <v>5392</v>
      </c>
      <c r="BI46" s="1512"/>
      <c r="BJ46" s="1512"/>
      <c r="BK46" s="1512"/>
      <c r="BL46" s="1512"/>
      <c r="BM46" s="694"/>
      <c r="BN46" s="694"/>
      <c r="BO46" s="694"/>
      <c r="BP46" s="694"/>
      <c r="BQ46" s="694"/>
      <c r="BR46" s="694"/>
      <c r="BS46" s="694"/>
      <c r="BT46" s="726"/>
      <c r="CD46" s="300" t="s">
        <v>5601</v>
      </c>
    </row>
    <row r="47" spans="3:82" ht="12.75" customHeight="1">
      <c r="D47" s="1465"/>
      <c r="E47" s="693"/>
      <c r="F47" s="1468" t="s">
        <v>173</v>
      </c>
      <c r="G47" s="1469"/>
      <c r="H47" s="1469"/>
      <c r="I47" s="1469"/>
      <c r="J47" s="1469"/>
      <c r="K47" s="1469"/>
      <c r="L47" s="1469"/>
      <c r="M47" s="1469"/>
      <c r="N47" s="1469"/>
      <c r="O47" s="1469"/>
      <c r="P47" s="1469"/>
      <c r="Q47" s="1469"/>
      <c r="R47" s="1469"/>
      <c r="S47" s="1469"/>
      <c r="T47" s="1469"/>
      <c r="U47" s="1469"/>
      <c r="V47" s="1469"/>
      <c r="W47" s="1469" t="s">
        <v>173</v>
      </c>
      <c r="X47" s="1469"/>
      <c r="Y47" s="1469"/>
      <c r="Z47" s="1469"/>
      <c r="AA47" s="1469"/>
      <c r="AB47" s="1469"/>
      <c r="AC47" s="1469"/>
      <c r="AD47" s="1469"/>
      <c r="AE47" s="1469"/>
      <c r="AF47" s="1469"/>
      <c r="AG47" s="1469"/>
      <c r="AH47" s="1469"/>
      <c r="AI47" s="1469"/>
      <c r="AJ47" s="1469"/>
      <c r="AK47" s="1469"/>
      <c r="AL47" s="1469" t="s">
        <v>173</v>
      </c>
      <c r="AM47" s="1469"/>
      <c r="AN47" s="1469"/>
      <c r="AO47" s="1469"/>
      <c r="AP47" s="1469"/>
      <c r="AQ47" s="1469"/>
      <c r="AR47" s="1469"/>
      <c r="AS47" s="1469"/>
      <c r="AT47" s="1469"/>
      <c r="AU47" s="1469"/>
      <c r="AV47" s="1469"/>
      <c r="AW47" s="1469"/>
      <c r="AX47" s="1469"/>
      <c r="AY47" s="1469"/>
      <c r="AZ47" s="1469"/>
      <c r="BA47" s="1469"/>
      <c r="BB47" s="1469"/>
      <c r="BC47" s="1469"/>
      <c r="BD47" s="1488"/>
      <c r="BE47" s="1488"/>
      <c r="BF47" s="1488"/>
      <c r="BG47" s="1488"/>
      <c r="BH47" s="1488"/>
      <c r="BI47" s="1488"/>
      <c r="BJ47" s="1488"/>
      <c r="BK47" s="1488"/>
      <c r="BL47" s="1489"/>
      <c r="BM47" s="694"/>
      <c r="BN47" s="694"/>
      <c r="BO47" s="694"/>
      <c r="BP47" s="694"/>
      <c r="BQ47" s="694"/>
      <c r="BR47" s="694"/>
      <c r="BS47" s="694"/>
      <c r="BT47" s="697"/>
      <c r="BV47" s="304"/>
      <c r="CD47" s="300">
        <f>Data_calc!AA133</f>
        <v>0</v>
      </c>
    </row>
    <row r="48" spans="3:82" ht="12.75" customHeight="1">
      <c r="D48" s="1465"/>
      <c r="E48" s="693"/>
      <c r="F48" s="1468" t="s">
        <v>173</v>
      </c>
      <c r="G48" s="1469"/>
      <c r="H48" s="1469"/>
      <c r="I48" s="1469"/>
      <c r="J48" s="1469"/>
      <c r="K48" s="1469"/>
      <c r="L48" s="1469"/>
      <c r="M48" s="1469"/>
      <c r="N48" s="1469"/>
      <c r="O48" s="1469"/>
      <c r="P48" s="1469"/>
      <c r="Q48" s="1469"/>
      <c r="R48" s="1469"/>
      <c r="S48" s="1469"/>
      <c r="T48" s="1469"/>
      <c r="U48" s="1469"/>
      <c r="V48" s="1469"/>
      <c r="W48" s="1469" t="s">
        <v>173</v>
      </c>
      <c r="X48" s="1469"/>
      <c r="Y48" s="1469"/>
      <c r="Z48" s="1469"/>
      <c r="AA48" s="1469"/>
      <c r="AB48" s="1469"/>
      <c r="AC48" s="1469"/>
      <c r="AD48" s="1469"/>
      <c r="AE48" s="1469"/>
      <c r="AF48" s="1469"/>
      <c r="AG48" s="1469"/>
      <c r="AH48" s="1469"/>
      <c r="AI48" s="1469"/>
      <c r="AJ48" s="1469"/>
      <c r="AK48" s="1469"/>
      <c r="AL48" s="1469" t="s">
        <v>173</v>
      </c>
      <c r="AM48" s="1469"/>
      <c r="AN48" s="1469"/>
      <c r="AO48" s="1469"/>
      <c r="AP48" s="1469"/>
      <c r="AQ48" s="1469"/>
      <c r="AR48" s="1469"/>
      <c r="AS48" s="1469"/>
      <c r="AT48" s="1469"/>
      <c r="AU48" s="1469"/>
      <c r="AV48" s="1469"/>
      <c r="AW48" s="1469"/>
      <c r="AX48" s="1469"/>
      <c r="AY48" s="1469"/>
      <c r="AZ48" s="1469"/>
      <c r="BA48" s="1469"/>
      <c r="BB48" s="1469"/>
      <c r="BC48" s="1469"/>
      <c r="BD48" s="1508"/>
      <c r="BE48" s="1508"/>
      <c r="BF48" s="1508"/>
      <c r="BG48" s="1508"/>
      <c r="BH48" s="1508"/>
      <c r="BI48" s="1508"/>
      <c r="BJ48" s="1508"/>
      <c r="BK48" s="1508"/>
      <c r="BL48" s="1515"/>
      <c r="BM48" s="694"/>
      <c r="BN48" s="694"/>
      <c r="BO48" s="694"/>
      <c r="BP48" s="694"/>
      <c r="BQ48" s="694"/>
      <c r="BR48" s="694"/>
      <c r="BS48" s="694"/>
      <c r="BT48" s="697"/>
      <c r="BV48" s="304"/>
      <c r="CD48" s="300">
        <f>Data_calc!AA134</f>
        <v>0</v>
      </c>
    </row>
    <row r="49" spans="3:82" ht="12.75" customHeight="1">
      <c r="D49" s="1465"/>
      <c r="E49" s="693"/>
      <c r="F49" s="1468" t="s">
        <v>173</v>
      </c>
      <c r="G49" s="1469"/>
      <c r="H49" s="1469"/>
      <c r="I49" s="1469"/>
      <c r="J49" s="1469"/>
      <c r="K49" s="1469"/>
      <c r="L49" s="1469"/>
      <c r="M49" s="1469"/>
      <c r="N49" s="1469"/>
      <c r="O49" s="1469"/>
      <c r="P49" s="1469"/>
      <c r="Q49" s="1469"/>
      <c r="R49" s="1469"/>
      <c r="S49" s="1469"/>
      <c r="T49" s="1469"/>
      <c r="U49" s="1469"/>
      <c r="V49" s="1469"/>
      <c r="W49" s="1469" t="s">
        <v>173</v>
      </c>
      <c r="X49" s="1469"/>
      <c r="Y49" s="1469"/>
      <c r="Z49" s="1469"/>
      <c r="AA49" s="1469"/>
      <c r="AB49" s="1469"/>
      <c r="AC49" s="1469"/>
      <c r="AD49" s="1469"/>
      <c r="AE49" s="1469"/>
      <c r="AF49" s="1469"/>
      <c r="AG49" s="1469"/>
      <c r="AH49" s="1469"/>
      <c r="AI49" s="1469"/>
      <c r="AJ49" s="1469"/>
      <c r="AK49" s="1469"/>
      <c r="AL49" s="1469" t="s">
        <v>173</v>
      </c>
      <c r="AM49" s="1469"/>
      <c r="AN49" s="1469"/>
      <c r="AO49" s="1469"/>
      <c r="AP49" s="1469"/>
      <c r="AQ49" s="1469"/>
      <c r="AR49" s="1469"/>
      <c r="AS49" s="1469"/>
      <c r="AT49" s="1469"/>
      <c r="AU49" s="1469"/>
      <c r="AV49" s="1469"/>
      <c r="AW49" s="1469"/>
      <c r="AX49" s="1469"/>
      <c r="AY49" s="1469"/>
      <c r="AZ49" s="1469"/>
      <c r="BA49" s="1469"/>
      <c r="BB49" s="1469"/>
      <c r="BC49" s="1469"/>
      <c r="BD49" s="1508"/>
      <c r="BE49" s="1508"/>
      <c r="BF49" s="1508"/>
      <c r="BG49" s="1508"/>
      <c r="BH49" s="1508"/>
      <c r="BI49" s="1508"/>
      <c r="BJ49" s="1508"/>
      <c r="BK49" s="1508"/>
      <c r="BL49" s="1515"/>
      <c r="BM49" s="694"/>
      <c r="BN49" s="694"/>
      <c r="BO49" s="694"/>
      <c r="BP49" s="694"/>
      <c r="BQ49" s="694"/>
      <c r="BR49" s="694"/>
      <c r="BS49" s="694"/>
      <c r="BT49" s="697"/>
      <c r="CD49" s="300">
        <f>Data_calc!AA135</f>
        <v>0</v>
      </c>
    </row>
    <row r="50" spans="3:82" ht="12" customHeight="1">
      <c r="D50" s="1465"/>
      <c r="E50" s="693"/>
      <c r="F50" s="1468" t="s">
        <v>173</v>
      </c>
      <c r="G50" s="1469"/>
      <c r="H50" s="1469"/>
      <c r="I50" s="1469"/>
      <c r="J50" s="1469"/>
      <c r="K50" s="1469"/>
      <c r="L50" s="1469"/>
      <c r="M50" s="1469"/>
      <c r="N50" s="1469"/>
      <c r="O50" s="1469"/>
      <c r="P50" s="1469"/>
      <c r="Q50" s="1469"/>
      <c r="R50" s="1469"/>
      <c r="S50" s="1469"/>
      <c r="T50" s="1469"/>
      <c r="U50" s="1469"/>
      <c r="V50" s="1469"/>
      <c r="W50" s="1469" t="s">
        <v>173</v>
      </c>
      <c r="X50" s="1469"/>
      <c r="Y50" s="1469"/>
      <c r="Z50" s="1469"/>
      <c r="AA50" s="1469"/>
      <c r="AB50" s="1469"/>
      <c r="AC50" s="1469"/>
      <c r="AD50" s="1469"/>
      <c r="AE50" s="1469"/>
      <c r="AF50" s="1469"/>
      <c r="AG50" s="1469"/>
      <c r="AH50" s="1469"/>
      <c r="AI50" s="1469"/>
      <c r="AJ50" s="1469"/>
      <c r="AK50" s="1469"/>
      <c r="AL50" s="1469" t="s">
        <v>173</v>
      </c>
      <c r="AM50" s="1469"/>
      <c r="AN50" s="1469"/>
      <c r="AO50" s="1469"/>
      <c r="AP50" s="1469"/>
      <c r="AQ50" s="1469"/>
      <c r="AR50" s="1469"/>
      <c r="AS50" s="1469"/>
      <c r="AT50" s="1469"/>
      <c r="AU50" s="1469"/>
      <c r="AV50" s="1469"/>
      <c r="AW50" s="1469"/>
      <c r="AX50" s="1469"/>
      <c r="AY50" s="1469"/>
      <c r="AZ50" s="1469"/>
      <c r="BA50" s="1469"/>
      <c r="BB50" s="1469"/>
      <c r="BC50" s="1469"/>
      <c r="BD50" s="1508"/>
      <c r="BE50" s="1508"/>
      <c r="BF50" s="1508"/>
      <c r="BG50" s="1508"/>
      <c r="BH50" s="1508"/>
      <c r="BI50" s="1508"/>
      <c r="BJ50" s="1508"/>
      <c r="BK50" s="1508"/>
      <c r="BL50" s="1515"/>
      <c r="BM50" s="694"/>
      <c r="BN50" s="694"/>
      <c r="BO50" s="694"/>
      <c r="BP50" s="694"/>
      <c r="BQ50" s="694"/>
      <c r="BR50" s="694"/>
      <c r="BS50" s="694"/>
      <c r="BT50" s="697"/>
      <c r="CD50" s="300">
        <f>Data_calc!AA136</f>
        <v>0</v>
      </c>
    </row>
    <row r="51" spans="3:82" ht="12.75" customHeight="1">
      <c r="D51" s="1465"/>
      <c r="E51" s="693"/>
      <c r="F51" s="1477" t="s">
        <v>173</v>
      </c>
      <c r="G51" s="1478"/>
      <c r="H51" s="1478"/>
      <c r="I51" s="1478"/>
      <c r="J51" s="1478"/>
      <c r="K51" s="1478"/>
      <c r="L51" s="1478"/>
      <c r="M51" s="1478"/>
      <c r="N51" s="1478"/>
      <c r="O51" s="1478"/>
      <c r="P51" s="1478"/>
      <c r="Q51" s="1478"/>
      <c r="R51" s="1478"/>
      <c r="S51" s="1478"/>
      <c r="T51" s="1478"/>
      <c r="U51" s="1478"/>
      <c r="V51" s="1478"/>
      <c r="W51" s="1478" t="s">
        <v>173</v>
      </c>
      <c r="X51" s="1478"/>
      <c r="Y51" s="1478"/>
      <c r="Z51" s="1478"/>
      <c r="AA51" s="1478"/>
      <c r="AB51" s="1478"/>
      <c r="AC51" s="1478"/>
      <c r="AD51" s="1478"/>
      <c r="AE51" s="1478"/>
      <c r="AF51" s="1478"/>
      <c r="AG51" s="1478"/>
      <c r="AH51" s="1478"/>
      <c r="AI51" s="1478"/>
      <c r="AJ51" s="1478"/>
      <c r="AK51" s="1478"/>
      <c r="AL51" s="1478" t="s">
        <v>173</v>
      </c>
      <c r="AM51" s="1478"/>
      <c r="AN51" s="1478"/>
      <c r="AO51" s="1478"/>
      <c r="AP51" s="1478"/>
      <c r="AQ51" s="1478"/>
      <c r="AR51" s="1478"/>
      <c r="AS51" s="1478"/>
      <c r="AT51" s="1478"/>
      <c r="AU51" s="1478"/>
      <c r="AV51" s="1478"/>
      <c r="AW51" s="1478"/>
      <c r="AX51" s="1478"/>
      <c r="AY51" s="1478"/>
      <c r="AZ51" s="1478"/>
      <c r="BA51" s="1478"/>
      <c r="BB51" s="1478"/>
      <c r="BC51" s="1478"/>
      <c r="BD51" s="1504"/>
      <c r="BE51" s="1504"/>
      <c r="BF51" s="1504"/>
      <c r="BG51" s="1504"/>
      <c r="BH51" s="1504"/>
      <c r="BI51" s="1504"/>
      <c r="BJ51" s="1504"/>
      <c r="BK51" s="1504"/>
      <c r="BL51" s="1514"/>
      <c r="BM51" s="694"/>
      <c r="BN51" s="694"/>
      <c r="BO51" s="694"/>
      <c r="BP51" s="694"/>
      <c r="BQ51" s="694"/>
      <c r="BR51" s="694"/>
      <c r="BS51" s="694"/>
      <c r="BT51" s="697"/>
      <c r="CD51" s="300">
        <f>Data_calc!AA137</f>
        <v>0</v>
      </c>
    </row>
    <row r="52" spans="3:82">
      <c r="C52" s="686"/>
      <c r="D52" s="1465"/>
      <c r="E52" s="727"/>
      <c r="F52" s="699"/>
      <c r="G52" s="699"/>
      <c r="H52" s="699"/>
      <c r="I52" s="699"/>
      <c r="J52" s="700"/>
      <c r="K52" s="700"/>
      <c r="L52" s="700"/>
      <c r="M52" s="700"/>
      <c r="N52" s="700"/>
      <c r="O52" s="700"/>
      <c r="P52" s="700"/>
      <c r="Q52" s="700"/>
      <c r="R52" s="700"/>
      <c r="S52" s="700"/>
      <c r="T52" s="700"/>
      <c r="U52" s="700"/>
      <c r="V52" s="700"/>
      <c r="W52" s="700"/>
      <c r="X52" s="700"/>
      <c r="Y52" s="700"/>
      <c r="Z52" s="700"/>
      <c r="AA52" s="700"/>
      <c r="AB52" s="700"/>
      <c r="AC52" s="700"/>
      <c r="AD52" s="700"/>
      <c r="AE52" s="700"/>
      <c r="AF52" s="728"/>
      <c r="AG52" s="694"/>
      <c r="AH52" s="694"/>
      <c r="AI52" s="694"/>
      <c r="AJ52" s="694"/>
      <c r="AK52" s="694"/>
      <c r="AL52" s="694"/>
      <c r="AM52" s="694"/>
      <c r="AN52" s="694"/>
      <c r="AO52" s="694"/>
      <c r="AP52" s="694"/>
      <c r="AQ52" s="694"/>
      <c r="AR52" s="694"/>
      <c r="AS52" s="694"/>
      <c r="AT52" s="699"/>
      <c r="AU52" s="694"/>
      <c r="AV52" s="694"/>
      <c r="AW52" s="694"/>
      <c r="AX52" s="694"/>
      <c r="AY52" s="694"/>
      <c r="AZ52" s="694"/>
      <c r="BA52" s="694"/>
      <c r="BB52" s="694"/>
      <c r="BC52" s="694"/>
      <c r="BD52" s="694"/>
      <c r="BE52" s="694"/>
      <c r="BF52" s="694"/>
      <c r="BG52" s="694"/>
      <c r="BH52" s="694"/>
      <c r="BI52" s="694"/>
      <c r="BJ52" s="694"/>
      <c r="BK52" s="694"/>
      <c r="BL52" s="694"/>
      <c r="BM52" s="694"/>
      <c r="BN52" s="694"/>
      <c r="BO52" s="694"/>
      <c r="BP52" s="694"/>
      <c r="BQ52" s="694"/>
      <c r="BR52" s="694"/>
      <c r="BS52" s="694"/>
      <c r="BT52" s="729"/>
    </row>
    <row r="53" spans="3:82">
      <c r="C53" s="686"/>
      <c r="D53" s="1465"/>
      <c r="E53" s="727"/>
      <c r="F53" s="1547" t="s">
        <v>5569</v>
      </c>
      <c r="G53" s="1548"/>
      <c r="H53" s="1548"/>
      <c r="I53" s="1548"/>
      <c r="J53" s="1548"/>
      <c r="K53" s="1548"/>
      <c r="L53" s="1548"/>
      <c r="M53" s="1548"/>
      <c r="N53" s="1548"/>
      <c r="O53" s="1548"/>
      <c r="P53" s="1548"/>
      <c r="Q53" s="1548"/>
      <c r="R53" s="1548"/>
      <c r="S53" s="1548"/>
      <c r="T53" s="1548"/>
      <c r="U53" s="1548"/>
      <c r="V53" s="1548"/>
      <c r="W53" s="1548"/>
      <c r="X53" s="1548"/>
      <c r="Y53" s="1548"/>
      <c r="Z53" s="1548"/>
      <c r="AA53" s="1548"/>
      <c r="AB53" s="1548"/>
      <c r="AC53" s="1548"/>
      <c r="AD53" s="1548"/>
      <c r="AE53" s="1548"/>
      <c r="AF53" s="1548"/>
      <c r="AG53" s="1548"/>
      <c r="AH53" s="1548"/>
      <c r="AI53" s="1548"/>
      <c r="AJ53" s="1548"/>
      <c r="AK53" s="1548"/>
      <c r="AL53" s="1548"/>
      <c r="AM53" s="1548"/>
      <c r="AN53" s="1548"/>
      <c r="AO53" s="1548"/>
      <c r="AP53" s="1548"/>
      <c r="AQ53" s="1548"/>
      <c r="AR53" s="1548"/>
      <c r="AS53" s="1548"/>
      <c r="AT53" s="1548"/>
      <c r="AU53" s="1548"/>
      <c r="AV53" s="1548"/>
      <c r="AW53" s="1548"/>
      <c r="AX53" s="1548"/>
      <c r="AY53" s="1548"/>
      <c r="AZ53" s="1548"/>
      <c r="BA53" s="1548"/>
      <c r="BB53" s="1548"/>
      <c r="BC53" s="1548"/>
      <c r="BD53" s="1548"/>
      <c r="BE53" s="1548"/>
      <c r="BF53" s="1548"/>
      <c r="BG53" s="1548"/>
      <c r="BH53" s="1548"/>
      <c r="BI53" s="1548"/>
      <c r="BJ53" s="1548"/>
      <c r="BK53" s="1548"/>
      <c r="BL53" s="1548"/>
      <c r="BM53" s="694"/>
      <c r="BN53" s="694"/>
      <c r="BO53" s="694"/>
      <c r="BP53" s="694"/>
      <c r="BQ53" s="694"/>
      <c r="BR53" s="694"/>
      <c r="BS53" s="694"/>
      <c r="BT53" s="729"/>
    </row>
    <row r="54" spans="3:82" ht="33.75" customHeight="1">
      <c r="D54" s="1465"/>
      <c r="E54" s="693"/>
      <c r="F54" s="1449" t="s">
        <v>5570</v>
      </c>
      <c r="G54" s="1449"/>
      <c r="H54" s="1449"/>
      <c r="I54" s="1449"/>
      <c r="J54" s="1449"/>
      <c r="K54" s="1449"/>
      <c r="L54" s="1449"/>
      <c r="M54" s="1449"/>
      <c r="N54" s="1449"/>
      <c r="O54" s="1449"/>
      <c r="P54" s="1449"/>
      <c r="Q54" s="1449"/>
      <c r="R54" s="1449"/>
      <c r="S54" s="1449"/>
      <c r="T54" s="1449"/>
      <c r="U54" s="1449"/>
      <c r="V54" s="1449"/>
      <c r="W54" s="1449" t="s">
        <v>4951</v>
      </c>
      <c r="X54" s="1449"/>
      <c r="Y54" s="1449"/>
      <c r="Z54" s="1449"/>
      <c r="AA54" s="1449"/>
      <c r="AB54" s="1449"/>
      <c r="AC54" s="1449"/>
      <c r="AD54" s="1449"/>
      <c r="AE54" s="1449"/>
      <c r="AF54" s="1449"/>
      <c r="AG54" s="1449"/>
      <c r="AH54" s="1449"/>
      <c r="AI54" s="1449"/>
      <c r="AJ54" s="1449"/>
      <c r="AK54" s="1449"/>
      <c r="AL54" s="1449" t="s">
        <v>4950</v>
      </c>
      <c r="AM54" s="1449"/>
      <c r="AN54" s="1449"/>
      <c r="AO54" s="1449"/>
      <c r="AP54" s="1449"/>
      <c r="AQ54" s="1449"/>
      <c r="AR54" s="1449"/>
      <c r="AS54" s="1449"/>
      <c r="AT54" s="1449"/>
      <c r="AU54" s="1449"/>
      <c r="AV54" s="1449"/>
      <c r="AW54" s="1449"/>
      <c r="AX54" s="1449"/>
      <c r="AY54" s="1449"/>
      <c r="AZ54" s="1449"/>
      <c r="BA54" s="1449"/>
      <c r="BB54" s="1449"/>
      <c r="BC54" s="1449"/>
      <c r="BD54" s="1449" t="s">
        <v>4949</v>
      </c>
      <c r="BE54" s="1449"/>
      <c r="BF54" s="1449"/>
      <c r="BG54" s="1449"/>
      <c r="BH54" s="1512" t="s">
        <v>5392</v>
      </c>
      <c r="BI54" s="1512"/>
      <c r="BJ54" s="1512"/>
      <c r="BK54" s="1512"/>
      <c r="BL54" s="1512"/>
      <c r="BM54" s="694"/>
      <c r="BN54" s="694"/>
      <c r="BO54" s="694"/>
      <c r="BP54" s="694"/>
      <c r="BQ54" s="694"/>
      <c r="BR54" s="694"/>
      <c r="BS54" s="694"/>
      <c r="BT54" s="726"/>
    </row>
    <row r="55" spans="3:82" ht="12.75" customHeight="1">
      <c r="D55" s="1465"/>
      <c r="E55" s="693"/>
      <c r="F55" s="1468" t="s">
        <v>173</v>
      </c>
      <c r="G55" s="1469"/>
      <c r="H55" s="1469"/>
      <c r="I55" s="1469"/>
      <c r="J55" s="1469"/>
      <c r="K55" s="1469"/>
      <c r="L55" s="1469"/>
      <c r="M55" s="1469"/>
      <c r="N55" s="1469"/>
      <c r="O55" s="1469"/>
      <c r="P55" s="1469"/>
      <c r="Q55" s="1469"/>
      <c r="R55" s="1469"/>
      <c r="S55" s="1469"/>
      <c r="T55" s="1469"/>
      <c r="U55" s="1469"/>
      <c r="V55" s="1469"/>
      <c r="W55" s="1469" t="s">
        <v>173</v>
      </c>
      <c r="X55" s="1469"/>
      <c r="Y55" s="1469"/>
      <c r="Z55" s="1469"/>
      <c r="AA55" s="1469"/>
      <c r="AB55" s="1469"/>
      <c r="AC55" s="1469"/>
      <c r="AD55" s="1469"/>
      <c r="AE55" s="1469"/>
      <c r="AF55" s="1469"/>
      <c r="AG55" s="1469"/>
      <c r="AH55" s="1469"/>
      <c r="AI55" s="1469"/>
      <c r="AJ55" s="1469"/>
      <c r="AK55" s="1469"/>
      <c r="AL55" s="1469" t="s">
        <v>173</v>
      </c>
      <c r="AM55" s="1469"/>
      <c r="AN55" s="1469"/>
      <c r="AO55" s="1469"/>
      <c r="AP55" s="1469"/>
      <c r="AQ55" s="1469"/>
      <c r="AR55" s="1469"/>
      <c r="AS55" s="1469"/>
      <c r="AT55" s="1469"/>
      <c r="AU55" s="1469"/>
      <c r="AV55" s="1469"/>
      <c r="AW55" s="1469"/>
      <c r="AX55" s="1469"/>
      <c r="AY55" s="1469"/>
      <c r="AZ55" s="1469"/>
      <c r="BA55" s="1469"/>
      <c r="BB55" s="1469"/>
      <c r="BC55" s="1469"/>
      <c r="BD55" s="1488"/>
      <c r="BE55" s="1488"/>
      <c r="BF55" s="1488"/>
      <c r="BG55" s="1488"/>
      <c r="BH55" s="1488"/>
      <c r="BI55" s="1488"/>
      <c r="BJ55" s="1488"/>
      <c r="BK55" s="1488"/>
      <c r="BL55" s="1489"/>
      <c r="BM55" s="694"/>
      <c r="BN55" s="694"/>
      <c r="BO55" s="694"/>
      <c r="BP55" s="694"/>
      <c r="BQ55" s="694"/>
      <c r="BR55" s="694"/>
      <c r="BS55" s="694"/>
      <c r="BT55" s="697"/>
      <c r="BV55" s="304"/>
      <c r="CD55" s="300">
        <f>Data_calc!AA167</f>
        <v>0</v>
      </c>
    </row>
    <row r="56" spans="3:82" ht="12.75" customHeight="1">
      <c r="D56" s="1465"/>
      <c r="E56" s="693"/>
      <c r="F56" s="1468" t="s">
        <v>173</v>
      </c>
      <c r="G56" s="1469"/>
      <c r="H56" s="1469"/>
      <c r="I56" s="1469"/>
      <c r="J56" s="1469"/>
      <c r="K56" s="1469"/>
      <c r="L56" s="1469"/>
      <c r="M56" s="1469"/>
      <c r="N56" s="1469"/>
      <c r="O56" s="1469"/>
      <c r="P56" s="1469"/>
      <c r="Q56" s="1469"/>
      <c r="R56" s="1469"/>
      <c r="S56" s="1469"/>
      <c r="T56" s="1469"/>
      <c r="U56" s="1469"/>
      <c r="V56" s="1469"/>
      <c r="W56" s="1469" t="s">
        <v>173</v>
      </c>
      <c r="X56" s="1469"/>
      <c r="Y56" s="1469"/>
      <c r="Z56" s="1469"/>
      <c r="AA56" s="1469"/>
      <c r="AB56" s="1469"/>
      <c r="AC56" s="1469"/>
      <c r="AD56" s="1469"/>
      <c r="AE56" s="1469"/>
      <c r="AF56" s="1469"/>
      <c r="AG56" s="1469"/>
      <c r="AH56" s="1469"/>
      <c r="AI56" s="1469"/>
      <c r="AJ56" s="1469"/>
      <c r="AK56" s="1469"/>
      <c r="AL56" s="1469" t="s">
        <v>173</v>
      </c>
      <c r="AM56" s="1469"/>
      <c r="AN56" s="1469"/>
      <c r="AO56" s="1469"/>
      <c r="AP56" s="1469"/>
      <c r="AQ56" s="1469"/>
      <c r="AR56" s="1469"/>
      <c r="AS56" s="1469"/>
      <c r="AT56" s="1469"/>
      <c r="AU56" s="1469"/>
      <c r="AV56" s="1469"/>
      <c r="AW56" s="1469"/>
      <c r="AX56" s="1469"/>
      <c r="AY56" s="1469"/>
      <c r="AZ56" s="1469"/>
      <c r="BA56" s="1469"/>
      <c r="BB56" s="1469"/>
      <c r="BC56" s="1469"/>
      <c r="BD56" s="1508"/>
      <c r="BE56" s="1508"/>
      <c r="BF56" s="1508"/>
      <c r="BG56" s="1508"/>
      <c r="BH56" s="1508"/>
      <c r="BI56" s="1508"/>
      <c r="BJ56" s="1508"/>
      <c r="BK56" s="1508"/>
      <c r="BL56" s="1515"/>
      <c r="BM56" s="694"/>
      <c r="BN56" s="694"/>
      <c r="BO56" s="694"/>
      <c r="BP56" s="694"/>
      <c r="BQ56" s="694"/>
      <c r="BR56" s="694"/>
      <c r="BS56" s="694"/>
      <c r="BT56" s="697"/>
      <c r="BV56" s="304"/>
      <c r="CD56" s="300">
        <f>Data_calc!AA168</f>
        <v>0</v>
      </c>
    </row>
    <row r="57" spans="3:82" ht="12.75" customHeight="1">
      <c r="D57" s="1465"/>
      <c r="E57" s="693"/>
      <c r="F57" s="1468" t="s">
        <v>173</v>
      </c>
      <c r="G57" s="1469"/>
      <c r="H57" s="1469"/>
      <c r="I57" s="1469"/>
      <c r="J57" s="1469"/>
      <c r="K57" s="1469"/>
      <c r="L57" s="1469"/>
      <c r="M57" s="1469"/>
      <c r="N57" s="1469"/>
      <c r="O57" s="1469"/>
      <c r="P57" s="1469"/>
      <c r="Q57" s="1469"/>
      <c r="R57" s="1469"/>
      <c r="S57" s="1469"/>
      <c r="T57" s="1469"/>
      <c r="U57" s="1469"/>
      <c r="V57" s="1469"/>
      <c r="W57" s="1469" t="s">
        <v>173</v>
      </c>
      <c r="X57" s="1469"/>
      <c r="Y57" s="1469"/>
      <c r="Z57" s="1469"/>
      <c r="AA57" s="1469"/>
      <c r="AB57" s="1469"/>
      <c r="AC57" s="1469"/>
      <c r="AD57" s="1469"/>
      <c r="AE57" s="1469"/>
      <c r="AF57" s="1469"/>
      <c r="AG57" s="1469"/>
      <c r="AH57" s="1469"/>
      <c r="AI57" s="1469"/>
      <c r="AJ57" s="1469"/>
      <c r="AK57" s="1469"/>
      <c r="AL57" s="1469" t="s">
        <v>173</v>
      </c>
      <c r="AM57" s="1469"/>
      <c r="AN57" s="1469"/>
      <c r="AO57" s="1469"/>
      <c r="AP57" s="1469"/>
      <c r="AQ57" s="1469"/>
      <c r="AR57" s="1469"/>
      <c r="AS57" s="1469"/>
      <c r="AT57" s="1469"/>
      <c r="AU57" s="1469"/>
      <c r="AV57" s="1469"/>
      <c r="AW57" s="1469"/>
      <c r="AX57" s="1469"/>
      <c r="AY57" s="1469"/>
      <c r="AZ57" s="1469"/>
      <c r="BA57" s="1469"/>
      <c r="BB57" s="1469"/>
      <c r="BC57" s="1469"/>
      <c r="BD57" s="1508"/>
      <c r="BE57" s="1508"/>
      <c r="BF57" s="1508"/>
      <c r="BG57" s="1508"/>
      <c r="BH57" s="1508"/>
      <c r="BI57" s="1508"/>
      <c r="BJ57" s="1508"/>
      <c r="BK57" s="1508"/>
      <c r="BL57" s="1515"/>
      <c r="BM57" s="694"/>
      <c r="BN57" s="694"/>
      <c r="BO57" s="694"/>
      <c r="BP57" s="694"/>
      <c r="BQ57" s="694"/>
      <c r="BR57" s="694"/>
      <c r="BS57" s="694"/>
      <c r="BT57" s="697"/>
      <c r="CD57" s="300">
        <f>Data_calc!AA169</f>
        <v>0</v>
      </c>
    </row>
    <row r="58" spans="3:82" ht="12" customHeight="1">
      <c r="D58" s="1465"/>
      <c r="E58" s="693"/>
      <c r="F58" s="1468" t="s">
        <v>173</v>
      </c>
      <c r="G58" s="1469"/>
      <c r="H58" s="1469"/>
      <c r="I58" s="1469"/>
      <c r="J58" s="1469"/>
      <c r="K58" s="1469"/>
      <c r="L58" s="1469"/>
      <c r="M58" s="1469"/>
      <c r="N58" s="1469"/>
      <c r="O58" s="1469"/>
      <c r="P58" s="1469"/>
      <c r="Q58" s="1469"/>
      <c r="R58" s="1469"/>
      <c r="S58" s="1469"/>
      <c r="T58" s="1469"/>
      <c r="U58" s="1469"/>
      <c r="V58" s="1469"/>
      <c r="W58" s="1469" t="s">
        <v>173</v>
      </c>
      <c r="X58" s="1469"/>
      <c r="Y58" s="1469"/>
      <c r="Z58" s="1469"/>
      <c r="AA58" s="1469"/>
      <c r="AB58" s="1469"/>
      <c r="AC58" s="1469"/>
      <c r="AD58" s="1469"/>
      <c r="AE58" s="1469"/>
      <c r="AF58" s="1469"/>
      <c r="AG58" s="1469"/>
      <c r="AH58" s="1469"/>
      <c r="AI58" s="1469"/>
      <c r="AJ58" s="1469"/>
      <c r="AK58" s="1469"/>
      <c r="AL58" s="1469" t="s">
        <v>173</v>
      </c>
      <c r="AM58" s="1469"/>
      <c r="AN58" s="1469"/>
      <c r="AO58" s="1469"/>
      <c r="AP58" s="1469"/>
      <c r="AQ58" s="1469"/>
      <c r="AR58" s="1469"/>
      <c r="AS58" s="1469"/>
      <c r="AT58" s="1469"/>
      <c r="AU58" s="1469"/>
      <c r="AV58" s="1469"/>
      <c r="AW58" s="1469"/>
      <c r="AX58" s="1469"/>
      <c r="AY58" s="1469"/>
      <c r="AZ58" s="1469"/>
      <c r="BA58" s="1469"/>
      <c r="BB58" s="1469"/>
      <c r="BC58" s="1469"/>
      <c r="BD58" s="1508"/>
      <c r="BE58" s="1508"/>
      <c r="BF58" s="1508"/>
      <c r="BG58" s="1508"/>
      <c r="BH58" s="1508"/>
      <c r="BI58" s="1508"/>
      <c r="BJ58" s="1508"/>
      <c r="BK58" s="1508"/>
      <c r="BL58" s="1515"/>
      <c r="BM58" s="694"/>
      <c r="BN58" s="694"/>
      <c r="BO58" s="694"/>
      <c r="BP58" s="694"/>
      <c r="BQ58" s="694"/>
      <c r="BR58" s="694"/>
      <c r="BS58" s="694"/>
      <c r="BT58" s="697"/>
      <c r="CD58" s="300">
        <f>Data_calc!AA170</f>
        <v>0</v>
      </c>
    </row>
    <row r="59" spans="3:82" ht="12.75" customHeight="1">
      <c r="D59" s="1465"/>
      <c r="E59" s="693"/>
      <c r="F59" s="1477" t="s">
        <v>173</v>
      </c>
      <c r="G59" s="1478"/>
      <c r="H59" s="1478"/>
      <c r="I59" s="1478"/>
      <c r="J59" s="1478"/>
      <c r="K59" s="1478"/>
      <c r="L59" s="1478"/>
      <c r="M59" s="1478"/>
      <c r="N59" s="1478"/>
      <c r="O59" s="1478"/>
      <c r="P59" s="1478"/>
      <c r="Q59" s="1478"/>
      <c r="R59" s="1478"/>
      <c r="S59" s="1478"/>
      <c r="T59" s="1478"/>
      <c r="U59" s="1478"/>
      <c r="V59" s="1478"/>
      <c r="W59" s="1478" t="s">
        <v>173</v>
      </c>
      <c r="X59" s="1478"/>
      <c r="Y59" s="1478"/>
      <c r="Z59" s="1478"/>
      <c r="AA59" s="1478"/>
      <c r="AB59" s="1478"/>
      <c r="AC59" s="1478"/>
      <c r="AD59" s="1478"/>
      <c r="AE59" s="1478"/>
      <c r="AF59" s="1478"/>
      <c r="AG59" s="1478"/>
      <c r="AH59" s="1478"/>
      <c r="AI59" s="1478"/>
      <c r="AJ59" s="1478"/>
      <c r="AK59" s="1478"/>
      <c r="AL59" s="1478" t="s">
        <v>173</v>
      </c>
      <c r="AM59" s="1478"/>
      <c r="AN59" s="1478"/>
      <c r="AO59" s="1478"/>
      <c r="AP59" s="1478"/>
      <c r="AQ59" s="1478"/>
      <c r="AR59" s="1478"/>
      <c r="AS59" s="1478"/>
      <c r="AT59" s="1478"/>
      <c r="AU59" s="1478"/>
      <c r="AV59" s="1478"/>
      <c r="AW59" s="1478"/>
      <c r="AX59" s="1478"/>
      <c r="AY59" s="1478"/>
      <c r="AZ59" s="1478"/>
      <c r="BA59" s="1478"/>
      <c r="BB59" s="1478"/>
      <c r="BC59" s="1478"/>
      <c r="BD59" s="1504"/>
      <c r="BE59" s="1504"/>
      <c r="BF59" s="1504"/>
      <c r="BG59" s="1504"/>
      <c r="BH59" s="1504"/>
      <c r="BI59" s="1504"/>
      <c r="BJ59" s="1504"/>
      <c r="BK59" s="1504"/>
      <c r="BL59" s="1514"/>
      <c r="BM59" s="694"/>
      <c r="BN59" s="694"/>
      <c r="BO59" s="694"/>
      <c r="BP59" s="694"/>
      <c r="BQ59" s="694"/>
      <c r="BR59" s="694"/>
      <c r="BS59" s="694"/>
      <c r="BT59" s="697"/>
      <c r="CD59" s="300">
        <f>Data_calc!AA171</f>
        <v>0</v>
      </c>
    </row>
    <row r="60" spans="3:82">
      <c r="C60" s="686"/>
      <c r="D60" s="1465"/>
      <c r="E60" s="727"/>
      <c r="F60" s="699"/>
      <c r="G60" s="699"/>
      <c r="H60" s="699"/>
      <c r="I60" s="699"/>
      <c r="J60" s="700"/>
      <c r="K60" s="700"/>
      <c r="L60" s="700"/>
      <c r="M60" s="700"/>
      <c r="N60" s="700"/>
      <c r="O60" s="700"/>
      <c r="P60" s="700"/>
      <c r="Q60" s="700"/>
      <c r="R60" s="700"/>
      <c r="S60" s="700"/>
      <c r="T60" s="700"/>
      <c r="U60" s="700"/>
      <c r="V60" s="700"/>
      <c r="W60" s="700"/>
      <c r="X60" s="700"/>
      <c r="Y60" s="700"/>
      <c r="Z60" s="700"/>
      <c r="AA60" s="700"/>
      <c r="AB60" s="700"/>
      <c r="AC60" s="700"/>
      <c r="AD60" s="700"/>
      <c r="AE60" s="700"/>
      <c r="AF60" s="728"/>
      <c r="AG60" s="694"/>
      <c r="AH60" s="694"/>
      <c r="AI60" s="694"/>
      <c r="AJ60" s="694"/>
      <c r="AK60" s="694"/>
      <c r="AL60" s="694"/>
      <c r="AM60" s="694"/>
      <c r="AN60" s="694"/>
      <c r="AO60" s="694"/>
      <c r="AP60" s="694"/>
      <c r="AQ60" s="694"/>
      <c r="AR60" s="694"/>
      <c r="AS60" s="694"/>
      <c r="AT60" s="699"/>
      <c r="AU60" s="694"/>
      <c r="AV60" s="694"/>
      <c r="AW60" s="694"/>
      <c r="AX60" s="694"/>
      <c r="AY60" s="694"/>
      <c r="AZ60" s="694"/>
      <c r="BA60" s="694"/>
      <c r="BB60" s="694"/>
      <c r="BC60" s="694"/>
      <c r="BD60" s="694"/>
      <c r="BE60" s="694"/>
      <c r="BF60" s="694"/>
      <c r="BG60" s="694"/>
      <c r="BH60" s="694"/>
      <c r="BI60" s="694"/>
      <c r="BJ60" s="694"/>
      <c r="BK60" s="694"/>
      <c r="BL60" s="694"/>
      <c r="BM60" s="694"/>
      <c r="BN60" s="694"/>
      <c r="BO60" s="694"/>
      <c r="BP60" s="694"/>
      <c r="BQ60" s="694"/>
      <c r="BR60" s="694"/>
      <c r="BS60" s="694"/>
      <c r="BT60" s="729"/>
    </row>
    <row r="61" spans="3:82">
      <c r="C61" s="686"/>
      <c r="D61" s="1465"/>
      <c r="E61" s="727"/>
      <c r="F61" s="1547" t="s">
        <v>5603</v>
      </c>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c r="AO61" s="1548"/>
      <c r="AP61" s="1548"/>
      <c r="AQ61" s="1548"/>
      <c r="AR61" s="1548"/>
      <c r="AS61" s="1548"/>
      <c r="AT61" s="1548"/>
      <c r="AU61" s="1548"/>
      <c r="AV61" s="1548"/>
      <c r="AW61" s="1548"/>
      <c r="AX61" s="694"/>
      <c r="AY61" s="694"/>
      <c r="AZ61" s="694"/>
      <c r="BA61" s="694"/>
      <c r="BB61" s="694"/>
      <c r="BC61" s="694"/>
      <c r="BD61" s="694"/>
      <c r="BE61" s="694"/>
      <c r="BF61" s="694"/>
      <c r="BG61" s="694"/>
      <c r="BH61" s="694"/>
      <c r="BI61" s="694"/>
      <c r="BJ61" s="694"/>
      <c r="BK61" s="694"/>
      <c r="BL61" s="694"/>
      <c r="BM61" s="694"/>
      <c r="BN61" s="694"/>
      <c r="BO61" s="694"/>
      <c r="BP61" s="694"/>
      <c r="BQ61" s="694"/>
      <c r="BR61" s="694"/>
      <c r="BS61" s="694"/>
      <c r="BT61" s="729"/>
    </row>
    <row r="62" spans="3:82" ht="33.75" customHeight="1">
      <c r="D62" s="1465"/>
      <c r="E62" s="693"/>
      <c r="F62" s="1527" t="s">
        <v>5574</v>
      </c>
      <c r="G62" s="1528"/>
      <c r="H62" s="1528"/>
      <c r="I62" s="1528"/>
      <c r="J62" s="1528"/>
      <c r="K62" s="1528"/>
      <c r="L62" s="1528"/>
      <c r="M62" s="1528"/>
      <c r="N62" s="1528"/>
      <c r="O62" s="1528"/>
      <c r="P62" s="1528"/>
      <c r="Q62" s="1528"/>
      <c r="R62" s="1528"/>
      <c r="S62" s="1528"/>
      <c r="T62" s="1528"/>
      <c r="U62" s="1528"/>
      <c r="V62" s="1529"/>
      <c r="W62" s="1527" t="s">
        <v>4950</v>
      </c>
      <c r="X62" s="1528"/>
      <c r="Y62" s="1528"/>
      <c r="Z62" s="1528"/>
      <c r="AA62" s="1528"/>
      <c r="AB62" s="1528"/>
      <c r="AC62" s="1528"/>
      <c r="AD62" s="1528"/>
      <c r="AE62" s="1528"/>
      <c r="AF62" s="1528"/>
      <c r="AG62" s="1528"/>
      <c r="AH62" s="1528"/>
      <c r="AI62" s="1528"/>
      <c r="AJ62" s="1528"/>
      <c r="AK62" s="1528"/>
      <c r="AL62" s="1528"/>
      <c r="AM62" s="1528"/>
      <c r="AN62" s="1529"/>
      <c r="AO62" s="1527" t="s">
        <v>4949</v>
      </c>
      <c r="AP62" s="1528"/>
      <c r="AQ62" s="1528"/>
      <c r="AR62" s="1529"/>
      <c r="AS62" s="1530" t="s">
        <v>5392</v>
      </c>
      <c r="AT62" s="1531"/>
      <c r="AU62" s="1531"/>
      <c r="AV62" s="1531"/>
      <c r="AW62" s="1532"/>
      <c r="AX62" s="699"/>
      <c r="AY62" s="699"/>
      <c r="AZ62" s="699"/>
      <c r="BA62" s="699"/>
      <c r="BB62" s="699"/>
      <c r="BC62" s="699"/>
      <c r="BD62" s="699"/>
      <c r="BE62" s="699"/>
      <c r="BF62" s="699"/>
      <c r="BG62" s="699"/>
      <c r="BH62" s="699"/>
      <c r="BI62" s="699"/>
      <c r="BJ62" s="699"/>
      <c r="BK62" s="699"/>
      <c r="BL62" s="699"/>
      <c r="BM62" s="699"/>
      <c r="BN62" s="699"/>
      <c r="BO62" s="699"/>
      <c r="BP62" s="699"/>
      <c r="BQ62" s="699"/>
      <c r="BR62" s="699"/>
      <c r="BS62" s="699"/>
      <c r="BT62" s="697"/>
    </row>
    <row r="63" spans="3:82" ht="12.75" customHeight="1">
      <c r="D63" s="1465"/>
      <c r="E63" s="693"/>
      <c r="F63" s="1519" t="s">
        <v>173</v>
      </c>
      <c r="G63" s="1520"/>
      <c r="H63" s="1520"/>
      <c r="I63" s="1520"/>
      <c r="J63" s="1520"/>
      <c r="K63" s="1520"/>
      <c r="L63" s="1520"/>
      <c r="M63" s="1520"/>
      <c r="N63" s="1520"/>
      <c r="O63" s="1520"/>
      <c r="P63" s="1520"/>
      <c r="Q63" s="1520"/>
      <c r="R63" s="1520"/>
      <c r="S63" s="1520"/>
      <c r="T63" s="1520"/>
      <c r="U63" s="1520"/>
      <c r="V63" s="1521"/>
      <c r="W63" s="1522" t="s">
        <v>173</v>
      </c>
      <c r="X63" s="1520"/>
      <c r="Y63" s="1520"/>
      <c r="Z63" s="1520"/>
      <c r="AA63" s="1520"/>
      <c r="AB63" s="1520"/>
      <c r="AC63" s="1520"/>
      <c r="AD63" s="1520"/>
      <c r="AE63" s="1520"/>
      <c r="AF63" s="1520"/>
      <c r="AG63" s="1520"/>
      <c r="AH63" s="1520"/>
      <c r="AI63" s="1520"/>
      <c r="AJ63" s="1520"/>
      <c r="AK63" s="1520"/>
      <c r="AL63" s="1520"/>
      <c r="AM63" s="1520"/>
      <c r="AN63" s="1521"/>
      <c r="AO63" s="1523"/>
      <c r="AP63" s="1524"/>
      <c r="AQ63" s="1524"/>
      <c r="AR63" s="1525"/>
      <c r="AS63" s="1523"/>
      <c r="AT63" s="1524"/>
      <c r="AU63" s="1524"/>
      <c r="AV63" s="1524"/>
      <c r="AW63" s="1526"/>
      <c r="AX63" s="699"/>
      <c r="AY63" s="699"/>
      <c r="AZ63" s="699"/>
      <c r="BA63" s="699"/>
      <c r="BB63" s="699"/>
      <c r="BC63" s="699"/>
      <c r="BD63" s="699"/>
      <c r="BE63" s="699"/>
      <c r="BF63" s="699"/>
      <c r="BG63" s="699"/>
      <c r="BH63" s="699"/>
      <c r="BI63" s="699"/>
      <c r="BJ63" s="699"/>
      <c r="BK63" s="699"/>
      <c r="BL63" s="699"/>
      <c r="BM63" s="699"/>
      <c r="BN63" s="699"/>
      <c r="BO63" s="699"/>
      <c r="BP63" s="699"/>
      <c r="BQ63" s="699"/>
      <c r="BR63" s="699"/>
      <c r="BS63" s="699"/>
      <c r="BT63" s="697"/>
      <c r="CD63" s="300">
        <f>Data_calc!Z200</f>
        <v>0</v>
      </c>
    </row>
    <row r="64" spans="3:82" ht="12.75" customHeight="1">
      <c r="D64" s="1465"/>
      <c r="E64" s="693"/>
      <c r="F64" s="1519" t="s">
        <v>173</v>
      </c>
      <c r="G64" s="1520"/>
      <c r="H64" s="1520"/>
      <c r="I64" s="1520"/>
      <c r="J64" s="1520"/>
      <c r="K64" s="1520"/>
      <c r="L64" s="1520"/>
      <c r="M64" s="1520"/>
      <c r="N64" s="1520"/>
      <c r="O64" s="1520"/>
      <c r="P64" s="1520"/>
      <c r="Q64" s="1520"/>
      <c r="R64" s="1520"/>
      <c r="S64" s="1520"/>
      <c r="T64" s="1520"/>
      <c r="U64" s="1520"/>
      <c r="V64" s="1521"/>
      <c r="W64" s="1522" t="s">
        <v>173</v>
      </c>
      <c r="X64" s="1520"/>
      <c r="Y64" s="1520"/>
      <c r="Z64" s="1520"/>
      <c r="AA64" s="1520"/>
      <c r="AB64" s="1520"/>
      <c r="AC64" s="1520"/>
      <c r="AD64" s="1520"/>
      <c r="AE64" s="1520"/>
      <c r="AF64" s="1520"/>
      <c r="AG64" s="1520"/>
      <c r="AH64" s="1520"/>
      <c r="AI64" s="1520"/>
      <c r="AJ64" s="1520"/>
      <c r="AK64" s="1520"/>
      <c r="AL64" s="1520"/>
      <c r="AM64" s="1520"/>
      <c r="AN64" s="1521"/>
      <c r="AO64" s="1533"/>
      <c r="AP64" s="1534"/>
      <c r="AQ64" s="1534"/>
      <c r="AR64" s="1535"/>
      <c r="AS64" s="1533"/>
      <c r="AT64" s="1534"/>
      <c r="AU64" s="1534"/>
      <c r="AV64" s="1534"/>
      <c r="AW64" s="1536"/>
      <c r="AX64" s="699"/>
      <c r="AY64" s="699"/>
      <c r="AZ64" s="699"/>
      <c r="BA64" s="699"/>
      <c r="BB64" s="699"/>
      <c r="BC64" s="699"/>
      <c r="BD64" s="699"/>
      <c r="BE64" s="699"/>
      <c r="BF64" s="699"/>
      <c r="BG64" s="699"/>
      <c r="BH64" s="699"/>
      <c r="BI64" s="699"/>
      <c r="BJ64" s="699"/>
      <c r="BK64" s="699"/>
      <c r="BL64" s="699"/>
      <c r="BM64" s="699"/>
      <c r="BN64" s="699"/>
      <c r="BO64" s="699"/>
      <c r="BP64" s="699"/>
      <c r="BQ64" s="699"/>
      <c r="BR64" s="699"/>
      <c r="BS64" s="699"/>
      <c r="BT64" s="697"/>
      <c r="CD64" s="300">
        <f>Data_calc!Z201</f>
        <v>0</v>
      </c>
    </row>
    <row r="65" spans="3:82" ht="12.75" customHeight="1">
      <c r="D65" s="1465"/>
      <c r="E65" s="693"/>
      <c r="F65" s="1519" t="s">
        <v>173</v>
      </c>
      <c r="G65" s="1520"/>
      <c r="H65" s="1520"/>
      <c r="I65" s="1520"/>
      <c r="J65" s="1520"/>
      <c r="K65" s="1520"/>
      <c r="L65" s="1520"/>
      <c r="M65" s="1520"/>
      <c r="N65" s="1520"/>
      <c r="O65" s="1520"/>
      <c r="P65" s="1520"/>
      <c r="Q65" s="1520"/>
      <c r="R65" s="1520"/>
      <c r="S65" s="1520"/>
      <c r="T65" s="1520"/>
      <c r="U65" s="1520"/>
      <c r="V65" s="1521"/>
      <c r="W65" s="1522" t="s">
        <v>173</v>
      </c>
      <c r="X65" s="1520"/>
      <c r="Y65" s="1520"/>
      <c r="Z65" s="1520"/>
      <c r="AA65" s="1520"/>
      <c r="AB65" s="1520"/>
      <c r="AC65" s="1520"/>
      <c r="AD65" s="1520"/>
      <c r="AE65" s="1520"/>
      <c r="AF65" s="1520"/>
      <c r="AG65" s="1520"/>
      <c r="AH65" s="1520"/>
      <c r="AI65" s="1520"/>
      <c r="AJ65" s="1520"/>
      <c r="AK65" s="1520"/>
      <c r="AL65" s="1520"/>
      <c r="AM65" s="1520"/>
      <c r="AN65" s="1521"/>
      <c r="AO65" s="1533"/>
      <c r="AP65" s="1534"/>
      <c r="AQ65" s="1534"/>
      <c r="AR65" s="1535"/>
      <c r="AS65" s="1533"/>
      <c r="AT65" s="1534"/>
      <c r="AU65" s="1534"/>
      <c r="AV65" s="1534"/>
      <c r="AW65" s="1536"/>
      <c r="AX65" s="699"/>
      <c r="AY65" s="699"/>
      <c r="AZ65" s="699"/>
      <c r="BA65" s="699"/>
      <c r="BB65" s="699"/>
      <c r="BC65" s="699"/>
      <c r="BD65" s="699"/>
      <c r="BE65" s="699"/>
      <c r="BF65" s="699"/>
      <c r="BG65" s="699"/>
      <c r="BH65" s="699"/>
      <c r="BI65" s="699"/>
      <c r="BJ65" s="699"/>
      <c r="BK65" s="699"/>
      <c r="BL65" s="699"/>
      <c r="BM65" s="699"/>
      <c r="BN65" s="699"/>
      <c r="BO65" s="699"/>
      <c r="BP65" s="699"/>
      <c r="BQ65" s="699"/>
      <c r="BR65" s="699"/>
      <c r="BS65" s="699"/>
      <c r="BT65" s="697"/>
      <c r="CD65" s="300">
        <f>Data_calc!Z202</f>
        <v>0</v>
      </c>
    </row>
    <row r="66" spans="3:82" ht="12" customHeight="1">
      <c r="D66" s="1465"/>
      <c r="E66" s="693"/>
      <c r="F66" s="1519" t="s">
        <v>173</v>
      </c>
      <c r="G66" s="1520"/>
      <c r="H66" s="1520"/>
      <c r="I66" s="1520"/>
      <c r="J66" s="1520"/>
      <c r="K66" s="1520"/>
      <c r="L66" s="1520"/>
      <c r="M66" s="1520"/>
      <c r="N66" s="1520"/>
      <c r="O66" s="1520"/>
      <c r="P66" s="1520"/>
      <c r="Q66" s="1520"/>
      <c r="R66" s="1520"/>
      <c r="S66" s="1520"/>
      <c r="T66" s="1520"/>
      <c r="U66" s="1520"/>
      <c r="V66" s="1521"/>
      <c r="W66" s="1522" t="s">
        <v>173</v>
      </c>
      <c r="X66" s="1520"/>
      <c r="Y66" s="1520"/>
      <c r="Z66" s="1520"/>
      <c r="AA66" s="1520"/>
      <c r="AB66" s="1520"/>
      <c r="AC66" s="1520"/>
      <c r="AD66" s="1520"/>
      <c r="AE66" s="1520"/>
      <c r="AF66" s="1520"/>
      <c r="AG66" s="1520"/>
      <c r="AH66" s="1520"/>
      <c r="AI66" s="1520"/>
      <c r="AJ66" s="1520"/>
      <c r="AK66" s="1520"/>
      <c r="AL66" s="1520"/>
      <c r="AM66" s="1520"/>
      <c r="AN66" s="1521"/>
      <c r="AO66" s="1533"/>
      <c r="AP66" s="1534"/>
      <c r="AQ66" s="1534"/>
      <c r="AR66" s="1535"/>
      <c r="AS66" s="1533"/>
      <c r="AT66" s="1534"/>
      <c r="AU66" s="1534"/>
      <c r="AV66" s="1534"/>
      <c r="AW66" s="1536"/>
      <c r="AX66" s="699"/>
      <c r="AY66" s="699"/>
      <c r="AZ66" s="699"/>
      <c r="BA66" s="699"/>
      <c r="BB66" s="699"/>
      <c r="BC66" s="699"/>
      <c r="BD66" s="699"/>
      <c r="BE66" s="699"/>
      <c r="BF66" s="699"/>
      <c r="BG66" s="699"/>
      <c r="BH66" s="699"/>
      <c r="BI66" s="699"/>
      <c r="BJ66" s="699"/>
      <c r="BK66" s="699"/>
      <c r="BL66" s="699"/>
      <c r="BM66" s="699"/>
      <c r="BN66" s="699"/>
      <c r="BO66" s="699"/>
      <c r="BP66" s="699"/>
      <c r="BQ66" s="699"/>
      <c r="BR66" s="699"/>
      <c r="BS66" s="699"/>
      <c r="BT66" s="697"/>
      <c r="CD66" s="300">
        <f>Data_calc!Z203</f>
        <v>0</v>
      </c>
    </row>
    <row r="67" spans="3:82" ht="12.75" customHeight="1">
      <c r="D67" s="1465"/>
      <c r="E67" s="693"/>
      <c r="F67" s="1473" t="s">
        <v>173</v>
      </c>
      <c r="G67" s="1474"/>
      <c r="H67" s="1474"/>
      <c r="I67" s="1474"/>
      <c r="J67" s="1474"/>
      <c r="K67" s="1474"/>
      <c r="L67" s="1474"/>
      <c r="M67" s="1474"/>
      <c r="N67" s="1474"/>
      <c r="O67" s="1474"/>
      <c r="P67" s="1474"/>
      <c r="Q67" s="1474"/>
      <c r="R67" s="1474"/>
      <c r="S67" s="1474"/>
      <c r="T67" s="1474"/>
      <c r="U67" s="1474"/>
      <c r="V67" s="1537"/>
      <c r="W67" s="1538" t="s">
        <v>173</v>
      </c>
      <c r="X67" s="1474"/>
      <c r="Y67" s="1474"/>
      <c r="Z67" s="1474"/>
      <c r="AA67" s="1474"/>
      <c r="AB67" s="1474"/>
      <c r="AC67" s="1474"/>
      <c r="AD67" s="1474"/>
      <c r="AE67" s="1474"/>
      <c r="AF67" s="1474"/>
      <c r="AG67" s="1474"/>
      <c r="AH67" s="1474"/>
      <c r="AI67" s="1474"/>
      <c r="AJ67" s="1474"/>
      <c r="AK67" s="1474"/>
      <c r="AL67" s="1474"/>
      <c r="AM67" s="1474"/>
      <c r="AN67" s="1537"/>
      <c r="AO67" s="1539"/>
      <c r="AP67" s="1540"/>
      <c r="AQ67" s="1540"/>
      <c r="AR67" s="1541"/>
      <c r="AS67" s="1539"/>
      <c r="AT67" s="1540"/>
      <c r="AU67" s="1540"/>
      <c r="AV67" s="1540"/>
      <c r="AW67" s="1542"/>
      <c r="AX67" s="699"/>
      <c r="AY67" s="699"/>
      <c r="AZ67" s="699"/>
      <c r="BA67" s="699"/>
      <c r="BB67" s="699"/>
      <c r="BC67" s="699"/>
      <c r="BD67" s="699"/>
      <c r="BE67" s="699"/>
      <c r="BF67" s="699"/>
      <c r="BG67" s="699"/>
      <c r="BH67" s="699"/>
      <c r="BI67" s="699"/>
      <c r="BJ67" s="699"/>
      <c r="BK67" s="699"/>
      <c r="BL67" s="699"/>
      <c r="BM67" s="699"/>
      <c r="BN67" s="699"/>
      <c r="BO67" s="699"/>
      <c r="BP67" s="699"/>
      <c r="BQ67" s="699"/>
      <c r="BR67" s="699"/>
      <c r="BS67" s="699"/>
      <c r="BT67" s="697"/>
      <c r="CD67" s="300">
        <f>Data_calc!Z204</f>
        <v>0</v>
      </c>
    </row>
    <row r="68" spans="3:82">
      <c r="C68" s="686"/>
      <c r="D68" s="1465"/>
      <c r="E68" s="727"/>
      <c r="F68" s="699"/>
      <c r="G68" s="699"/>
      <c r="H68" s="699"/>
      <c r="I68" s="699"/>
      <c r="J68" s="700"/>
      <c r="K68" s="700"/>
      <c r="L68" s="700"/>
      <c r="M68" s="700"/>
      <c r="N68" s="700"/>
      <c r="O68" s="700"/>
      <c r="P68" s="700"/>
      <c r="Q68" s="700"/>
      <c r="R68" s="700"/>
      <c r="S68" s="700"/>
      <c r="T68" s="700"/>
      <c r="U68" s="700"/>
      <c r="V68" s="700"/>
      <c r="W68" s="700"/>
      <c r="X68" s="700"/>
      <c r="Y68" s="700"/>
      <c r="Z68" s="700"/>
      <c r="AA68" s="700"/>
      <c r="AB68" s="700"/>
      <c r="AC68" s="700"/>
      <c r="AD68" s="700"/>
      <c r="AE68" s="700"/>
      <c r="AF68" s="728"/>
      <c r="AG68" s="694"/>
      <c r="AH68" s="694"/>
      <c r="AI68" s="694"/>
      <c r="AJ68" s="694"/>
      <c r="AK68" s="694"/>
      <c r="AL68" s="694"/>
      <c r="AM68" s="694"/>
      <c r="AN68" s="694"/>
      <c r="AO68" s="694"/>
      <c r="AP68" s="694"/>
      <c r="AQ68" s="694"/>
      <c r="AR68" s="694"/>
      <c r="AS68" s="694"/>
      <c r="AT68" s="699"/>
      <c r="AU68" s="694"/>
      <c r="AV68" s="694"/>
      <c r="AW68" s="694"/>
      <c r="AX68" s="694"/>
      <c r="AY68" s="694"/>
      <c r="AZ68" s="694"/>
      <c r="BA68" s="694"/>
      <c r="BB68" s="694"/>
      <c r="BC68" s="694"/>
      <c r="BD68" s="694"/>
      <c r="BE68" s="694"/>
      <c r="BF68" s="694"/>
      <c r="BG68" s="694"/>
      <c r="BH68" s="694"/>
      <c r="BI68" s="694"/>
      <c r="BJ68" s="694"/>
      <c r="BK68" s="694"/>
      <c r="BL68" s="694"/>
      <c r="BM68" s="694"/>
      <c r="BN68" s="694"/>
      <c r="BO68" s="694"/>
      <c r="BP68" s="694"/>
      <c r="BQ68" s="694"/>
      <c r="BR68" s="694"/>
      <c r="BS68" s="694"/>
      <c r="BT68" s="729"/>
    </row>
    <row r="69" spans="3:82">
      <c r="C69" s="686"/>
      <c r="D69" s="1465"/>
      <c r="E69" s="727"/>
      <c r="F69" s="1547" t="s">
        <v>5604</v>
      </c>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U69" s="1548"/>
      <c r="AV69" s="1548"/>
      <c r="AW69" s="1548"/>
      <c r="AX69" s="1547"/>
      <c r="AY69" s="1548"/>
      <c r="AZ69" s="1548"/>
      <c r="BA69" s="1548"/>
      <c r="BB69" s="1548"/>
      <c r="BC69" s="1548"/>
      <c r="BD69" s="1548"/>
      <c r="BE69" s="694"/>
      <c r="BF69" s="694"/>
      <c r="BG69" s="694"/>
      <c r="BH69" s="694"/>
      <c r="BI69" s="694"/>
      <c r="BJ69" s="694"/>
      <c r="BK69" s="694"/>
      <c r="BL69" s="694"/>
      <c r="BM69" s="694"/>
      <c r="BN69" s="694"/>
      <c r="BO69" s="694"/>
      <c r="BP69" s="694"/>
      <c r="BQ69" s="694"/>
      <c r="BR69" s="694"/>
      <c r="BS69" s="694"/>
      <c r="BT69" s="729"/>
    </row>
    <row r="70" spans="3:82" ht="33.75" customHeight="1">
      <c r="D70" s="1465"/>
      <c r="E70" s="693"/>
      <c r="F70" s="1527" t="s">
        <v>5577</v>
      </c>
      <c r="G70" s="1528"/>
      <c r="H70" s="1528"/>
      <c r="I70" s="1528"/>
      <c r="J70" s="1528"/>
      <c r="K70" s="1528"/>
      <c r="L70" s="1528"/>
      <c r="M70" s="1528"/>
      <c r="N70" s="1528"/>
      <c r="O70" s="1528"/>
      <c r="P70" s="1528"/>
      <c r="Q70" s="1528"/>
      <c r="R70" s="1528"/>
      <c r="S70" s="1528"/>
      <c r="T70" s="1528"/>
      <c r="U70" s="1528"/>
      <c r="V70" s="1529"/>
      <c r="W70" s="1449" t="s">
        <v>4950</v>
      </c>
      <c r="X70" s="1449"/>
      <c r="Y70" s="1449"/>
      <c r="Z70" s="1449"/>
      <c r="AA70" s="1449"/>
      <c r="AB70" s="1449"/>
      <c r="AC70" s="1449"/>
      <c r="AD70" s="1449"/>
      <c r="AE70" s="1449"/>
      <c r="AF70" s="1449"/>
      <c r="AG70" s="1449"/>
      <c r="AH70" s="1449"/>
      <c r="AI70" s="1449"/>
      <c r="AJ70" s="1449"/>
      <c r="AK70" s="1449"/>
      <c r="AL70" s="1449"/>
      <c r="AM70" s="1449"/>
      <c r="AN70" s="1449"/>
      <c r="AO70" s="1449" t="s">
        <v>4949</v>
      </c>
      <c r="AP70" s="1449"/>
      <c r="AQ70" s="1449"/>
      <c r="AR70" s="1449"/>
      <c r="AS70" s="1512" t="s">
        <v>5392</v>
      </c>
      <c r="AT70" s="1512"/>
      <c r="AU70" s="1512"/>
      <c r="AV70" s="1512"/>
      <c r="AW70" s="1512"/>
      <c r="AX70" s="1512" t="s">
        <v>5578</v>
      </c>
      <c r="AY70" s="1512"/>
      <c r="AZ70" s="1512"/>
      <c r="BA70" s="1512"/>
      <c r="BB70" s="1512"/>
      <c r="BC70" s="1512"/>
      <c r="BD70" s="1512"/>
      <c r="BE70" s="699"/>
      <c r="BF70" s="699"/>
      <c r="BG70" s="699"/>
      <c r="BH70" s="699"/>
      <c r="BI70" s="699"/>
      <c r="BJ70" s="699"/>
      <c r="BK70" s="699"/>
      <c r="BL70" s="699"/>
      <c r="BM70" s="699"/>
      <c r="BN70" s="699"/>
      <c r="BO70" s="699"/>
      <c r="BP70" s="699"/>
      <c r="BQ70" s="699"/>
      <c r="BR70" s="699"/>
      <c r="BS70" s="699"/>
      <c r="BT70" s="729"/>
    </row>
    <row r="71" spans="3:82" ht="12.75" customHeight="1">
      <c r="D71" s="1465"/>
      <c r="E71" s="693"/>
      <c r="F71" s="1519" t="s">
        <v>173</v>
      </c>
      <c r="G71" s="1520"/>
      <c r="H71" s="1520"/>
      <c r="I71" s="1520"/>
      <c r="J71" s="1520"/>
      <c r="K71" s="1520"/>
      <c r="L71" s="1520"/>
      <c r="M71" s="1520"/>
      <c r="N71" s="1520"/>
      <c r="O71" s="1520"/>
      <c r="P71" s="1520"/>
      <c r="Q71" s="1520"/>
      <c r="R71" s="1520"/>
      <c r="S71" s="1520"/>
      <c r="T71" s="1520"/>
      <c r="U71" s="1520"/>
      <c r="V71" s="1521"/>
      <c r="W71" s="1469" t="s">
        <v>173</v>
      </c>
      <c r="X71" s="1469"/>
      <c r="Y71" s="1469"/>
      <c r="Z71" s="1469"/>
      <c r="AA71" s="1469"/>
      <c r="AB71" s="1469"/>
      <c r="AC71" s="1469"/>
      <c r="AD71" s="1469"/>
      <c r="AE71" s="1469"/>
      <c r="AF71" s="1469"/>
      <c r="AG71" s="1469"/>
      <c r="AH71" s="1469"/>
      <c r="AI71" s="1469"/>
      <c r="AJ71" s="1469"/>
      <c r="AK71" s="1469"/>
      <c r="AL71" s="1469"/>
      <c r="AM71" s="1469"/>
      <c r="AN71" s="1469"/>
      <c r="AO71" s="1488"/>
      <c r="AP71" s="1488"/>
      <c r="AQ71" s="1488"/>
      <c r="AR71" s="1488"/>
      <c r="AS71" s="1488"/>
      <c r="AT71" s="1488"/>
      <c r="AU71" s="1488"/>
      <c r="AV71" s="1488"/>
      <c r="AW71" s="1488"/>
      <c r="AX71" s="1488"/>
      <c r="AY71" s="1488"/>
      <c r="AZ71" s="1488"/>
      <c r="BA71" s="1488"/>
      <c r="BB71" s="1488"/>
      <c r="BC71" s="1488"/>
      <c r="BD71" s="1489"/>
      <c r="BE71" s="699"/>
      <c r="BF71" s="699"/>
      <c r="BG71" s="699"/>
      <c r="BH71" s="699"/>
      <c r="BI71" s="699"/>
      <c r="BJ71" s="699"/>
      <c r="BK71" s="699"/>
      <c r="BL71" s="699"/>
      <c r="BM71" s="699"/>
      <c r="BN71" s="699"/>
      <c r="BO71" s="699"/>
      <c r="BP71" s="699"/>
      <c r="BQ71" s="699"/>
      <c r="BR71" s="699"/>
      <c r="BS71" s="699"/>
      <c r="BT71" s="729"/>
      <c r="CD71" s="300">
        <f>Data_calc!Z225</f>
        <v>0</v>
      </c>
    </row>
    <row r="72" spans="3:82" ht="12.75" customHeight="1">
      <c r="D72" s="1465"/>
      <c r="E72" s="693"/>
      <c r="F72" s="1519" t="s">
        <v>173</v>
      </c>
      <c r="G72" s="1520"/>
      <c r="H72" s="1520"/>
      <c r="I72" s="1520"/>
      <c r="J72" s="1520"/>
      <c r="K72" s="1520"/>
      <c r="L72" s="1520"/>
      <c r="M72" s="1520"/>
      <c r="N72" s="1520"/>
      <c r="O72" s="1520"/>
      <c r="P72" s="1520"/>
      <c r="Q72" s="1520"/>
      <c r="R72" s="1520"/>
      <c r="S72" s="1520"/>
      <c r="T72" s="1520"/>
      <c r="U72" s="1520"/>
      <c r="V72" s="1521"/>
      <c r="W72" s="1469" t="s">
        <v>173</v>
      </c>
      <c r="X72" s="1469"/>
      <c r="Y72" s="1469"/>
      <c r="Z72" s="1469"/>
      <c r="AA72" s="1469"/>
      <c r="AB72" s="1469"/>
      <c r="AC72" s="1469"/>
      <c r="AD72" s="1469"/>
      <c r="AE72" s="1469"/>
      <c r="AF72" s="1469"/>
      <c r="AG72" s="1469"/>
      <c r="AH72" s="1469"/>
      <c r="AI72" s="1469"/>
      <c r="AJ72" s="1469"/>
      <c r="AK72" s="1469"/>
      <c r="AL72" s="1469"/>
      <c r="AM72" s="1469"/>
      <c r="AN72" s="1469"/>
      <c r="AO72" s="1508"/>
      <c r="AP72" s="1508"/>
      <c r="AQ72" s="1508"/>
      <c r="AR72" s="1508"/>
      <c r="AS72" s="1508"/>
      <c r="AT72" s="1508"/>
      <c r="AU72" s="1508"/>
      <c r="AV72" s="1508"/>
      <c r="AW72" s="1508"/>
      <c r="AX72" s="1508"/>
      <c r="AY72" s="1508"/>
      <c r="AZ72" s="1508"/>
      <c r="BA72" s="1508"/>
      <c r="BB72" s="1508"/>
      <c r="BC72" s="1508"/>
      <c r="BD72" s="1515"/>
      <c r="BE72" s="699"/>
      <c r="BF72" s="699"/>
      <c r="BG72" s="699"/>
      <c r="BH72" s="699"/>
      <c r="BI72" s="699"/>
      <c r="BJ72" s="699"/>
      <c r="BK72" s="699"/>
      <c r="BL72" s="699"/>
      <c r="BM72" s="699"/>
      <c r="BN72" s="699"/>
      <c r="BO72" s="699"/>
      <c r="BP72" s="699"/>
      <c r="BQ72" s="699"/>
      <c r="BR72" s="699"/>
      <c r="BS72" s="699"/>
      <c r="BT72" s="729"/>
      <c r="CD72" s="300">
        <f>Data_calc!Z226</f>
        <v>0</v>
      </c>
    </row>
    <row r="73" spans="3:82" ht="12.75" customHeight="1">
      <c r="D73" s="1465"/>
      <c r="E73" s="693"/>
      <c r="F73" s="1519" t="s">
        <v>173</v>
      </c>
      <c r="G73" s="1520"/>
      <c r="H73" s="1520"/>
      <c r="I73" s="1520"/>
      <c r="J73" s="1520"/>
      <c r="K73" s="1520"/>
      <c r="L73" s="1520"/>
      <c r="M73" s="1520"/>
      <c r="N73" s="1520"/>
      <c r="O73" s="1520"/>
      <c r="P73" s="1520"/>
      <c r="Q73" s="1520"/>
      <c r="R73" s="1520"/>
      <c r="S73" s="1520"/>
      <c r="T73" s="1520"/>
      <c r="U73" s="1520"/>
      <c r="V73" s="1521"/>
      <c r="W73" s="1469" t="s">
        <v>173</v>
      </c>
      <c r="X73" s="1469"/>
      <c r="Y73" s="1469"/>
      <c r="Z73" s="1469"/>
      <c r="AA73" s="1469"/>
      <c r="AB73" s="1469"/>
      <c r="AC73" s="1469"/>
      <c r="AD73" s="1469"/>
      <c r="AE73" s="1469"/>
      <c r="AF73" s="1469"/>
      <c r="AG73" s="1469"/>
      <c r="AH73" s="1469"/>
      <c r="AI73" s="1469"/>
      <c r="AJ73" s="1469"/>
      <c r="AK73" s="1469"/>
      <c r="AL73" s="1469"/>
      <c r="AM73" s="1469"/>
      <c r="AN73" s="1469"/>
      <c r="AO73" s="1508"/>
      <c r="AP73" s="1508"/>
      <c r="AQ73" s="1508"/>
      <c r="AR73" s="1508"/>
      <c r="AS73" s="1508"/>
      <c r="AT73" s="1508"/>
      <c r="AU73" s="1508"/>
      <c r="AV73" s="1508"/>
      <c r="AW73" s="1508"/>
      <c r="AX73" s="1508"/>
      <c r="AY73" s="1508"/>
      <c r="AZ73" s="1508"/>
      <c r="BA73" s="1508"/>
      <c r="BB73" s="1508"/>
      <c r="BC73" s="1508"/>
      <c r="BD73" s="1515"/>
      <c r="BE73" s="699"/>
      <c r="BF73" s="699"/>
      <c r="BG73" s="699"/>
      <c r="BH73" s="699"/>
      <c r="BI73" s="699"/>
      <c r="BJ73" s="699"/>
      <c r="BK73" s="699"/>
      <c r="BL73" s="699"/>
      <c r="BM73" s="699"/>
      <c r="BN73" s="699"/>
      <c r="BO73" s="699"/>
      <c r="BP73" s="699"/>
      <c r="BQ73" s="699"/>
      <c r="BR73" s="699"/>
      <c r="BS73" s="699"/>
      <c r="BT73" s="729"/>
      <c r="CD73" s="300">
        <f>Data_calc!Z227</f>
        <v>0</v>
      </c>
    </row>
    <row r="74" spans="3:82" ht="12" customHeight="1">
      <c r="D74" s="1465"/>
      <c r="E74" s="693"/>
      <c r="F74" s="1519" t="s">
        <v>173</v>
      </c>
      <c r="G74" s="1520"/>
      <c r="H74" s="1520"/>
      <c r="I74" s="1520"/>
      <c r="J74" s="1520"/>
      <c r="K74" s="1520"/>
      <c r="L74" s="1520"/>
      <c r="M74" s="1520"/>
      <c r="N74" s="1520"/>
      <c r="O74" s="1520"/>
      <c r="P74" s="1520"/>
      <c r="Q74" s="1520"/>
      <c r="R74" s="1520"/>
      <c r="S74" s="1520"/>
      <c r="T74" s="1520"/>
      <c r="U74" s="1520"/>
      <c r="V74" s="1521"/>
      <c r="W74" s="1469" t="s">
        <v>173</v>
      </c>
      <c r="X74" s="1469"/>
      <c r="Y74" s="1469"/>
      <c r="Z74" s="1469"/>
      <c r="AA74" s="1469"/>
      <c r="AB74" s="1469"/>
      <c r="AC74" s="1469"/>
      <c r="AD74" s="1469"/>
      <c r="AE74" s="1469"/>
      <c r="AF74" s="1469"/>
      <c r="AG74" s="1469"/>
      <c r="AH74" s="1469"/>
      <c r="AI74" s="1469"/>
      <c r="AJ74" s="1469"/>
      <c r="AK74" s="1469"/>
      <c r="AL74" s="1469"/>
      <c r="AM74" s="1469"/>
      <c r="AN74" s="1469"/>
      <c r="AO74" s="1508"/>
      <c r="AP74" s="1508"/>
      <c r="AQ74" s="1508"/>
      <c r="AR74" s="1508"/>
      <c r="AS74" s="1508"/>
      <c r="AT74" s="1508"/>
      <c r="AU74" s="1508"/>
      <c r="AV74" s="1508"/>
      <c r="AW74" s="1508"/>
      <c r="AX74" s="1508"/>
      <c r="AY74" s="1508"/>
      <c r="AZ74" s="1508"/>
      <c r="BA74" s="1508"/>
      <c r="BB74" s="1508"/>
      <c r="BC74" s="1508"/>
      <c r="BD74" s="1515"/>
      <c r="BE74" s="699"/>
      <c r="BF74" s="699"/>
      <c r="BG74" s="699"/>
      <c r="BH74" s="699"/>
      <c r="BI74" s="699"/>
      <c r="BJ74" s="699"/>
      <c r="BK74" s="699"/>
      <c r="BL74" s="699"/>
      <c r="BM74" s="699"/>
      <c r="BN74" s="699"/>
      <c r="BO74" s="699"/>
      <c r="BP74" s="699"/>
      <c r="BQ74" s="699"/>
      <c r="BR74" s="699"/>
      <c r="BS74" s="699"/>
      <c r="BT74" s="729"/>
      <c r="CD74" s="300">
        <f>Data_calc!Z228</f>
        <v>0</v>
      </c>
    </row>
    <row r="75" spans="3:82" ht="12.75" customHeight="1">
      <c r="D75" s="1465"/>
      <c r="E75" s="693"/>
      <c r="F75" s="1473" t="s">
        <v>173</v>
      </c>
      <c r="G75" s="1474"/>
      <c r="H75" s="1474"/>
      <c r="I75" s="1474"/>
      <c r="J75" s="1474"/>
      <c r="K75" s="1474"/>
      <c r="L75" s="1474"/>
      <c r="M75" s="1474"/>
      <c r="N75" s="1474"/>
      <c r="O75" s="1474"/>
      <c r="P75" s="1474"/>
      <c r="Q75" s="1474"/>
      <c r="R75" s="1474"/>
      <c r="S75" s="1474"/>
      <c r="T75" s="1474"/>
      <c r="U75" s="1474"/>
      <c r="V75" s="1537"/>
      <c r="W75" s="1478" t="s">
        <v>173</v>
      </c>
      <c r="X75" s="1478"/>
      <c r="Y75" s="1478"/>
      <c r="Z75" s="1478"/>
      <c r="AA75" s="1478"/>
      <c r="AB75" s="1478"/>
      <c r="AC75" s="1478"/>
      <c r="AD75" s="1478"/>
      <c r="AE75" s="1478"/>
      <c r="AF75" s="1478"/>
      <c r="AG75" s="1478"/>
      <c r="AH75" s="1478"/>
      <c r="AI75" s="1478"/>
      <c r="AJ75" s="1478"/>
      <c r="AK75" s="1478"/>
      <c r="AL75" s="1478"/>
      <c r="AM75" s="1478"/>
      <c r="AN75" s="1478"/>
      <c r="AO75" s="1504"/>
      <c r="AP75" s="1504"/>
      <c r="AQ75" s="1504"/>
      <c r="AR75" s="1504"/>
      <c r="AS75" s="1504"/>
      <c r="AT75" s="1504"/>
      <c r="AU75" s="1504"/>
      <c r="AV75" s="1504"/>
      <c r="AW75" s="1504"/>
      <c r="AX75" s="1504"/>
      <c r="AY75" s="1504"/>
      <c r="AZ75" s="1504"/>
      <c r="BA75" s="1504"/>
      <c r="BB75" s="1504"/>
      <c r="BC75" s="1504"/>
      <c r="BD75" s="1514"/>
      <c r="BE75" s="699"/>
      <c r="BF75" s="699"/>
      <c r="BG75" s="699"/>
      <c r="BH75" s="699"/>
      <c r="BI75" s="699"/>
      <c r="BJ75" s="699"/>
      <c r="BK75" s="699"/>
      <c r="BL75" s="699"/>
      <c r="BM75" s="699"/>
      <c r="BN75" s="699"/>
      <c r="BO75" s="699"/>
      <c r="BP75" s="699"/>
      <c r="BQ75" s="699"/>
      <c r="BR75" s="699"/>
      <c r="BS75" s="699"/>
      <c r="BT75" s="729"/>
      <c r="CD75" s="300">
        <f>Data_calc!Z229</f>
        <v>0</v>
      </c>
    </row>
    <row r="76" spans="3:82">
      <c r="C76" s="686"/>
      <c r="D76" s="1465"/>
      <c r="E76" s="727"/>
      <c r="F76" s="699"/>
      <c r="G76" s="699"/>
      <c r="H76" s="699"/>
      <c r="I76" s="699"/>
      <c r="J76" s="700"/>
      <c r="K76" s="700"/>
      <c r="L76" s="700"/>
      <c r="M76" s="700"/>
      <c r="N76" s="700"/>
      <c r="O76" s="700"/>
      <c r="P76" s="700"/>
      <c r="Q76" s="700"/>
      <c r="R76" s="700"/>
      <c r="S76" s="700"/>
      <c r="T76" s="700"/>
      <c r="U76" s="700"/>
      <c r="V76" s="700"/>
      <c r="W76" s="700"/>
      <c r="X76" s="700"/>
      <c r="Y76" s="700"/>
      <c r="Z76" s="700"/>
      <c r="AA76" s="700"/>
      <c r="AB76" s="700"/>
      <c r="AC76" s="700"/>
      <c r="AD76" s="700"/>
      <c r="AE76" s="700"/>
      <c r="AF76" s="728"/>
      <c r="AG76" s="694"/>
      <c r="AH76" s="694"/>
      <c r="AI76" s="694"/>
      <c r="AJ76" s="694"/>
      <c r="AK76" s="694"/>
      <c r="AL76" s="694"/>
      <c r="AM76" s="694"/>
      <c r="AN76" s="694"/>
      <c r="AO76" s="694"/>
      <c r="AP76" s="694"/>
      <c r="AQ76" s="694"/>
      <c r="AR76" s="694"/>
      <c r="AS76" s="694"/>
      <c r="AT76" s="699"/>
      <c r="AU76" s="694"/>
      <c r="AV76" s="694"/>
      <c r="AW76" s="694"/>
      <c r="AX76" s="694"/>
      <c r="AY76" s="694"/>
      <c r="AZ76" s="694"/>
      <c r="BA76" s="694"/>
      <c r="BB76" s="694"/>
      <c r="BC76" s="694"/>
      <c r="BD76" s="694"/>
      <c r="BE76" s="694"/>
      <c r="BF76" s="694"/>
      <c r="BG76" s="694"/>
      <c r="BH76" s="694"/>
      <c r="BI76" s="694"/>
      <c r="BJ76" s="694"/>
      <c r="BK76" s="694"/>
      <c r="BL76" s="694"/>
      <c r="BM76" s="694"/>
      <c r="BN76" s="694"/>
      <c r="BO76" s="694"/>
      <c r="BP76" s="694"/>
      <c r="BQ76" s="694"/>
      <c r="BR76" s="694"/>
      <c r="BS76" s="694"/>
      <c r="BT76" s="729"/>
    </row>
    <row r="77" spans="3:82">
      <c r="C77" s="686"/>
      <c r="D77" s="1465"/>
      <c r="E77" s="727"/>
      <c r="F77" s="1449" t="s">
        <v>5565</v>
      </c>
      <c r="G77" s="1449"/>
      <c r="H77" s="1449"/>
      <c r="I77" s="1449"/>
      <c r="J77" s="1449"/>
      <c r="K77" s="1449"/>
      <c r="L77" s="1449"/>
      <c r="M77" s="1449"/>
      <c r="N77" s="1449"/>
      <c r="O77" s="1449"/>
      <c r="P77" s="1449"/>
      <c r="Q77" s="1449"/>
      <c r="R77" s="1449"/>
      <c r="S77" s="1449"/>
      <c r="T77" s="1449"/>
      <c r="U77" s="1449"/>
      <c r="V77" s="1543"/>
      <c r="W77" s="1544">
        <v>0</v>
      </c>
      <c r="X77" s="1545"/>
      <c r="Y77" s="1545"/>
      <c r="Z77" s="1545"/>
      <c r="AA77" s="1545"/>
      <c r="AB77" s="1546"/>
      <c r="AC77" s="700" t="s">
        <v>5602</v>
      </c>
      <c r="AD77" s="700"/>
      <c r="AE77" s="700"/>
      <c r="AF77" s="728"/>
      <c r="AG77" s="694"/>
      <c r="AH77" s="694"/>
      <c r="AI77" s="694"/>
      <c r="AJ77" s="694"/>
      <c r="AK77" s="694"/>
      <c r="AL77" s="694"/>
      <c r="AM77" s="694"/>
      <c r="AN77" s="694"/>
      <c r="AO77" s="694"/>
      <c r="AP77" s="694"/>
      <c r="AQ77" s="694"/>
      <c r="AR77" s="694"/>
      <c r="AS77" s="694"/>
      <c r="AT77" s="699"/>
      <c r="AU77" s="694"/>
      <c r="AV77" s="694"/>
      <c r="AW77" s="694"/>
      <c r="AX77" s="694"/>
      <c r="AY77" s="694"/>
      <c r="AZ77" s="694"/>
      <c r="BA77" s="694"/>
      <c r="BB77" s="694"/>
      <c r="BC77" s="694"/>
      <c r="BD77" s="694"/>
      <c r="BE77" s="694"/>
      <c r="BF77" s="694"/>
      <c r="BG77" s="694"/>
      <c r="BH77" s="694"/>
      <c r="BI77" s="694"/>
      <c r="BJ77" s="694"/>
      <c r="BK77" s="694"/>
      <c r="BL77" s="694"/>
      <c r="BM77" s="694"/>
      <c r="BN77" s="694"/>
      <c r="BO77" s="694"/>
      <c r="BP77" s="694"/>
      <c r="BQ77" s="694"/>
      <c r="BR77" s="694"/>
      <c r="BS77" s="694"/>
      <c r="BT77" s="729"/>
    </row>
    <row r="78" spans="3:82">
      <c r="C78" s="686"/>
      <c r="D78" s="1465"/>
      <c r="E78" s="727"/>
      <c r="F78" s="699"/>
      <c r="G78" s="699"/>
      <c r="H78" s="699"/>
      <c r="I78" s="699"/>
      <c r="J78" s="700"/>
      <c r="K78" s="700"/>
      <c r="L78" s="700"/>
      <c r="M78" s="700"/>
      <c r="N78" s="700"/>
      <c r="O78" s="700"/>
      <c r="P78" s="700"/>
      <c r="Q78" s="700"/>
      <c r="R78" s="700"/>
      <c r="S78" s="700"/>
      <c r="T78" s="700"/>
      <c r="U78" s="700"/>
      <c r="V78" s="700"/>
      <c r="W78" s="700"/>
      <c r="X78" s="700"/>
      <c r="Y78" s="700"/>
      <c r="Z78" s="700"/>
      <c r="AA78" s="700"/>
      <c r="AB78" s="700"/>
      <c r="AC78" s="700"/>
      <c r="AD78" s="700"/>
      <c r="AE78" s="700"/>
      <c r="AF78" s="728"/>
      <c r="AG78" s="694"/>
      <c r="AH78" s="694"/>
      <c r="AI78" s="694"/>
      <c r="AJ78" s="694"/>
      <c r="AK78" s="694"/>
      <c r="AL78" s="694"/>
      <c r="AM78" s="694"/>
      <c r="AN78" s="694"/>
      <c r="AO78" s="694"/>
      <c r="AP78" s="694"/>
      <c r="AQ78" s="694"/>
      <c r="AR78" s="694"/>
      <c r="AS78" s="694"/>
      <c r="AT78" s="699"/>
      <c r="AU78" s="694"/>
      <c r="AV78" s="694"/>
      <c r="AW78" s="694"/>
      <c r="AX78" s="694"/>
      <c r="AY78" s="694"/>
      <c r="AZ78" s="694"/>
      <c r="BA78" s="694"/>
      <c r="BB78" s="694"/>
      <c r="BC78" s="694"/>
      <c r="BD78" s="694"/>
      <c r="BE78" s="694"/>
      <c r="BF78" s="694"/>
      <c r="BG78" s="694"/>
      <c r="BH78" s="694"/>
      <c r="BI78" s="694"/>
      <c r="BJ78" s="694"/>
      <c r="BK78" s="694"/>
      <c r="BL78" s="694"/>
      <c r="BM78" s="694"/>
      <c r="BN78" s="694"/>
      <c r="BO78" s="694"/>
      <c r="BP78" s="694"/>
      <c r="BQ78" s="694"/>
      <c r="BR78" s="694"/>
      <c r="BS78" s="694"/>
      <c r="BT78" s="729"/>
    </row>
    <row r="79" spans="3:82">
      <c r="C79" s="686"/>
      <c r="D79" s="1465"/>
      <c r="E79" s="727"/>
      <c r="F79" s="699"/>
      <c r="G79" s="699"/>
      <c r="H79" s="699"/>
      <c r="I79" s="699"/>
      <c r="J79" s="700"/>
      <c r="K79" s="700"/>
      <c r="L79" s="700"/>
      <c r="M79" s="700"/>
      <c r="N79" s="700"/>
      <c r="O79" s="700"/>
      <c r="P79" s="700"/>
      <c r="Q79" s="700"/>
      <c r="R79" s="700"/>
      <c r="S79" s="700"/>
      <c r="T79" s="700"/>
      <c r="U79" s="700"/>
      <c r="V79" s="700"/>
      <c r="W79" s="700"/>
      <c r="X79" s="700"/>
      <c r="Y79" s="700"/>
      <c r="Z79" s="700"/>
      <c r="AA79" s="700"/>
      <c r="AB79" s="700"/>
      <c r="AC79" s="700"/>
      <c r="AD79" s="700"/>
      <c r="AE79" s="700"/>
      <c r="AF79" s="728"/>
      <c r="AG79" s="694"/>
      <c r="AH79" s="694"/>
      <c r="AI79" s="694"/>
      <c r="AJ79" s="694"/>
      <c r="AK79" s="694"/>
      <c r="AL79" s="694"/>
      <c r="AM79" s="694"/>
      <c r="AN79" s="694"/>
      <c r="AO79" s="694"/>
      <c r="AP79" s="694"/>
      <c r="AQ79" s="694"/>
      <c r="AR79" s="694"/>
      <c r="AS79" s="694"/>
      <c r="AT79" s="699"/>
      <c r="AU79" s="694"/>
      <c r="AV79" s="694"/>
      <c r="AW79" s="694"/>
      <c r="AX79" s="694"/>
      <c r="AY79" s="694"/>
      <c r="AZ79" s="694"/>
      <c r="BA79" s="694"/>
      <c r="BB79" s="694"/>
      <c r="BC79" s="694"/>
      <c r="BD79" s="694"/>
      <c r="BE79" s="694"/>
      <c r="BF79" s="694"/>
      <c r="BG79" s="694"/>
      <c r="BH79" s="694"/>
      <c r="BI79" s="694"/>
      <c r="BJ79" s="694"/>
      <c r="BK79" s="694"/>
      <c r="BL79" s="694"/>
      <c r="BM79" s="694"/>
      <c r="BN79" s="694"/>
      <c r="BO79" s="694"/>
      <c r="BP79" s="694"/>
      <c r="BQ79" s="694"/>
      <c r="BR79" s="694"/>
      <c r="BS79" s="694"/>
      <c r="BT79" s="729"/>
    </row>
    <row r="80" spans="3:82">
      <c r="D80" s="1465"/>
      <c r="E80" s="694"/>
      <c r="F80" s="1472" t="s">
        <v>4948</v>
      </c>
      <c r="G80" s="1472"/>
      <c r="H80" s="1472"/>
      <c r="I80" s="1472"/>
      <c r="J80" s="1472"/>
      <c r="K80" s="1473" t="s">
        <v>173</v>
      </c>
      <c r="L80" s="1474"/>
      <c r="M80" s="1474"/>
      <c r="N80" s="1474"/>
      <c r="O80" s="1474"/>
      <c r="P80" s="1474"/>
      <c r="Q80" s="1474"/>
      <c r="R80" s="1474"/>
      <c r="S80" s="1474"/>
      <c r="T80" s="1474"/>
      <c r="U80" s="1474"/>
      <c r="V80" s="1474"/>
      <c r="W80" s="1474"/>
      <c r="X80" s="1474"/>
      <c r="Y80" s="1474"/>
      <c r="Z80" s="1474"/>
      <c r="AA80" s="1474"/>
      <c r="AB80" s="1474"/>
      <c r="AC80" s="1474"/>
      <c r="AD80" s="1474"/>
      <c r="AE80" s="1474"/>
      <c r="AF80" s="1474"/>
      <c r="AG80" s="1474"/>
      <c r="AH80" s="1474"/>
      <c r="AI80" s="1474"/>
      <c r="AJ80" s="1474"/>
      <c r="AK80" s="1474"/>
      <c r="AL80" s="1474"/>
      <c r="AM80" s="1474"/>
      <c r="AN80" s="1475"/>
      <c r="AO80" s="694"/>
      <c r="AP80" s="694"/>
      <c r="AQ80" s="694"/>
      <c r="AR80" s="694"/>
      <c r="AS80" s="694"/>
      <c r="AT80" s="694"/>
      <c r="AU80" s="694"/>
      <c r="AV80" s="694"/>
      <c r="AW80" s="694"/>
      <c r="AX80" s="694"/>
      <c r="AY80" s="694"/>
      <c r="AZ80" s="694"/>
      <c r="BA80" s="694"/>
      <c r="BB80" s="694"/>
      <c r="BC80" s="694"/>
      <c r="BD80" s="694"/>
      <c r="BE80" s="694"/>
      <c r="BF80" s="694"/>
      <c r="BG80" s="694"/>
      <c r="BH80" s="694"/>
      <c r="BI80" s="694"/>
      <c r="BJ80" s="694"/>
      <c r="BK80" s="694"/>
      <c r="BL80" s="694"/>
      <c r="BM80" s="694"/>
      <c r="BN80" s="694"/>
      <c r="BO80" s="694"/>
      <c r="BP80" s="694"/>
      <c r="BQ80" s="694"/>
      <c r="BR80" s="694"/>
      <c r="BS80" s="694"/>
      <c r="BT80" s="729"/>
      <c r="BV80" s="304"/>
    </row>
    <row r="81" spans="3:74" ht="3" customHeight="1">
      <c r="C81" s="686"/>
      <c r="D81" s="1465"/>
      <c r="E81" s="727"/>
      <c r="F81" s="699"/>
      <c r="G81" s="699"/>
      <c r="H81" s="699"/>
      <c r="I81" s="699"/>
      <c r="J81" s="700"/>
      <c r="K81" s="700"/>
      <c r="L81" s="700"/>
      <c r="M81" s="700"/>
      <c r="N81" s="700"/>
      <c r="O81" s="700"/>
      <c r="P81" s="700"/>
      <c r="Q81" s="700"/>
      <c r="R81" s="700"/>
      <c r="S81" s="700"/>
      <c r="T81" s="700"/>
      <c r="U81" s="700"/>
      <c r="V81" s="700"/>
      <c r="W81" s="700"/>
      <c r="X81" s="700"/>
      <c r="Y81" s="700"/>
      <c r="Z81" s="700"/>
      <c r="AA81" s="700"/>
      <c r="AB81" s="700"/>
      <c r="AC81" s="700"/>
      <c r="AD81" s="700"/>
      <c r="AE81" s="700"/>
      <c r="AF81" s="728"/>
      <c r="AG81" s="694"/>
      <c r="AH81" s="694"/>
      <c r="AI81" s="694"/>
      <c r="AJ81" s="694"/>
      <c r="AK81" s="694"/>
      <c r="AL81" s="694"/>
      <c r="AM81" s="694"/>
      <c r="AN81" s="694"/>
      <c r="AO81" s="694"/>
      <c r="AP81" s="694"/>
      <c r="AQ81" s="694"/>
      <c r="AR81" s="694"/>
      <c r="AS81" s="694"/>
      <c r="AT81" s="699"/>
      <c r="AU81" s="694"/>
      <c r="AV81" s="694"/>
      <c r="AW81" s="694"/>
      <c r="AX81" s="694"/>
      <c r="AY81" s="694"/>
      <c r="AZ81" s="694"/>
      <c r="BA81" s="694"/>
      <c r="BB81" s="694"/>
      <c r="BC81" s="694"/>
      <c r="BD81" s="694"/>
      <c r="BE81" s="694"/>
      <c r="BF81" s="694"/>
      <c r="BG81" s="694"/>
      <c r="BH81" s="694"/>
      <c r="BI81" s="694"/>
      <c r="BJ81" s="694"/>
      <c r="BK81" s="694"/>
      <c r="BL81" s="694"/>
      <c r="BM81" s="694"/>
      <c r="BN81" s="694"/>
      <c r="BO81" s="694"/>
      <c r="BP81" s="694"/>
      <c r="BQ81" s="694"/>
      <c r="BR81" s="694"/>
      <c r="BS81" s="694"/>
      <c r="BT81" s="729"/>
    </row>
    <row r="82" spans="3:74" ht="15" customHeight="1">
      <c r="D82" s="1465"/>
      <c r="E82" s="694"/>
      <c r="F82" s="1476" t="s">
        <v>4947</v>
      </c>
      <c r="G82" s="1476"/>
      <c r="H82" s="1476"/>
      <c r="I82" s="1476"/>
      <c r="J82" s="1476"/>
      <c r="K82" s="1479" t="str">
        <f>IFERROR(_xlfn.XLOOKUP(K80,Terme_sec_C,Def_sec_C),"")</f>
        <v>Sélectionnez un terme dans la liste ci-dessus pour plus d'informations.</v>
      </c>
      <c r="L82" s="1480"/>
      <c r="M82" s="1480"/>
      <c r="N82" s="1480"/>
      <c r="O82" s="1480"/>
      <c r="P82" s="1480"/>
      <c r="Q82" s="1480"/>
      <c r="R82" s="1480"/>
      <c r="S82" s="1480"/>
      <c r="T82" s="1480"/>
      <c r="U82" s="1480"/>
      <c r="V82" s="1480"/>
      <c r="W82" s="1480"/>
      <c r="X82" s="1480"/>
      <c r="Y82" s="1480"/>
      <c r="Z82" s="1480"/>
      <c r="AA82" s="1480"/>
      <c r="AB82" s="1480"/>
      <c r="AC82" s="1480"/>
      <c r="AD82" s="1480"/>
      <c r="AE82" s="1480"/>
      <c r="AF82" s="1480"/>
      <c r="AG82" s="1480"/>
      <c r="AH82" s="1480"/>
      <c r="AI82" s="1480"/>
      <c r="AJ82" s="1480"/>
      <c r="AK82" s="1480"/>
      <c r="AL82" s="1480"/>
      <c r="AM82" s="1480"/>
      <c r="AN82" s="1480"/>
      <c r="AO82" s="1480"/>
      <c r="AP82" s="1480"/>
      <c r="AQ82" s="1480"/>
      <c r="AR82" s="1480"/>
      <c r="AS82" s="1480"/>
      <c r="AT82" s="1480"/>
      <c r="AU82" s="1480"/>
      <c r="AV82" s="1480"/>
      <c r="AW82" s="1480"/>
      <c r="AX82" s="1480"/>
      <c r="AY82" s="1480"/>
      <c r="AZ82" s="1480"/>
      <c r="BA82" s="1480"/>
      <c r="BB82" s="1480"/>
      <c r="BC82" s="1480"/>
      <c r="BD82" s="1480"/>
      <c r="BE82" s="1480"/>
      <c r="BF82" s="1480"/>
      <c r="BG82" s="1480"/>
      <c r="BH82" s="1480"/>
      <c r="BI82" s="1480"/>
      <c r="BJ82" s="1480"/>
      <c r="BK82" s="1480"/>
      <c r="BL82" s="1480"/>
      <c r="BM82" s="1480"/>
      <c r="BN82" s="1480"/>
      <c r="BO82" s="1480"/>
      <c r="BP82" s="1480"/>
      <c r="BQ82" s="1480"/>
      <c r="BR82" s="1480"/>
      <c r="BS82" s="1481"/>
      <c r="BT82" s="729"/>
      <c r="BV82" s="304"/>
    </row>
    <row r="83" spans="3:74">
      <c r="D83" s="1465"/>
      <c r="E83" s="694"/>
      <c r="F83" s="1476"/>
      <c r="G83" s="1476"/>
      <c r="H83" s="1476"/>
      <c r="I83" s="1476"/>
      <c r="J83" s="1476"/>
      <c r="K83" s="1482"/>
      <c r="L83" s="1483"/>
      <c r="M83" s="1483"/>
      <c r="N83" s="1483"/>
      <c r="O83" s="1483"/>
      <c r="P83" s="1483"/>
      <c r="Q83" s="1483"/>
      <c r="R83" s="1483"/>
      <c r="S83" s="1483"/>
      <c r="T83" s="1483"/>
      <c r="U83" s="1483"/>
      <c r="V83" s="1483"/>
      <c r="W83" s="1483"/>
      <c r="X83" s="1483"/>
      <c r="Y83" s="1483"/>
      <c r="Z83" s="1483"/>
      <c r="AA83" s="1483"/>
      <c r="AB83" s="1483"/>
      <c r="AC83" s="1483"/>
      <c r="AD83" s="1483"/>
      <c r="AE83" s="1483"/>
      <c r="AF83" s="1483"/>
      <c r="AG83" s="1483"/>
      <c r="AH83" s="1483"/>
      <c r="AI83" s="1483"/>
      <c r="AJ83" s="1483"/>
      <c r="AK83" s="1483"/>
      <c r="AL83" s="1483"/>
      <c r="AM83" s="1483"/>
      <c r="AN83" s="1483"/>
      <c r="AO83" s="1483"/>
      <c r="AP83" s="1483"/>
      <c r="AQ83" s="1483"/>
      <c r="AR83" s="1483"/>
      <c r="AS83" s="1483"/>
      <c r="AT83" s="1483"/>
      <c r="AU83" s="1483"/>
      <c r="AV83" s="1483"/>
      <c r="AW83" s="1483"/>
      <c r="AX83" s="1483"/>
      <c r="AY83" s="1483"/>
      <c r="AZ83" s="1483"/>
      <c r="BA83" s="1483"/>
      <c r="BB83" s="1483"/>
      <c r="BC83" s="1483"/>
      <c r="BD83" s="1483"/>
      <c r="BE83" s="1483"/>
      <c r="BF83" s="1483"/>
      <c r="BG83" s="1483"/>
      <c r="BH83" s="1483"/>
      <c r="BI83" s="1483"/>
      <c r="BJ83" s="1483"/>
      <c r="BK83" s="1483"/>
      <c r="BL83" s="1483"/>
      <c r="BM83" s="1483"/>
      <c r="BN83" s="1483"/>
      <c r="BO83" s="1483"/>
      <c r="BP83" s="1483"/>
      <c r="BQ83" s="1483"/>
      <c r="BR83" s="1483"/>
      <c r="BS83" s="1484"/>
      <c r="BT83" s="729"/>
      <c r="BV83" s="304"/>
    </row>
    <row r="84" spans="3:74">
      <c r="D84" s="1465"/>
      <c r="E84" s="694"/>
      <c r="F84" s="1476"/>
      <c r="G84" s="1476"/>
      <c r="H84" s="1476"/>
      <c r="I84" s="1476"/>
      <c r="J84" s="1476"/>
      <c r="K84" s="1482"/>
      <c r="L84" s="1483"/>
      <c r="M84" s="1483"/>
      <c r="N84" s="1483"/>
      <c r="O84" s="1483"/>
      <c r="P84" s="1483"/>
      <c r="Q84" s="1483"/>
      <c r="R84" s="1483"/>
      <c r="S84" s="1483"/>
      <c r="T84" s="1483"/>
      <c r="U84" s="1483"/>
      <c r="V84" s="1483"/>
      <c r="W84" s="1483"/>
      <c r="X84" s="1483"/>
      <c r="Y84" s="1483"/>
      <c r="Z84" s="1483"/>
      <c r="AA84" s="1483"/>
      <c r="AB84" s="1483"/>
      <c r="AC84" s="1483"/>
      <c r="AD84" s="1483"/>
      <c r="AE84" s="1483"/>
      <c r="AF84" s="1483"/>
      <c r="AG84" s="1483"/>
      <c r="AH84" s="1483"/>
      <c r="AI84" s="1483"/>
      <c r="AJ84" s="1483"/>
      <c r="AK84" s="1483"/>
      <c r="AL84" s="1483"/>
      <c r="AM84" s="1483"/>
      <c r="AN84" s="1483"/>
      <c r="AO84" s="1483"/>
      <c r="AP84" s="1483"/>
      <c r="AQ84" s="1483"/>
      <c r="AR84" s="1483"/>
      <c r="AS84" s="1483"/>
      <c r="AT84" s="1483"/>
      <c r="AU84" s="1483"/>
      <c r="AV84" s="1483"/>
      <c r="AW84" s="1483"/>
      <c r="AX84" s="1483"/>
      <c r="AY84" s="1483"/>
      <c r="AZ84" s="1483"/>
      <c r="BA84" s="1483"/>
      <c r="BB84" s="1483"/>
      <c r="BC84" s="1483"/>
      <c r="BD84" s="1483"/>
      <c r="BE84" s="1483"/>
      <c r="BF84" s="1483"/>
      <c r="BG84" s="1483"/>
      <c r="BH84" s="1483"/>
      <c r="BI84" s="1483"/>
      <c r="BJ84" s="1483"/>
      <c r="BK84" s="1483"/>
      <c r="BL84" s="1483"/>
      <c r="BM84" s="1483"/>
      <c r="BN84" s="1483"/>
      <c r="BO84" s="1483"/>
      <c r="BP84" s="1483"/>
      <c r="BQ84" s="1483"/>
      <c r="BR84" s="1483"/>
      <c r="BS84" s="1484"/>
      <c r="BT84" s="729"/>
      <c r="BV84" s="304"/>
    </row>
    <row r="85" spans="3:74">
      <c r="D85" s="1465"/>
      <c r="E85" s="694"/>
      <c r="F85" s="1476"/>
      <c r="G85" s="1476"/>
      <c r="H85" s="1476"/>
      <c r="I85" s="1476"/>
      <c r="J85" s="1476"/>
      <c r="K85" s="1482"/>
      <c r="L85" s="1483"/>
      <c r="M85" s="1483"/>
      <c r="N85" s="1483"/>
      <c r="O85" s="1483"/>
      <c r="P85" s="1483"/>
      <c r="Q85" s="1483"/>
      <c r="R85" s="1483"/>
      <c r="S85" s="1483"/>
      <c r="T85" s="1483"/>
      <c r="U85" s="1483"/>
      <c r="V85" s="1483"/>
      <c r="W85" s="1483"/>
      <c r="X85" s="1483"/>
      <c r="Y85" s="1483"/>
      <c r="Z85" s="1483"/>
      <c r="AA85" s="1483"/>
      <c r="AB85" s="1483"/>
      <c r="AC85" s="1483"/>
      <c r="AD85" s="1483"/>
      <c r="AE85" s="1483"/>
      <c r="AF85" s="1483"/>
      <c r="AG85" s="1483"/>
      <c r="AH85" s="1483"/>
      <c r="AI85" s="1483"/>
      <c r="AJ85" s="1483"/>
      <c r="AK85" s="1483"/>
      <c r="AL85" s="1483"/>
      <c r="AM85" s="1483"/>
      <c r="AN85" s="1483"/>
      <c r="AO85" s="1483"/>
      <c r="AP85" s="1483"/>
      <c r="AQ85" s="1483"/>
      <c r="AR85" s="1483"/>
      <c r="AS85" s="1483"/>
      <c r="AT85" s="1483"/>
      <c r="AU85" s="1483"/>
      <c r="AV85" s="1483"/>
      <c r="AW85" s="1483"/>
      <c r="AX85" s="1483"/>
      <c r="AY85" s="1483"/>
      <c r="AZ85" s="1483"/>
      <c r="BA85" s="1483"/>
      <c r="BB85" s="1483"/>
      <c r="BC85" s="1483"/>
      <c r="BD85" s="1483"/>
      <c r="BE85" s="1483"/>
      <c r="BF85" s="1483"/>
      <c r="BG85" s="1483"/>
      <c r="BH85" s="1483"/>
      <c r="BI85" s="1483"/>
      <c r="BJ85" s="1483"/>
      <c r="BK85" s="1483"/>
      <c r="BL85" s="1483"/>
      <c r="BM85" s="1483"/>
      <c r="BN85" s="1483"/>
      <c r="BO85" s="1483"/>
      <c r="BP85" s="1483"/>
      <c r="BQ85" s="1483"/>
      <c r="BR85" s="1483"/>
      <c r="BS85" s="1484"/>
      <c r="BT85" s="729"/>
    </row>
    <row r="86" spans="3:74">
      <c r="D86" s="1465"/>
      <c r="E86" s="694"/>
      <c r="F86" s="1476"/>
      <c r="G86" s="1476"/>
      <c r="H86" s="1476"/>
      <c r="I86" s="1476"/>
      <c r="J86" s="1476"/>
      <c r="K86" s="1482"/>
      <c r="L86" s="1483"/>
      <c r="M86" s="1483"/>
      <c r="N86" s="1483"/>
      <c r="O86" s="1483"/>
      <c r="P86" s="1483"/>
      <c r="Q86" s="1483"/>
      <c r="R86" s="1483"/>
      <c r="S86" s="1483"/>
      <c r="T86" s="1483"/>
      <c r="U86" s="1483"/>
      <c r="V86" s="1483"/>
      <c r="W86" s="1483"/>
      <c r="X86" s="1483"/>
      <c r="Y86" s="1483"/>
      <c r="Z86" s="1483"/>
      <c r="AA86" s="1483"/>
      <c r="AB86" s="1483"/>
      <c r="AC86" s="1483"/>
      <c r="AD86" s="1483"/>
      <c r="AE86" s="1483"/>
      <c r="AF86" s="1483"/>
      <c r="AG86" s="1483"/>
      <c r="AH86" s="1483"/>
      <c r="AI86" s="1483"/>
      <c r="AJ86" s="1483"/>
      <c r="AK86" s="1483"/>
      <c r="AL86" s="1483"/>
      <c r="AM86" s="1483"/>
      <c r="AN86" s="1483"/>
      <c r="AO86" s="1483"/>
      <c r="AP86" s="1483"/>
      <c r="AQ86" s="1483"/>
      <c r="AR86" s="1483"/>
      <c r="AS86" s="1483"/>
      <c r="AT86" s="1483"/>
      <c r="AU86" s="1483"/>
      <c r="AV86" s="1483"/>
      <c r="AW86" s="1483"/>
      <c r="AX86" s="1483"/>
      <c r="AY86" s="1483"/>
      <c r="AZ86" s="1483"/>
      <c r="BA86" s="1483"/>
      <c r="BB86" s="1483"/>
      <c r="BC86" s="1483"/>
      <c r="BD86" s="1483"/>
      <c r="BE86" s="1483"/>
      <c r="BF86" s="1483"/>
      <c r="BG86" s="1483"/>
      <c r="BH86" s="1483"/>
      <c r="BI86" s="1483"/>
      <c r="BJ86" s="1483"/>
      <c r="BK86" s="1483"/>
      <c r="BL86" s="1483"/>
      <c r="BM86" s="1483"/>
      <c r="BN86" s="1483"/>
      <c r="BO86" s="1483"/>
      <c r="BP86" s="1483"/>
      <c r="BQ86" s="1483"/>
      <c r="BR86" s="1483"/>
      <c r="BS86" s="1484"/>
      <c r="BT86" s="729"/>
    </row>
    <row r="87" spans="3:74">
      <c r="D87" s="1465"/>
      <c r="E87" s="693"/>
      <c r="F87" s="1476"/>
      <c r="G87" s="1476"/>
      <c r="H87" s="1476"/>
      <c r="I87" s="1476"/>
      <c r="J87" s="1476"/>
      <c r="K87" s="1485"/>
      <c r="L87" s="1486"/>
      <c r="M87" s="1486"/>
      <c r="N87" s="1486"/>
      <c r="O87" s="1486"/>
      <c r="P87" s="1486"/>
      <c r="Q87" s="1486"/>
      <c r="R87" s="1486"/>
      <c r="S87" s="1486"/>
      <c r="T87" s="1486"/>
      <c r="U87" s="1486"/>
      <c r="V87" s="1486"/>
      <c r="W87" s="1486"/>
      <c r="X87" s="1486"/>
      <c r="Y87" s="1486"/>
      <c r="Z87" s="1486"/>
      <c r="AA87" s="1486"/>
      <c r="AB87" s="1486"/>
      <c r="AC87" s="1486"/>
      <c r="AD87" s="1486"/>
      <c r="AE87" s="1486"/>
      <c r="AF87" s="1486"/>
      <c r="AG87" s="1486"/>
      <c r="AH87" s="1486"/>
      <c r="AI87" s="1486"/>
      <c r="AJ87" s="1486"/>
      <c r="AK87" s="1486"/>
      <c r="AL87" s="1486"/>
      <c r="AM87" s="1486"/>
      <c r="AN87" s="1486"/>
      <c r="AO87" s="1486"/>
      <c r="AP87" s="1486"/>
      <c r="AQ87" s="1486"/>
      <c r="AR87" s="1486"/>
      <c r="AS87" s="1486"/>
      <c r="AT87" s="1486"/>
      <c r="AU87" s="1486"/>
      <c r="AV87" s="1486"/>
      <c r="AW87" s="1486"/>
      <c r="AX87" s="1486"/>
      <c r="AY87" s="1486"/>
      <c r="AZ87" s="1486"/>
      <c r="BA87" s="1486"/>
      <c r="BB87" s="1486"/>
      <c r="BC87" s="1486"/>
      <c r="BD87" s="1486"/>
      <c r="BE87" s="1486"/>
      <c r="BF87" s="1486"/>
      <c r="BG87" s="1486"/>
      <c r="BH87" s="1486"/>
      <c r="BI87" s="1486"/>
      <c r="BJ87" s="1486"/>
      <c r="BK87" s="1486"/>
      <c r="BL87" s="1486"/>
      <c r="BM87" s="1486"/>
      <c r="BN87" s="1486"/>
      <c r="BO87" s="1486"/>
      <c r="BP87" s="1486"/>
      <c r="BQ87" s="1486"/>
      <c r="BR87" s="1486"/>
      <c r="BS87" s="1487"/>
      <c r="BT87" s="697"/>
    </row>
    <row r="88" spans="3:74" ht="3" customHeight="1" thickBot="1">
      <c r="C88" s="686"/>
      <c r="D88" s="730"/>
      <c r="E88" s="731"/>
      <c r="F88" s="706"/>
      <c r="G88" s="706"/>
      <c r="H88" s="706"/>
      <c r="I88" s="706"/>
      <c r="J88" s="722"/>
      <c r="K88" s="722"/>
      <c r="L88" s="722"/>
      <c r="M88" s="722"/>
      <c r="N88" s="722"/>
      <c r="O88" s="722"/>
      <c r="P88" s="722"/>
      <c r="Q88" s="722"/>
      <c r="R88" s="722"/>
      <c r="S88" s="722"/>
      <c r="T88" s="722"/>
      <c r="U88" s="722"/>
      <c r="V88" s="722"/>
      <c r="W88" s="722"/>
      <c r="X88" s="722"/>
      <c r="Y88" s="722"/>
      <c r="Z88" s="722"/>
      <c r="AA88" s="722"/>
      <c r="AB88" s="722"/>
      <c r="AC88" s="722"/>
      <c r="AD88" s="722"/>
      <c r="AE88" s="722"/>
      <c r="AF88" s="732"/>
      <c r="AG88" s="721"/>
      <c r="AH88" s="721"/>
      <c r="AI88" s="721"/>
      <c r="AJ88" s="721"/>
      <c r="AK88" s="721"/>
      <c r="AL88" s="721"/>
      <c r="AM88" s="721"/>
      <c r="AN88" s="721"/>
      <c r="AO88" s="721"/>
      <c r="AP88" s="721"/>
      <c r="AQ88" s="721"/>
      <c r="AR88" s="721"/>
      <c r="AS88" s="721"/>
      <c r="AT88" s="706"/>
      <c r="AU88" s="721"/>
      <c r="AV88" s="721"/>
      <c r="AW88" s="721"/>
      <c r="AX88" s="721"/>
      <c r="AY88" s="721"/>
      <c r="AZ88" s="721"/>
      <c r="BA88" s="721"/>
      <c r="BB88" s="721"/>
      <c r="BC88" s="721"/>
      <c r="BD88" s="721"/>
      <c r="BE88" s="721"/>
      <c r="BF88" s="721"/>
      <c r="BG88" s="721"/>
      <c r="BH88" s="721"/>
      <c r="BI88" s="721"/>
      <c r="BJ88" s="721"/>
      <c r="BK88" s="721"/>
      <c r="BL88" s="721"/>
      <c r="BM88" s="721"/>
      <c r="BN88" s="721"/>
      <c r="BO88" s="721"/>
      <c r="BP88" s="721"/>
      <c r="BQ88" s="721"/>
      <c r="BR88" s="721"/>
      <c r="BS88" s="721"/>
      <c r="BT88" s="733"/>
    </row>
    <row r="89" spans="3:74" ht="15" customHeight="1">
      <c r="D89" s="1464" t="s">
        <v>5478</v>
      </c>
      <c r="E89" s="687"/>
      <c r="F89" s="688"/>
      <c r="G89" s="688"/>
      <c r="H89" s="688"/>
      <c r="I89" s="688"/>
      <c r="J89" s="714"/>
      <c r="K89" s="714"/>
      <c r="L89" s="715"/>
      <c r="M89" s="714"/>
      <c r="N89" s="714"/>
      <c r="O89" s="714"/>
      <c r="P89" s="714"/>
      <c r="Q89" s="1471" t="s">
        <v>5482</v>
      </c>
      <c r="R89" s="1471"/>
      <c r="S89" s="1471"/>
      <c r="T89" s="1471"/>
      <c r="U89" s="1471"/>
      <c r="V89" s="690"/>
      <c r="W89" s="690"/>
      <c r="X89" s="690"/>
      <c r="Y89" s="690"/>
      <c r="Z89" s="1470" t="s">
        <v>5484</v>
      </c>
      <c r="AA89" s="1470"/>
      <c r="AB89" s="1470"/>
      <c r="AC89" s="1470"/>
      <c r="AD89" s="1470"/>
      <c r="AE89" s="690"/>
      <c r="AF89" s="716"/>
      <c r="AG89" s="717"/>
      <c r="AH89" s="1471" t="s">
        <v>5483</v>
      </c>
      <c r="AI89" s="1471"/>
      <c r="AJ89" s="1471"/>
      <c r="AK89" s="1471"/>
      <c r="AL89" s="1471"/>
      <c r="AM89" s="717"/>
      <c r="AN89" s="717"/>
      <c r="AO89" s="717"/>
      <c r="AP89" s="717"/>
      <c r="AQ89" s="717"/>
      <c r="AR89" s="717"/>
      <c r="AS89" s="717"/>
      <c r="AT89" s="689"/>
      <c r="AU89" s="717"/>
      <c r="AV89" s="717"/>
      <c r="AW89" s="717"/>
      <c r="AX89" s="717"/>
      <c r="AY89" s="717"/>
      <c r="AZ89" s="717"/>
      <c r="BA89" s="717"/>
      <c r="BB89" s="717"/>
      <c r="BC89" s="717"/>
      <c r="BD89" s="717"/>
      <c r="BE89" s="717"/>
      <c r="BF89" s="717"/>
      <c r="BG89" s="717"/>
      <c r="BH89" s="717"/>
      <c r="BI89" s="717"/>
      <c r="BJ89" s="717"/>
      <c r="BK89" s="717"/>
      <c r="BL89" s="717"/>
      <c r="BM89" s="717"/>
      <c r="BN89" s="717"/>
      <c r="BO89" s="717"/>
      <c r="BP89" s="717"/>
      <c r="BQ89" s="717"/>
      <c r="BR89" s="717"/>
      <c r="BS89" s="717"/>
      <c r="BT89" s="692"/>
    </row>
    <row r="90" spans="3:74">
      <c r="D90" s="1465"/>
      <c r="E90" s="693"/>
      <c r="F90" s="695" t="s">
        <v>5469</v>
      </c>
      <c r="G90" s="693"/>
      <c r="H90" s="693"/>
      <c r="I90" s="734"/>
      <c r="J90" s="734"/>
      <c r="K90" s="693"/>
      <c r="L90" s="734"/>
      <c r="M90" s="693"/>
      <c r="N90" s="693"/>
      <c r="O90" s="693"/>
      <c r="P90" s="693"/>
      <c r="Q90" s="1446">
        <f>Data_calc!C94</f>
        <v>0</v>
      </c>
      <c r="R90" s="1447"/>
      <c r="S90" s="1447"/>
      <c r="T90" s="1447"/>
      <c r="U90" s="1447"/>
      <c r="V90" s="1448"/>
      <c r="W90" s="693"/>
      <c r="X90" s="693"/>
      <c r="Y90" s="693"/>
      <c r="Z90" s="1446">
        <f>Q90*0.14975</f>
        <v>0</v>
      </c>
      <c r="AA90" s="1447"/>
      <c r="AB90" s="1447"/>
      <c r="AC90" s="1447"/>
      <c r="AD90" s="1448"/>
      <c r="AE90" s="693"/>
      <c r="AF90" s="693"/>
      <c r="AG90" s="693"/>
      <c r="AH90" s="1446">
        <f>Q90*1.14975</f>
        <v>0</v>
      </c>
      <c r="AI90" s="1447"/>
      <c r="AJ90" s="1447"/>
      <c r="AK90" s="1447"/>
      <c r="AL90" s="1447"/>
      <c r="AM90" s="1448"/>
      <c r="AN90" s="693"/>
      <c r="AO90" s="693"/>
      <c r="AP90" s="719" t="str">
        <f>Data_calc!D94</f>
        <v/>
      </c>
      <c r="AQ90" s="693"/>
      <c r="AR90" s="693"/>
      <c r="AS90" s="693"/>
      <c r="AT90" s="693"/>
      <c r="AU90" s="693"/>
      <c r="AV90" s="693"/>
      <c r="AW90" s="693"/>
      <c r="AX90" s="693"/>
      <c r="AY90" s="693"/>
      <c r="AZ90" s="693"/>
      <c r="BA90" s="693"/>
      <c r="BB90" s="693"/>
      <c r="BC90" s="693"/>
      <c r="BD90" s="693"/>
      <c r="BE90" s="693"/>
      <c r="BF90" s="693"/>
      <c r="BG90" s="693"/>
      <c r="BH90" s="693"/>
      <c r="BI90" s="693"/>
      <c r="BJ90" s="693"/>
      <c r="BK90" s="693"/>
      <c r="BL90" s="693"/>
      <c r="BM90" s="693"/>
      <c r="BN90" s="693"/>
      <c r="BO90" s="693"/>
      <c r="BP90" s="693"/>
      <c r="BQ90" s="693"/>
      <c r="BR90" s="693"/>
      <c r="BS90" s="693"/>
      <c r="BT90" s="697"/>
    </row>
    <row r="91" spans="3:74">
      <c r="D91" s="1465"/>
      <c r="E91" s="698"/>
      <c r="F91" s="699"/>
      <c r="G91" s="699"/>
      <c r="H91" s="699"/>
      <c r="I91" s="699"/>
      <c r="J91" s="700"/>
      <c r="K91" s="700"/>
      <c r="L91" s="694"/>
      <c r="M91" s="700"/>
      <c r="N91" s="700"/>
      <c r="O91" s="700"/>
      <c r="P91" s="700"/>
      <c r="Q91" s="701"/>
      <c r="R91" s="701"/>
      <c r="S91" s="701"/>
      <c r="T91" s="701"/>
      <c r="U91" s="701"/>
      <c r="V91" s="701"/>
      <c r="W91" s="701"/>
      <c r="X91" s="701"/>
      <c r="Y91" s="701"/>
      <c r="Z91" s="701"/>
      <c r="AA91" s="701"/>
      <c r="AB91" s="701"/>
      <c r="AC91" s="701"/>
      <c r="AD91" s="701"/>
      <c r="AE91" s="693"/>
      <c r="AF91" s="693"/>
      <c r="AG91" s="693"/>
      <c r="AH91" s="701"/>
      <c r="AI91" s="701"/>
      <c r="AJ91" s="701"/>
      <c r="AK91" s="701"/>
      <c r="AL91" s="701"/>
      <c r="AM91" s="693"/>
      <c r="AN91" s="693"/>
      <c r="AO91" s="693"/>
      <c r="AP91" s="693"/>
      <c r="AQ91" s="693"/>
      <c r="AR91" s="693"/>
      <c r="AS91" s="693"/>
      <c r="AT91" s="704"/>
      <c r="AU91" s="693"/>
      <c r="AV91" s="693"/>
      <c r="AW91" s="693"/>
      <c r="AX91" s="693"/>
      <c r="AY91" s="693"/>
      <c r="AZ91" s="693"/>
      <c r="BA91" s="693"/>
      <c r="BB91" s="693"/>
      <c r="BC91" s="693"/>
      <c r="BD91" s="693"/>
      <c r="BE91" s="693"/>
      <c r="BF91" s="693"/>
      <c r="BG91" s="693"/>
      <c r="BH91" s="693"/>
      <c r="BI91" s="693"/>
      <c r="BJ91" s="693"/>
      <c r="BK91" s="693"/>
      <c r="BL91" s="693"/>
      <c r="BM91" s="693"/>
      <c r="BN91" s="693"/>
      <c r="BO91" s="693"/>
      <c r="BP91" s="693"/>
      <c r="BQ91" s="693"/>
      <c r="BR91" s="693"/>
      <c r="BS91" s="693"/>
      <c r="BT91" s="697"/>
    </row>
    <row r="92" spans="3:74">
      <c r="D92" s="1465"/>
      <c r="E92" s="693"/>
      <c r="F92" s="695" t="s">
        <v>5051</v>
      </c>
      <c r="G92" s="693"/>
      <c r="H92" s="693"/>
      <c r="I92" s="693"/>
      <c r="J92" s="693"/>
      <c r="K92" s="693"/>
      <c r="L92" s="693"/>
      <c r="M92" s="693"/>
      <c r="N92" s="693"/>
      <c r="O92" s="693"/>
      <c r="P92" s="693"/>
      <c r="Q92" s="1446">
        <f>IFERROR(Data_calc!D121,0)</f>
        <v>0</v>
      </c>
      <c r="R92" s="1447"/>
      <c r="S92" s="1447"/>
      <c r="T92" s="1447"/>
      <c r="U92" s="1447"/>
      <c r="V92" s="1448"/>
      <c r="W92" s="693"/>
      <c r="X92" s="693"/>
      <c r="Y92" s="693"/>
      <c r="Z92" s="1446">
        <f>Q92*0.14975</f>
        <v>0</v>
      </c>
      <c r="AA92" s="1447"/>
      <c r="AB92" s="1447"/>
      <c r="AC92" s="1447"/>
      <c r="AD92" s="1448"/>
      <c r="AE92" s="693"/>
      <c r="AF92" s="693"/>
      <c r="AG92" s="693"/>
      <c r="AH92" s="1446">
        <f>Q92*1.14975</f>
        <v>0</v>
      </c>
      <c r="AI92" s="1447"/>
      <c r="AJ92" s="1447"/>
      <c r="AK92" s="1447"/>
      <c r="AL92" s="1447"/>
      <c r="AM92" s="1448"/>
      <c r="AN92" s="693"/>
      <c r="AO92" s="693"/>
      <c r="AP92" s="693"/>
      <c r="AQ92" s="693"/>
      <c r="AR92" s="693"/>
      <c r="AS92" s="693"/>
      <c r="AT92" s="693"/>
      <c r="AU92" s="693"/>
      <c r="AV92" s="693"/>
      <c r="AW92" s="693"/>
      <c r="AX92" s="693"/>
      <c r="AY92" s="693"/>
      <c r="AZ92" s="693"/>
      <c r="BA92" s="693"/>
      <c r="BB92" s="693"/>
      <c r="BC92" s="693"/>
      <c r="BD92" s="693"/>
      <c r="BE92" s="693"/>
      <c r="BF92" s="693"/>
      <c r="BG92" s="693"/>
      <c r="BH92" s="693"/>
      <c r="BI92" s="693"/>
      <c r="BJ92" s="693"/>
      <c r="BK92" s="693"/>
      <c r="BL92" s="693"/>
      <c r="BM92" s="693"/>
      <c r="BN92" s="693"/>
      <c r="BO92" s="693"/>
      <c r="BP92" s="693"/>
      <c r="BQ92" s="693"/>
      <c r="BR92" s="693"/>
      <c r="BS92" s="693"/>
      <c r="BT92" s="697"/>
    </row>
    <row r="93" spans="3:74" ht="15" thickBot="1">
      <c r="D93" s="1466"/>
      <c r="E93" s="705"/>
      <c r="F93" s="706"/>
      <c r="G93" s="706"/>
      <c r="H93" s="706"/>
      <c r="I93" s="706"/>
      <c r="J93" s="722"/>
      <c r="K93" s="722"/>
      <c r="L93" s="721"/>
      <c r="M93" s="722"/>
      <c r="N93" s="722"/>
      <c r="O93" s="722"/>
      <c r="P93" s="722"/>
      <c r="Q93" s="708"/>
      <c r="R93" s="708"/>
      <c r="S93" s="708"/>
      <c r="T93" s="708"/>
      <c r="U93" s="708"/>
      <c r="V93" s="708"/>
      <c r="W93" s="708"/>
      <c r="X93" s="708"/>
      <c r="Y93" s="708"/>
      <c r="Z93" s="710"/>
      <c r="AA93" s="710"/>
      <c r="AB93" s="710"/>
      <c r="AC93" s="710"/>
      <c r="AD93" s="710"/>
      <c r="AE93" s="708"/>
      <c r="AF93" s="709"/>
      <c r="AG93" s="710"/>
      <c r="AH93" s="710"/>
      <c r="AI93" s="710"/>
      <c r="AJ93" s="710"/>
      <c r="AK93" s="710"/>
      <c r="AL93" s="710"/>
      <c r="AM93" s="710"/>
      <c r="AN93" s="710"/>
      <c r="AO93" s="710"/>
      <c r="AP93" s="710"/>
      <c r="AQ93" s="710"/>
      <c r="AR93" s="710"/>
      <c r="AS93" s="710"/>
      <c r="AT93" s="707"/>
      <c r="AU93" s="710"/>
      <c r="AV93" s="710"/>
      <c r="AW93" s="710"/>
      <c r="AX93" s="710"/>
      <c r="AY93" s="710"/>
      <c r="AZ93" s="710"/>
      <c r="BA93" s="710"/>
      <c r="BB93" s="710"/>
      <c r="BC93" s="710"/>
      <c r="BD93" s="710"/>
      <c r="BE93" s="710"/>
      <c r="BF93" s="710"/>
      <c r="BG93" s="710"/>
      <c r="BH93" s="710"/>
      <c r="BI93" s="710"/>
      <c r="BJ93" s="710"/>
      <c r="BK93" s="710"/>
      <c r="BL93" s="710"/>
      <c r="BM93" s="710"/>
      <c r="BN93" s="710"/>
      <c r="BO93" s="710"/>
      <c r="BP93" s="710"/>
      <c r="BQ93" s="710"/>
      <c r="BR93" s="710"/>
      <c r="BS93" s="710"/>
      <c r="BT93" s="711"/>
    </row>
    <row r="95" spans="3:74">
      <c r="D95" s="735"/>
      <c r="E95" s="736" t="s">
        <v>5641</v>
      </c>
      <c r="F95" s="737"/>
      <c r="G95" s="737"/>
      <c r="H95" s="737"/>
      <c r="I95" s="737"/>
      <c r="J95" s="737"/>
      <c r="K95" s="737"/>
      <c r="L95" s="737"/>
      <c r="M95" s="737"/>
      <c r="N95" s="737"/>
      <c r="O95" s="737"/>
      <c r="P95" s="737"/>
      <c r="Q95" s="737"/>
      <c r="R95" s="737"/>
      <c r="S95" s="737"/>
      <c r="T95" s="737"/>
      <c r="U95" s="737"/>
      <c r="V95" s="737"/>
      <c r="W95" s="737"/>
      <c r="X95" s="737"/>
      <c r="Y95" s="737"/>
      <c r="Z95" s="737"/>
      <c r="AA95" s="737"/>
      <c r="AB95" s="737"/>
      <c r="AC95" s="737"/>
      <c r="AD95" s="737"/>
      <c r="AE95" s="737"/>
      <c r="AF95" s="737"/>
      <c r="AG95" s="737"/>
      <c r="AH95" s="737"/>
      <c r="AI95" s="737"/>
      <c r="AJ95" s="737"/>
      <c r="AK95" s="737"/>
      <c r="AL95" s="737"/>
      <c r="AM95" s="737"/>
      <c r="AN95" s="737"/>
      <c r="AO95" s="737"/>
      <c r="AP95" s="737"/>
      <c r="AQ95" s="737"/>
      <c r="AR95" s="737"/>
      <c r="AS95" s="737"/>
      <c r="AT95" s="737"/>
      <c r="AU95" s="737"/>
      <c r="AV95" s="737"/>
      <c r="AW95" s="737"/>
      <c r="AX95" s="737"/>
      <c r="AY95" s="737"/>
      <c r="AZ95" s="737"/>
      <c r="BA95" s="737"/>
      <c r="BB95" s="737"/>
      <c r="BC95" s="737"/>
      <c r="BD95" s="737"/>
      <c r="BE95" s="737"/>
      <c r="BF95" s="737"/>
      <c r="BG95" s="737"/>
      <c r="BH95" s="737"/>
      <c r="BI95" s="737"/>
      <c r="BJ95" s="737"/>
      <c r="BK95" s="737"/>
      <c r="BL95" s="737"/>
      <c r="BM95" s="737"/>
      <c r="BN95" s="737"/>
      <c r="BO95" s="737"/>
      <c r="BP95" s="737"/>
      <c r="BQ95" s="737"/>
      <c r="BR95" s="737"/>
      <c r="BS95" s="737"/>
      <c r="BT95" s="737"/>
    </row>
    <row r="96" spans="3:74" ht="15" thickBot="1">
      <c r="D96" s="738"/>
      <c r="E96" s="739"/>
      <c r="F96" s="739"/>
      <c r="G96" s="739"/>
      <c r="H96" s="739"/>
      <c r="I96" s="739"/>
      <c r="J96" s="739"/>
      <c r="K96" s="739"/>
      <c r="L96" s="739"/>
      <c r="M96" s="739"/>
      <c r="N96" s="739"/>
      <c r="O96" s="739"/>
      <c r="P96" s="739"/>
      <c r="Q96" s="739"/>
      <c r="R96" s="739"/>
      <c r="S96" s="740"/>
      <c r="T96" s="740"/>
      <c r="U96" s="740"/>
      <c r="V96" s="740"/>
      <c r="W96" s="740"/>
      <c r="X96" s="740"/>
      <c r="Y96" s="740"/>
      <c r="Z96" s="740"/>
      <c r="AA96" s="740"/>
      <c r="AB96" s="740"/>
      <c r="AC96" s="739"/>
      <c r="AD96" s="739"/>
      <c r="AE96" s="739"/>
      <c r="AF96" s="739"/>
      <c r="AG96" s="739"/>
      <c r="AH96" s="739"/>
      <c r="AI96" s="739"/>
      <c r="AJ96" s="739"/>
      <c r="AK96" s="739"/>
      <c r="AL96" s="739"/>
      <c r="AM96" s="739"/>
      <c r="AN96" s="739"/>
      <c r="AO96" s="739"/>
      <c r="AP96" s="739"/>
      <c r="AQ96" s="740"/>
      <c r="AR96" s="740"/>
      <c r="AS96" s="740"/>
      <c r="AT96" s="740"/>
      <c r="AU96" s="740"/>
      <c r="AV96" s="740"/>
      <c r="AW96" s="740"/>
      <c r="AX96" s="740"/>
      <c r="AY96" s="740"/>
      <c r="AZ96" s="739"/>
      <c r="BA96" s="739"/>
      <c r="BB96" s="739"/>
      <c r="BC96" s="739"/>
      <c r="BD96" s="739"/>
      <c r="BE96" s="739"/>
      <c r="BF96" s="739"/>
      <c r="BG96" s="739"/>
      <c r="BH96" s="739"/>
      <c r="BI96" s="739"/>
      <c r="BJ96" s="739"/>
      <c r="BK96" s="739"/>
      <c r="BL96" s="739"/>
      <c r="BM96" s="739"/>
      <c r="BN96" s="739"/>
      <c r="BO96" s="739"/>
      <c r="BP96" s="739"/>
      <c r="BQ96" s="739"/>
      <c r="BR96" s="739"/>
      <c r="BS96" s="739"/>
      <c r="BT96" s="739"/>
    </row>
    <row r="97" spans="4:72" ht="15.75" customHeight="1" thickBot="1">
      <c r="D97" s="741"/>
      <c r="E97" s="693"/>
      <c r="F97" s="742" t="s">
        <v>5642</v>
      </c>
      <c r="G97" s="742"/>
      <c r="H97" s="742"/>
      <c r="I97" s="742"/>
      <c r="J97" s="742"/>
      <c r="K97" s="742"/>
      <c r="L97" s="742"/>
      <c r="M97" s="742"/>
      <c r="N97" s="742"/>
      <c r="O97" s="742"/>
      <c r="P97" s="742"/>
      <c r="Q97" s="742"/>
      <c r="R97" s="742"/>
      <c r="S97" s="743"/>
      <c r="T97" s="740"/>
      <c r="U97" s="693"/>
      <c r="V97" s="693"/>
      <c r="W97" s="693"/>
      <c r="X97" s="693"/>
      <c r="Y97" s="693"/>
      <c r="Z97" s="693"/>
      <c r="AA97" s="693"/>
      <c r="AB97" s="693"/>
      <c r="AC97" s="1458"/>
      <c r="AD97" s="1459"/>
      <c r="AE97" s="1459"/>
      <c r="AF97" s="1459"/>
      <c r="AG97" s="1459"/>
      <c r="AH97" s="1459"/>
      <c r="AI97" s="1459"/>
      <c r="AJ97" s="1459"/>
      <c r="AK97" s="1459"/>
      <c r="AL97" s="1459"/>
      <c r="AM97" s="1459"/>
      <c r="AN97" s="1459"/>
      <c r="AO97" s="1459"/>
      <c r="AP97" s="1460"/>
      <c r="AQ97" s="693"/>
      <c r="AR97" s="693"/>
      <c r="AS97" s="693"/>
      <c r="AT97" s="693"/>
      <c r="AU97" s="693"/>
      <c r="AV97" s="693"/>
      <c r="AW97" s="693"/>
      <c r="AX97" s="740"/>
      <c r="AY97" s="740"/>
      <c r="AZ97" s="739"/>
      <c r="BA97" s="739"/>
      <c r="BB97" s="739"/>
      <c r="BC97" s="739"/>
      <c r="BD97" s="739"/>
      <c r="BE97" s="739"/>
      <c r="BF97" s="739"/>
      <c r="BG97" s="739"/>
      <c r="BH97" s="739"/>
      <c r="BI97" s="739"/>
      <c r="BJ97" s="739"/>
      <c r="BK97" s="739"/>
      <c r="BL97" s="739"/>
      <c r="BM97" s="739"/>
      <c r="BN97" s="739"/>
      <c r="BO97" s="739"/>
      <c r="BP97" s="739"/>
      <c r="BQ97" s="739"/>
      <c r="BR97" s="739"/>
      <c r="BS97" s="739"/>
      <c r="BT97" s="739"/>
    </row>
    <row r="98" spans="4:72" ht="15" customHeight="1">
      <c r="D98" s="738"/>
      <c r="E98" s="739"/>
      <c r="F98" s="739"/>
      <c r="G98" s="739"/>
      <c r="H98" s="739"/>
      <c r="I98" s="739"/>
      <c r="J98" s="739"/>
      <c r="K98" s="739"/>
      <c r="L98" s="739"/>
      <c r="M98" s="739"/>
      <c r="N98" s="739"/>
      <c r="O98" s="739"/>
      <c r="P98" s="739"/>
      <c r="Q98" s="739"/>
      <c r="R98" s="739"/>
      <c r="S98" s="740"/>
      <c r="T98" s="740"/>
      <c r="U98" s="740"/>
      <c r="V98" s="740"/>
      <c r="W98" s="740"/>
      <c r="X98" s="740"/>
      <c r="Y98" s="740"/>
      <c r="Z98" s="740"/>
      <c r="AA98" s="740"/>
      <c r="AB98" s="740"/>
      <c r="AC98" s="1463" t="s">
        <v>5560</v>
      </c>
      <c r="AD98" s="1463"/>
      <c r="AE98" s="1463"/>
      <c r="AF98" s="1463"/>
      <c r="AG98" s="1463"/>
      <c r="AH98" s="1463"/>
      <c r="AI98" s="1463"/>
      <c r="AJ98" s="1463"/>
      <c r="AK98" s="1463"/>
      <c r="AL98" s="1463"/>
      <c r="AM98" s="1463"/>
      <c r="AN98" s="1463"/>
      <c r="AO98" s="1463"/>
      <c r="AP98" s="1463"/>
      <c r="AQ98" s="693"/>
      <c r="AR98" s="693"/>
      <c r="AS98" s="693"/>
      <c r="AT98" s="693"/>
      <c r="AU98" s="693"/>
      <c r="AV98" s="693"/>
      <c r="AW98" s="693"/>
      <c r="AX98" s="740"/>
      <c r="AY98" s="740"/>
      <c r="AZ98" s="739"/>
      <c r="BA98" s="739"/>
      <c r="BB98" s="739"/>
      <c r="BC98" s="739"/>
      <c r="BD98" s="739"/>
      <c r="BE98" s="739"/>
      <c r="BF98" s="739"/>
      <c r="BG98" s="739"/>
      <c r="BH98" s="739"/>
      <c r="BI98" s="739"/>
      <c r="BJ98" s="739"/>
      <c r="BK98" s="739"/>
      <c r="BL98" s="739"/>
      <c r="BM98" s="739"/>
      <c r="BN98" s="739"/>
      <c r="BO98" s="739"/>
      <c r="BP98" s="739"/>
      <c r="BQ98" s="739"/>
      <c r="BR98" s="739"/>
      <c r="BS98" s="739"/>
      <c r="BT98" s="739"/>
    </row>
    <row r="99" spans="4:72" ht="2.25" customHeight="1">
      <c r="D99" s="738"/>
      <c r="E99" s="738"/>
      <c r="F99" s="744"/>
      <c r="G99" s="744"/>
      <c r="H99" s="744"/>
      <c r="I99" s="744"/>
      <c r="J99" s="744"/>
      <c r="K99" s="744"/>
      <c r="L99" s="744"/>
      <c r="M99" s="738"/>
      <c r="N99" s="738"/>
      <c r="O99" s="738"/>
      <c r="P99" s="738"/>
      <c r="Q99" s="738"/>
      <c r="R99" s="738"/>
      <c r="S99" s="738"/>
      <c r="T99" s="738"/>
      <c r="U99" s="738"/>
      <c r="V99" s="738"/>
      <c r="W99" s="738"/>
      <c r="X99" s="738"/>
      <c r="Y99" s="738"/>
      <c r="Z99" s="738"/>
      <c r="AA99" s="738"/>
      <c r="AB99" s="738"/>
      <c r="AC99" s="738"/>
      <c r="AD99" s="738"/>
      <c r="AE99" s="738"/>
      <c r="AF99" s="738"/>
      <c r="AG99" s="738"/>
      <c r="AH99" s="738"/>
      <c r="AI99" s="738"/>
      <c r="AJ99" s="738"/>
      <c r="AK99" s="738"/>
      <c r="AL99" s="738"/>
      <c r="AM99" s="738"/>
      <c r="AN99" s="738"/>
      <c r="AO99" s="738"/>
      <c r="AP99" s="738"/>
      <c r="AQ99" s="738"/>
      <c r="AR99" s="738"/>
      <c r="AS99" s="738"/>
      <c r="AT99" s="738"/>
      <c r="AU99" s="738"/>
      <c r="AV99" s="738"/>
      <c r="AW99" s="738"/>
      <c r="AX99" s="738"/>
      <c r="AY99" s="738"/>
      <c r="AZ99" s="738"/>
      <c r="BA99" s="738"/>
      <c r="BB99" s="738"/>
      <c r="BC99" s="738"/>
      <c r="BD99" s="738"/>
      <c r="BE99" s="738"/>
      <c r="BF99" s="738"/>
      <c r="BG99" s="738"/>
      <c r="BH99" s="738"/>
      <c r="BI99" s="738"/>
      <c r="BJ99" s="738"/>
      <c r="BK99" s="738"/>
      <c r="BL99" s="738"/>
      <c r="BM99" s="738"/>
      <c r="BN99" s="738"/>
      <c r="BO99" s="738"/>
      <c r="BP99" s="738"/>
      <c r="BQ99" s="738"/>
      <c r="BR99" s="738"/>
      <c r="BS99" s="738"/>
      <c r="BT99" s="738"/>
    </row>
    <row r="100" spans="4:72">
      <c r="D100" s="738"/>
      <c r="E100" s="738"/>
      <c r="F100" s="745" t="s">
        <v>5643</v>
      </c>
      <c r="G100" s="745"/>
      <c r="H100" s="744"/>
      <c r="I100" s="744"/>
      <c r="J100" s="744"/>
      <c r="K100" s="744"/>
      <c r="L100" s="744"/>
      <c r="M100" s="738"/>
      <c r="N100" s="738"/>
      <c r="O100" s="738"/>
      <c r="P100" s="738"/>
      <c r="Q100" s="738"/>
      <c r="R100" s="738"/>
      <c r="S100" s="738"/>
      <c r="T100" s="738"/>
      <c r="U100" s="738"/>
      <c r="V100" s="738"/>
      <c r="W100" s="738"/>
      <c r="X100" s="738"/>
      <c r="Y100" s="738"/>
      <c r="Z100" s="738"/>
      <c r="AA100" s="738"/>
      <c r="AB100" s="738"/>
      <c r="AC100" s="738"/>
      <c r="AD100" s="738"/>
      <c r="AE100" s="738"/>
      <c r="AF100" s="738"/>
      <c r="AG100" s="738"/>
      <c r="AH100" s="738"/>
      <c r="AI100" s="738"/>
      <c r="AJ100" s="738"/>
      <c r="AK100" s="738"/>
      <c r="AL100" s="738"/>
      <c r="AM100" s="738"/>
      <c r="AN100" s="738"/>
      <c r="AO100" s="738"/>
      <c r="AP100" s="738"/>
      <c r="AQ100" s="738"/>
      <c r="AR100" s="738"/>
      <c r="AS100" s="738"/>
      <c r="AT100" s="738"/>
      <c r="AU100" s="738"/>
      <c r="AV100" s="738"/>
      <c r="AW100" s="738"/>
      <c r="AX100" s="738"/>
      <c r="AY100" s="738"/>
      <c r="AZ100" s="738"/>
      <c r="BA100" s="738"/>
      <c r="BB100" s="738"/>
      <c r="BC100" s="738"/>
      <c r="BD100" s="738"/>
      <c r="BE100" s="738"/>
      <c r="BF100" s="738"/>
      <c r="BG100" s="738"/>
      <c r="BH100" s="738"/>
      <c r="BI100" s="738"/>
      <c r="BJ100" s="738"/>
      <c r="BK100" s="738"/>
      <c r="BL100" s="738"/>
      <c r="BM100" s="738"/>
      <c r="BN100" s="738"/>
      <c r="BO100" s="738"/>
      <c r="BP100" s="738"/>
      <c r="BQ100" s="738"/>
      <c r="BR100" s="738"/>
      <c r="BS100" s="738"/>
      <c r="BT100" s="738"/>
    </row>
    <row r="101" spans="4:72" ht="2.25" customHeight="1">
      <c r="D101" s="738"/>
      <c r="E101" s="738"/>
      <c r="F101" s="744"/>
      <c r="G101" s="744"/>
      <c r="H101" s="744"/>
      <c r="I101" s="744"/>
      <c r="J101" s="744"/>
      <c r="K101" s="744"/>
      <c r="L101" s="744"/>
      <c r="M101" s="738"/>
      <c r="N101" s="738"/>
      <c r="O101" s="738"/>
      <c r="P101" s="738"/>
      <c r="Q101" s="738"/>
      <c r="R101" s="738"/>
      <c r="S101" s="738"/>
      <c r="T101" s="738"/>
      <c r="U101" s="738"/>
      <c r="V101" s="738"/>
      <c r="W101" s="738"/>
      <c r="X101" s="738"/>
      <c r="Y101" s="738"/>
      <c r="Z101" s="738"/>
      <c r="AA101" s="738"/>
      <c r="AB101" s="738"/>
      <c r="AC101" s="738"/>
      <c r="AD101" s="738"/>
      <c r="AE101" s="738"/>
      <c r="AF101" s="738"/>
      <c r="AG101" s="738"/>
      <c r="AH101" s="738"/>
      <c r="AI101" s="738"/>
      <c r="AJ101" s="738"/>
      <c r="AK101" s="738"/>
      <c r="AL101" s="738"/>
      <c r="AM101" s="738"/>
      <c r="AN101" s="738"/>
      <c r="AO101" s="738"/>
      <c r="AP101" s="738"/>
      <c r="AQ101" s="738"/>
      <c r="AR101" s="738"/>
      <c r="AS101" s="738"/>
      <c r="AT101" s="738"/>
      <c r="AU101" s="738"/>
      <c r="AV101" s="738"/>
      <c r="AW101" s="738"/>
      <c r="AX101" s="738"/>
      <c r="AY101" s="738"/>
      <c r="AZ101" s="738"/>
      <c r="BA101" s="738"/>
      <c r="BB101" s="738"/>
      <c r="BC101" s="738"/>
      <c r="BD101" s="738"/>
      <c r="BE101" s="738"/>
      <c r="BF101" s="738"/>
      <c r="BG101" s="738"/>
      <c r="BH101" s="738"/>
      <c r="BI101" s="738"/>
      <c r="BJ101" s="738"/>
      <c r="BK101" s="738"/>
      <c r="BL101" s="738"/>
      <c r="BM101" s="738"/>
      <c r="BN101" s="738"/>
      <c r="BO101" s="738"/>
      <c r="BP101" s="738"/>
      <c r="BQ101" s="738"/>
      <c r="BR101" s="738"/>
      <c r="BS101" s="738"/>
      <c r="BT101" s="738"/>
    </row>
    <row r="102" spans="4:72">
      <c r="D102" s="738"/>
      <c r="E102" s="738"/>
      <c r="F102" s="746" t="s">
        <v>5644</v>
      </c>
      <c r="G102" s="739"/>
      <c r="H102" s="739"/>
      <c r="I102" s="739"/>
      <c r="J102" s="744"/>
      <c r="K102" s="744"/>
      <c r="L102" s="744"/>
      <c r="M102" s="738"/>
      <c r="N102" s="738"/>
      <c r="O102" s="738"/>
      <c r="P102" s="738"/>
      <c r="Q102" s="738"/>
      <c r="R102" s="738"/>
      <c r="S102" s="738"/>
      <c r="T102" s="738"/>
      <c r="U102" s="738"/>
      <c r="V102" s="738"/>
      <c r="W102" s="738"/>
      <c r="X102" s="738"/>
      <c r="Y102" s="738"/>
      <c r="Z102" s="738"/>
      <c r="AA102" s="738"/>
      <c r="AB102" s="738"/>
      <c r="AC102" s="738"/>
      <c r="AD102" s="738"/>
      <c r="AE102" s="738"/>
      <c r="AF102" s="738"/>
      <c r="AG102" s="738"/>
      <c r="AH102" s="738"/>
      <c r="AI102" s="738"/>
      <c r="AJ102" s="738"/>
      <c r="AK102" s="738"/>
      <c r="AL102" s="738"/>
      <c r="AM102" s="738"/>
      <c r="AN102" s="738"/>
      <c r="AO102" s="738"/>
      <c r="AP102" s="738"/>
      <c r="AQ102" s="738"/>
      <c r="AR102" s="738"/>
      <c r="AS102" s="738"/>
      <c r="AT102" s="738"/>
      <c r="AU102" s="738"/>
      <c r="AV102" s="738"/>
      <c r="AW102" s="738"/>
      <c r="AX102" s="738"/>
      <c r="AY102" s="738"/>
      <c r="AZ102" s="738"/>
      <c r="BA102" s="738"/>
      <c r="BB102" s="738"/>
      <c r="BC102" s="738"/>
      <c r="BD102" s="738"/>
      <c r="BE102" s="738"/>
      <c r="BF102" s="738"/>
      <c r="BG102" s="738"/>
      <c r="BH102" s="738"/>
      <c r="BI102" s="738"/>
      <c r="BJ102" s="738"/>
      <c r="BK102" s="738"/>
      <c r="BL102" s="738"/>
      <c r="BM102" s="738"/>
      <c r="BN102" s="738"/>
      <c r="BO102" s="738"/>
      <c r="BP102" s="738"/>
      <c r="BQ102" s="738"/>
      <c r="BR102" s="738"/>
      <c r="BS102" s="738"/>
      <c r="BT102" s="738"/>
    </row>
    <row r="103" spans="4:72" ht="2.25" customHeight="1" thickBot="1">
      <c r="D103" s="738"/>
      <c r="E103" s="738"/>
      <c r="F103" s="739"/>
      <c r="G103" s="739"/>
      <c r="H103" s="739"/>
      <c r="I103" s="739"/>
      <c r="J103" s="744"/>
      <c r="K103" s="744"/>
      <c r="L103" s="744"/>
      <c r="M103" s="738"/>
      <c r="N103" s="738"/>
      <c r="O103" s="738"/>
      <c r="P103" s="738"/>
      <c r="Q103" s="738"/>
      <c r="R103" s="738"/>
      <c r="S103" s="738"/>
      <c r="T103" s="738"/>
      <c r="U103" s="738"/>
      <c r="V103" s="738"/>
      <c r="W103" s="738"/>
      <c r="X103" s="738"/>
      <c r="Y103" s="738"/>
      <c r="Z103" s="738"/>
      <c r="AA103" s="738"/>
      <c r="AB103" s="738"/>
      <c r="AC103" s="738"/>
      <c r="AD103" s="738"/>
      <c r="AE103" s="738"/>
      <c r="AF103" s="738"/>
      <c r="AG103" s="738"/>
      <c r="AH103" s="738"/>
      <c r="AI103" s="738"/>
      <c r="AJ103" s="738"/>
      <c r="AK103" s="738"/>
      <c r="AL103" s="738"/>
      <c r="AM103" s="738"/>
      <c r="AN103" s="738"/>
      <c r="AO103" s="738"/>
      <c r="AP103" s="738"/>
      <c r="AQ103" s="738"/>
      <c r="AR103" s="738"/>
      <c r="AS103" s="738"/>
      <c r="AT103" s="738"/>
      <c r="AU103" s="738"/>
      <c r="AV103" s="738"/>
      <c r="AW103" s="738"/>
      <c r="AX103" s="738"/>
      <c r="AY103" s="738"/>
      <c r="AZ103" s="738"/>
      <c r="BA103" s="738"/>
      <c r="BB103" s="738"/>
      <c r="BC103" s="738"/>
      <c r="BD103" s="738"/>
      <c r="BE103" s="738"/>
      <c r="BF103" s="738"/>
      <c r="BG103" s="738"/>
      <c r="BH103" s="738"/>
      <c r="BI103" s="738"/>
      <c r="BJ103" s="738"/>
      <c r="BK103" s="738"/>
      <c r="BL103" s="738"/>
      <c r="BM103" s="738"/>
      <c r="BN103" s="738"/>
      <c r="BO103" s="738"/>
      <c r="BP103" s="738"/>
      <c r="BQ103" s="738"/>
      <c r="BR103" s="738"/>
      <c r="BS103" s="738"/>
      <c r="BT103" s="738"/>
    </row>
    <row r="104" spans="4:72" ht="15" thickBot="1">
      <c r="D104" s="738"/>
      <c r="E104" s="738"/>
      <c r="F104" s="1452"/>
      <c r="G104" s="1453"/>
      <c r="H104" s="1453"/>
      <c r="I104" s="1453"/>
      <c r="J104" s="1453"/>
      <c r="K104" s="1453"/>
      <c r="L104" s="1453"/>
      <c r="M104" s="1453"/>
      <c r="N104" s="1453"/>
      <c r="O104" s="1453"/>
      <c r="P104" s="1453"/>
      <c r="Q104" s="1453"/>
      <c r="R104" s="1453"/>
      <c r="S104" s="1453"/>
      <c r="T104" s="1453"/>
      <c r="U104" s="1453"/>
      <c r="V104" s="1453"/>
      <c r="W104" s="1453"/>
      <c r="X104" s="1453"/>
      <c r="Y104" s="1453"/>
      <c r="Z104" s="1453"/>
      <c r="AA104" s="1453"/>
      <c r="AB104" s="1453"/>
      <c r="AC104" s="1453"/>
      <c r="AD104" s="1453"/>
      <c r="AE104" s="1453"/>
      <c r="AF104" s="1453"/>
      <c r="AG104" s="1454"/>
      <c r="AH104" s="738"/>
      <c r="AI104" s="738"/>
      <c r="AJ104" s="738"/>
      <c r="AK104" s="738"/>
      <c r="AL104" s="738"/>
      <c r="AM104" s="738"/>
      <c r="AN104" s="738"/>
      <c r="AO104" s="738"/>
      <c r="AP104" s="738"/>
      <c r="AQ104" s="738"/>
      <c r="AR104" s="738"/>
      <c r="AS104" s="738"/>
      <c r="AT104" s="738"/>
      <c r="AU104" s="738"/>
      <c r="AV104" s="738"/>
      <c r="AW104" s="738"/>
      <c r="AX104" s="738"/>
      <c r="AY104" s="738"/>
      <c r="AZ104" s="738"/>
      <c r="BA104" s="738"/>
      <c r="BB104" s="738"/>
      <c r="BC104" s="738"/>
      <c r="BD104" s="738"/>
      <c r="BE104" s="738"/>
      <c r="BF104" s="738"/>
      <c r="BG104" s="738"/>
      <c r="BH104" s="738"/>
      <c r="BI104" s="738"/>
      <c r="BJ104" s="738"/>
      <c r="BK104" s="738"/>
      <c r="BL104" s="738"/>
      <c r="BM104" s="738"/>
      <c r="BN104" s="738"/>
      <c r="BO104" s="738"/>
      <c r="BP104" s="738"/>
      <c r="BQ104" s="738"/>
      <c r="BR104" s="738"/>
      <c r="BS104" s="738"/>
      <c r="BT104" s="738"/>
    </row>
    <row r="105" spans="4:72" ht="2.25" customHeight="1">
      <c r="D105" s="738"/>
      <c r="E105" s="738"/>
      <c r="F105" s="739"/>
      <c r="G105" s="739"/>
      <c r="H105" s="739"/>
      <c r="I105" s="739"/>
      <c r="J105" s="744"/>
      <c r="K105" s="744"/>
      <c r="L105" s="744"/>
      <c r="M105" s="738"/>
      <c r="N105" s="738"/>
      <c r="O105" s="738"/>
      <c r="P105" s="738"/>
      <c r="Q105" s="738"/>
      <c r="R105" s="738"/>
      <c r="S105" s="738"/>
      <c r="T105" s="738"/>
      <c r="U105" s="738"/>
      <c r="V105" s="738"/>
      <c r="W105" s="738"/>
      <c r="X105" s="738"/>
      <c r="Y105" s="738"/>
      <c r="Z105" s="738"/>
      <c r="AA105" s="738"/>
      <c r="AB105" s="738"/>
      <c r="AC105" s="738"/>
      <c r="AD105" s="738"/>
      <c r="AE105" s="738"/>
      <c r="AF105" s="738"/>
      <c r="AG105" s="738"/>
      <c r="AH105" s="738"/>
      <c r="AI105" s="738"/>
      <c r="AJ105" s="738"/>
      <c r="AK105" s="738"/>
      <c r="AL105" s="738"/>
      <c r="AM105" s="738"/>
      <c r="AN105" s="738"/>
      <c r="AO105" s="738"/>
      <c r="AP105" s="738"/>
      <c r="AQ105" s="738"/>
      <c r="AR105" s="738"/>
      <c r="AS105" s="738"/>
      <c r="AT105" s="738"/>
      <c r="AU105" s="738"/>
      <c r="AV105" s="738"/>
      <c r="AW105" s="738"/>
      <c r="AX105" s="738"/>
      <c r="AY105" s="738"/>
      <c r="AZ105" s="738"/>
      <c r="BA105" s="738"/>
      <c r="BB105" s="738"/>
      <c r="BC105" s="738"/>
      <c r="BD105" s="738"/>
      <c r="BE105" s="738"/>
      <c r="BF105" s="738"/>
      <c r="BG105" s="738"/>
      <c r="BH105" s="738"/>
      <c r="BI105" s="738"/>
      <c r="BJ105" s="738"/>
      <c r="BK105" s="738"/>
      <c r="BL105" s="738"/>
      <c r="BM105" s="738"/>
      <c r="BN105" s="738"/>
      <c r="BO105" s="738"/>
      <c r="BP105" s="738"/>
      <c r="BQ105" s="738"/>
      <c r="BR105" s="738"/>
      <c r="BS105" s="738"/>
      <c r="BT105" s="738"/>
    </row>
    <row r="106" spans="4:72">
      <c r="D106" s="738"/>
      <c r="E106" s="738"/>
      <c r="F106" s="747" t="s">
        <v>5645</v>
      </c>
      <c r="G106" s="747"/>
      <c r="H106" s="740"/>
      <c r="I106" s="693"/>
      <c r="J106" s="693"/>
      <c r="K106" s="693"/>
      <c r="L106" s="748"/>
      <c r="M106" s="749"/>
      <c r="N106" s="738"/>
      <c r="O106" s="738"/>
      <c r="P106" s="738"/>
      <c r="Q106" s="738"/>
      <c r="R106" s="738"/>
      <c r="S106" s="738"/>
      <c r="T106" s="738"/>
      <c r="U106" s="738"/>
      <c r="V106" s="738"/>
      <c r="W106" s="738"/>
      <c r="X106" s="738"/>
      <c r="Y106" s="750" t="s">
        <v>5620</v>
      </c>
      <c r="Z106" s="744"/>
      <c r="AA106" s="744"/>
      <c r="AB106" s="738"/>
      <c r="AC106" s="738"/>
      <c r="AD106" s="738"/>
      <c r="AE106" s="738"/>
      <c r="AF106" s="738"/>
      <c r="AG106" s="738"/>
      <c r="AH106" s="738"/>
      <c r="AI106" s="738"/>
      <c r="AJ106" s="738"/>
      <c r="AK106" s="738"/>
      <c r="AL106" s="738"/>
      <c r="AM106" s="738"/>
      <c r="AN106" s="738"/>
      <c r="AO106" s="738"/>
      <c r="AP106" s="738"/>
      <c r="AQ106" s="738"/>
      <c r="AR106" s="738"/>
      <c r="AS106" s="738"/>
      <c r="AT106" s="738"/>
      <c r="AU106" s="738"/>
      <c r="AV106" s="738"/>
      <c r="AW106" s="738"/>
      <c r="AX106" s="738"/>
      <c r="AY106" s="738"/>
      <c r="AZ106" s="738"/>
      <c r="BA106" s="738"/>
      <c r="BB106" s="738"/>
      <c r="BC106" s="738"/>
      <c r="BD106" s="738"/>
      <c r="BE106" s="738"/>
      <c r="BF106" s="738"/>
      <c r="BG106" s="738"/>
      <c r="BH106" s="738"/>
      <c r="BI106" s="738"/>
      <c r="BJ106" s="738"/>
      <c r="BK106" s="738"/>
      <c r="BL106" s="738"/>
      <c r="BM106" s="738"/>
      <c r="BN106" s="738"/>
      <c r="BO106" s="738"/>
      <c r="BP106" s="738"/>
      <c r="BQ106" s="738"/>
      <c r="BR106" s="738"/>
      <c r="BS106" s="738"/>
      <c r="BT106" s="738"/>
    </row>
    <row r="107" spans="4:72" ht="2.25" customHeight="1" thickBot="1">
      <c r="D107" s="738"/>
      <c r="E107" s="738"/>
      <c r="F107" s="739"/>
      <c r="G107" s="739"/>
      <c r="H107" s="740"/>
      <c r="I107" s="693"/>
      <c r="J107" s="693"/>
      <c r="K107" s="693"/>
      <c r="L107" s="748"/>
      <c r="M107" s="749"/>
      <c r="N107" s="738"/>
      <c r="O107" s="738"/>
      <c r="P107" s="738"/>
      <c r="Q107" s="738"/>
      <c r="R107" s="738"/>
      <c r="S107" s="738"/>
      <c r="T107" s="738"/>
      <c r="U107" s="738"/>
      <c r="V107" s="738"/>
      <c r="W107" s="738"/>
      <c r="X107" s="738"/>
      <c r="Y107" s="739"/>
      <c r="Z107" s="744"/>
      <c r="AA107" s="744"/>
      <c r="AB107" s="738"/>
      <c r="AC107" s="738"/>
      <c r="AD107" s="738"/>
      <c r="AE107" s="738"/>
      <c r="AF107" s="738"/>
      <c r="AG107" s="738"/>
      <c r="AH107" s="738"/>
      <c r="AI107" s="738"/>
      <c r="AJ107" s="738"/>
      <c r="AK107" s="738"/>
      <c r="AL107" s="738"/>
      <c r="AM107" s="738"/>
      <c r="AN107" s="738"/>
      <c r="AO107" s="738"/>
      <c r="AP107" s="738"/>
      <c r="AQ107" s="738"/>
      <c r="AR107" s="738"/>
      <c r="AS107" s="738"/>
      <c r="AT107" s="738"/>
      <c r="AU107" s="738"/>
      <c r="AV107" s="738"/>
      <c r="AW107" s="738"/>
      <c r="AX107" s="738"/>
      <c r="AY107" s="738"/>
      <c r="AZ107" s="738"/>
      <c r="BA107" s="738"/>
      <c r="BB107" s="738"/>
      <c r="BC107" s="738"/>
      <c r="BD107" s="738"/>
      <c r="BE107" s="738"/>
      <c r="BF107" s="738"/>
      <c r="BG107" s="738"/>
      <c r="BH107" s="738"/>
      <c r="BI107" s="738"/>
      <c r="BJ107" s="738"/>
      <c r="BK107" s="738"/>
      <c r="BL107" s="738"/>
      <c r="BM107" s="738"/>
      <c r="BN107" s="738"/>
      <c r="BO107" s="738"/>
      <c r="BP107" s="738"/>
      <c r="BQ107" s="738"/>
      <c r="BR107" s="738"/>
      <c r="BS107" s="738"/>
      <c r="BT107" s="738"/>
    </row>
    <row r="108" spans="4:72" ht="15" thickBot="1">
      <c r="D108" s="738"/>
      <c r="E108" s="738"/>
      <c r="F108" s="1452"/>
      <c r="G108" s="1453"/>
      <c r="H108" s="1453"/>
      <c r="I108" s="1453"/>
      <c r="J108" s="1453"/>
      <c r="K108" s="1453"/>
      <c r="L108" s="1453"/>
      <c r="M108" s="1453"/>
      <c r="N108" s="1453"/>
      <c r="O108" s="1453"/>
      <c r="P108" s="1453"/>
      <c r="Q108" s="1453"/>
      <c r="R108" s="1453"/>
      <c r="S108" s="1453"/>
      <c r="T108" s="1453"/>
      <c r="U108" s="1453"/>
      <c r="V108" s="1454"/>
      <c r="W108" s="738"/>
      <c r="X108" s="738"/>
      <c r="Y108" s="1458"/>
      <c r="Z108" s="1459"/>
      <c r="AA108" s="1459"/>
      <c r="AB108" s="1459"/>
      <c r="AC108" s="1459"/>
      <c r="AD108" s="1459"/>
      <c r="AE108" s="1459"/>
      <c r="AF108" s="1459"/>
      <c r="AG108" s="1460"/>
      <c r="AH108" s="738"/>
      <c r="AI108" s="738"/>
      <c r="AJ108" s="738"/>
      <c r="AK108" s="738"/>
      <c r="AL108" s="738"/>
      <c r="AM108" s="738"/>
      <c r="AN108" s="738"/>
      <c r="AO108" s="738"/>
      <c r="AP108" s="738"/>
      <c r="AQ108" s="738"/>
      <c r="AR108" s="738"/>
      <c r="AS108" s="738"/>
      <c r="AT108" s="738"/>
      <c r="AU108" s="738"/>
      <c r="AV108" s="738"/>
      <c r="AW108" s="738"/>
      <c r="AX108" s="738"/>
      <c r="AY108" s="738"/>
      <c r="AZ108" s="738"/>
      <c r="BA108" s="738"/>
      <c r="BB108" s="738"/>
      <c r="BC108" s="738"/>
      <c r="BD108" s="738"/>
      <c r="BE108" s="738"/>
      <c r="BF108" s="738"/>
      <c r="BG108" s="738"/>
      <c r="BH108" s="738"/>
      <c r="BI108" s="738"/>
      <c r="BJ108" s="738"/>
      <c r="BK108" s="738"/>
      <c r="BL108" s="738"/>
      <c r="BM108" s="738"/>
      <c r="BN108" s="738"/>
      <c r="BO108" s="738"/>
      <c r="BP108" s="738"/>
      <c r="BQ108" s="738"/>
      <c r="BR108" s="738"/>
      <c r="BS108" s="738"/>
      <c r="BT108" s="738"/>
    </row>
    <row r="109" spans="4:72" ht="2.25" customHeight="1">
      <c r="D109" s="738"/>
      <c r="E109" s="738"/>
      <c r="F109" s="744"/>
      <c r="G109" s="744"/>
      <c r="H109" s="744"/>
      <c r="I109" s="693"/>
      <c r="J109" s="693"/>
      <c r="K109" s="693"/>
      <c r="L109" s="744"/>
      <c r="M109" s="738"/>
      <c r="N109" s="738"/>
      <c r="O109" s="738"/>
      <c r="P109" s="738"/>
      <c r="Q109" s="738"/>
      <c r="R109" s="738"/>
      <c r="S109" s="738"/>
      <c r="T109" s="738"/>
      <c r="U109" s="738"/>
      <c r="V109" s="738"/>
      <c r="W109" s="738"/>
      <c r="X109" s="738"/>
      <c r="Y109" s="1461"/>
      <c r="Z109" s="1461"/>
      <c r="AA109" s="1461"/>
      <c r="AB109" s="1461"/>
      <c r="AC109" s="1461"/>
      <c r="AD109" s="1461"/>
      <c r="AE109" s="1461"/>
      <c r="AF109" s="1461"/>
      <c r="AG109" s="1461"/>
      <c r="AH109" s="738"/>
      <c r="AI109" s="738"/>
      <c r="AJ109" s="738"/>
      <c r="AK109" s="738"/>
      <c r="AL109" s="738"/>
      <c r="AM109" s="738"/>
      <c r="AN109" s="738"/>
      <c r="AO109" s="738"/>
      <c r="AP109" s="738"/>
      <c r="AQ109" s="738"/>
      <c r="AR109" s="738"/>
      <c r="AS109" s="738"/>
      <c r="AT109" s="738"/>
      <c r="AU109" s="738"/>
      <c r="AV109" s="738"/>
      <c r="AW109" s="738"/>
      <c r="AX109" s="738"/>
      <c r="AY109" s="738"/>
      <c r="AZ109" s="738"/>
      <c r="BA109" s="738"/>
      <c r="BB109" s="738"/>
      <c r="BC109" s="738"/>
      <c r="BD109" s="738"/>
      <c r="BE109" s="738"/>
      <c r="BF109" s="738"/>
      <c r="BG109" s="738"/>
      <c r="BH109" s="738"/>
      <c r="BI109" s="738"/>
      <c r="BJ109" s="738"/>
      <c r="BK109" s="738"/>
      <c r="BL109" s="738"/>
      <c r="BM109" s="738"/>
      <c r="BN109" s="738"/>
      <c r="BO109" s="738"/>
      <c r="BP109" s="738"/>
      <c r="BQ109" s="738"/>
      <c r="BR109" s="738"/>
      <c r="BS109" s="738"/>
      <c r="BT109" s="738"/>
    </row>
    <row r="110" spans="4:72">
      <c r="D110" s="738"/>
      <c r="E110" s="738"/>
      <c r="F110" s="746" t="s">
        <v>5646</v>
      </c>
      <c r="G110" s="739"/>
      <c r="H110" s="739"/>
      <c r="I110" s="751"/>
      <c r="J110" s="751"/>
      <c r="K110" s="751"/>
      <c r="L110" s="744"/>
      <c r="M110" s="738"/>
      <c r="N110" s="738"/>
      <c r="O110" s="738"/>
      <c r="P110" s="738"/>
      <c r="Q110" s="738"/>
      <c r="R110" s="738"/>
      <c r="S110" s="738"/>
      <c r="T110" s="738"/>
      <c r="U110" s="738"/>
      <c r="V110" s="738"/>
      <c r="W110" s="738"/>
      <c r="X110" s="738"/>
      <c r="Y110" s="1462" t="s">
        <v>5560</v>
      </c>
      <c r="Z110" s="1462"/>
      <c r="AA110" s="1462"/>
      <c r="AB110" s="1462"/>
      <c r="AC110" s="1462"/>
      <c r="AD110" s="1462"/>
      <c r="AE110" s="1462"/>
      <c r="AF110" s="1462"/>
      <c r="AG110" s="1462"/>
      <c r="AH110" s="738"/>
      <c r="AI110" s="738"/>
      <c r="AJ110" s="738"/>
      <c r="AK110" s="738"/>
      <c r="AL110" s="738"/>
      <c r="AM110" s="738"/>
      <c r="AN110" s="738"/>
      <c r="AO110" s="738"/>
      <c r="AP110" s="738"/>
      <c r="AQ110" s="738"/>
      <c r="AR110" s="738"/>
      <c r="AS110" s="738"/>
      <c r="AT110" s="738"/>
      <c r="AU110" s="738"/>
      <c r="AV110" s="738"/>
      <c r="AW110" s="738"/>
      <c r="AX110" s="738"/>
      <c r="AY110" s="738"/>
      <c r="AZ110" s="738"/>
      <c r="BA110" s="738"/>
      <c r="BB110" s="738"/>
      <c r="BC110" s="738"/>
      <c r="BD110" s="738"/>
      <c r="BE110" s="738"/>
      <c r="BF110" s="738"/>
      <c r="BG110" s="738"/>
      <c r="BH110" s="738"/>
      <c r="BI110" s="738"/>
      <c r="BJ110" s="738"/>
      <c r="BK110" s="738"/>
      <c r="BL110" s="738"/>
      <c r="BM110" s="738"/>
      <c r="BN110" s="738"/>
      <c r="BO110" s="738"/>
      <c r="BP110" s="738"/>
      <c r="BQ110" s="738"/>
      <c r="BR110" s="738"/>
      <c r="BS110" s="738"/>
      <c r="BT110" s="738"/>
    </row>
    <row r="111" spans="4:72" ht="2.25" customHeight="1" thickBot="1">
      <c r="D111" s="738"/>
      <c r="E111" s="738"/>
      <c r="F111" s="739"/>
      <c r="G111" s="739"/>
      <c r="H111" s="739"/>
      <c r="I111" s="739"/>
      <c r="J111" s="744"/>
      <c r="K111" s="744"/>
      <c r="L111" s="744"/>
      <c r="M111" s="738"/>
      <c r="N111" s="738"/>
      <c r="O111" s="738"/>
      <c r="P111" s="738"/>
      <c r="Q111" s="738"/>
      <c r="R111" s="738"/>
      <c r="S111" s="738"/>
      <c r="T111" s="738"/>
      <c r="U111" s="738"/>
      <c r="V111" s="738"/>
      <c r="W111" s="738"/>
      <c r="X111" s="738"/>
      <c r="Y111" s="738"/>
      <c r="Z111" s="738"/>
      <c r="AA111" s="738"/>
      <c r="AB111" s="738"/>
      <c r="AC111" s="738"/>
      <c r="AD111" s="738"/>
      <c r="AE111" s="738"/>
      <c r="AF111" s="738"/>
      <c r="AG111" s="738"/>
      <c r="AH111" s="738"/>
      <c r="AI111" s="738"/>
      <c r="AJ111" s="738"/>
      <c r="AK111" s="738"/>
      <c r="AL111" s="738"/>
      <c r="AM111" s="738"/>
      <c r="AN111" s="738"/>
      <c r="AO111" s="738"/>
      <c r="AP111" s="738"/>
      <c r="AQ111" s="738"/>
      <c r="AR111" s="738"/>
      <c r="AS111" s="738"/>
      <c r="AT111" s="738"/>
      <c r="AU111" s="738"/>
      <c r="AV111" s="738"/>
      <c r="AW111" s="738"/>
      <c r="AX111" s="738"/>
      <c r="AY111" s="738"/>
      <c r="AZ111" s="738"/>
      <c r="BA111" s="738"/>
      <c r="BB111" s="738"/>
      <c r="BC111" s="738"/>
      <c r="BD111" s="738"/>
      <c r="BE111" s="738"/>
      <c r="BF111" s="738"/>
      <c r="BG111" s="738"/>
      <c r="BH111" s="738"/>
      <c r="BI111" s="738"/>
      <c r="BJ111" s="738"/>
      <c r="BK111" s="738"/>
      <c r="BL111" s="738"/>
      <c r="BM111" s="738"/>
      <c r="BN111" s="738"/>
      <c r="BO111" s="738"/>
      <c r="BP111" s="738"/>
      <c r="BQ111" s="738"/>
      <c r="BR111" s="738"/>
      <c r="BS111" s="738"/>
      <c r="BT111" s="738"/>
    </row>
    <row r="112" spans="4:72" ht="15" thickBot="1">
      <c r="D112" s="738"/>
      <c r="E112" s="738"/>
      <c r="F112" s="1452"/>
      <c r="G112" s="1453"/>
      <c r="H112" s="1453"/>
      <c r="I112" s="1453"/>
      <c r="J112" s="1453"/>
      <c r="K112" s="1453"/>
      <c r="L112" s="1453"/>
      <c r="M112" s="1453"/>
      <c r="N112" s="1453"/>
      <c r="O112" s="1453"/>
      <c r="P112" s="1453"/>
      <c r="Q112" s="1453"/>
      <c r="R112" s="1453"/>
      <c r="S112" s="1453"/>
      <c r="T112" s="1453"/>
      <c r="U112" s="1453"/>
      <c r="V112" s="1453"/>
      <c r="W112" s="1453"/>
      <c r="X112" s="1453"/>
      <c r="Y112" s="1453"/>
      <c r="Z112" s="1453"/>
      <c r="AA112" s="1453"/>
      <c r="AB112" s="1453"/>
      <c r="AC112" s="1453"/>
      <c r="AD112" s="1453"/>
      <c r="AE112" s="1453"/>
      <c r="AF112" s="1453"/>
      <c r="AG112" s="1454"/>
      <c r="AH112" s="738"/>
      <c r="AI112" s="738"/>
      <c r="AJ112" s="738"/>
      <c r="AK112" s="738"/>
      <c r="AL112" s="738"/>
      <c r="AM112" s="738"/>
      <c r="AN112" s="738"/>
      <c r="AO112" s="738"/>
      <c r="AP112" s="738"/>
      <c r="AQ112" s="738"/>
      <c r="AR112" s="738"/>
      <c r="AS112" s="738"/>
      <c r="AT112" s="738"/>
      <c r="AU112" s="738"/>
      <c r="AV112" s="738"/>
      <c r="AW112" s="738"/>
      <c r="AX112" s="738"/>
      <c r="AY112" s="738"/>
      <c r="AZ112" s="738"/>
      <c r="BA112" s="738"/>
      <c r="BB112" s="738"/>
      <c r="BC112" s="738"/>
      <c r="BD112" s="738"/>
      <c r="BE112" s="738"/>
      <c r="BF112" s="738"/>
      <c r="BG112" s="738"/>
      <c r="BH112" s="738"/>
      <c r="BI112" s="738"/>
      <c r="BJ112" s="738"/>
      <c r="BK112" s="738"/>
      <c r="BL112" s="738"/>
      <c r="BM112" s="738"/>
      <c r="BN112" s="738"/>
      <c r="BO112" s="738"/>
      <c r="BP112" s="738"/>
      <c r="BQ112" s="738"/>
      <c r="BR112" s="738"/>
      <c r="BS112" s="738"/>
      <c r="BT112" s="738"/>
    </row>
    <row r="113" spans="4:72" ht="12" customHeight="1">
      <c r="D113" s="738"/>
      <c r="E113" s="738"/>
      <c r="F113" s="739"/>
      <c r="G113" s="739"/>
      <c r="H113" s="739"/>
      <c r="I113" s="739"/>
      <c r="J113" s="750"/>
      <c r="K113" s="750"/>
      <c r="L113" s="744"/>
      <c r="M113" s="738"/>
      <c r="N113" s="738"/>
      <c r="O113" s="738"/>
      <c r="P113" s="738"/>
      <c r="Q113" s="738"/>
      <c r="R113" s="738"/>
      <c r="S113" s="738"/>
      <c r="T113" s="738"/>
      <c r="U113" s="738"/>
      <c r="V113" s="738"/>
      <c r="W113" s="738"/>
      <c r="X113" s="738"/>
      <c r="Y113" s="738"/>
      <c r="Z113" s="738"/>
      <c r="AA113" s="738"/>
      <c r="AB113" s="738"/>
      <c r="AC113" s="738"/>
      <c r="AD113" s="738"/>
      <c r="AE113" s="738"/>
      <c r="AF113" s="738"/>
      <c r="AG113" s="738"/>
      <c r="AH113" s="738"/>
      <c r="AI113" s="738"/>
      <c r="AJ113" s="738"/>
      <c r="AK113" s="738"/>
      <c r="AL113" s="738"/>
      <c r="AM113" s="738"/>
      <c r="AN113" s="738"/>
      <c r="AO113" s="738"/>
      <c r="AP113" s="738"/>
      <c r="AQ113" s="738"/>
      <c r="AR113" s="738"/>
      <c r="AS113" s="738"/>
      <c r="AT113" s="738"/>
      <c r="AU113" s="738"/>
      <c r="AV113" s="738"/>
      <c r="AW113" s="738"/>
      <c r="AX113" s="738"/>
      <c r="AY113" s="738"/>
      <c r="AZ113" s="738"/>
      <c r="BA113" s="738"/>
      <c r="BB113" s="738"/>
      <c r="BC113" s="738"/>
      <c r="BD113" s="738"/>
      <c r="BE113" s="738"/>
      <c r="BF113" s="738"/>
      <c r="BG113" s="738"/>
      <c r="BH113" s="738"/>
      <c r="BI113" s="738"/>
      <c r="BJ113" s="738"/>
      <c r="BK113" s="738"/>
      <c r="BL113" s="738"/>
      <c r="BM113" s="738"/>
      <c r="BN113" s="738"/>
      <c r="BO113" s="738"/>
      <c r="BP113" s="738"/>
      <c r="BQ113" s="738"/>
      <c r="BR113" s="738"/>
      <c r="BS113" s="738"/>
      <c r="BT113" s="738"/>
    </row>
    <row r="115" spans="4:72" ht="18.5">
      <c r="D115" s="862" t="s">
        <v>5654</v>
      </c>
      <c r="E115" s="862"/>
      <c r="F115" s="862"/>
      <c r="G115" s="862"/>
      <c r="H115" s="862"/>
      <c r="I115" s="862"/>
      <c r="J115" s="862"/>
      <c r="K115" s="862"/>
      <c r="L115" s="862"/>
      <c r="M115" s="862"/>
      <c r="N115" s="862"/>
      <c r="O115" s="862"/>
      <c r="P115" s="862"/>
      <c r="Q115" s="862"/>
      <c r="R115" s="862"/>
      <c r="S115" s="862"/>
      <c r="T115" s="862"/>
      <c r="U115" s="862"/>
      <c r="V115" s="862"/>
      <c r="W115" s="862"/>
      <c r="X115" s="862"/>
      <c r="Y115" s="862"/>
      <c r="Z115" s="862"/>
      <c r="AA115" s="862"/>
      <c r="AB115" s="862"/>
      <c r="AC115" s="862"/>
      <c r="AD115" s="862"/>
      <c r="AE115" s="862"/>
      <c r="AF115" s="862"/>
      <c r="AG115" s="862"/>
      <c r="AH115" s="862"/>
      <c r="AI115" s="862"/>
      <c r="AJ115" s="862"/>
      <c r="AK115" s="862"/>
      <c r="AL115" s="862"/>
      <c r="AM115" s="862"/>
      <c r="AN115" s="862"/>
      <c r="AO115" s="862"/>
      <c r="AP115" s="862"/>
      <c r="AQ115" s="862"/>
      <c r="AR115"/>
      <c r="AS115"/>
      <c r="AT115"/>
    </row>
    <row r="116" spans="4:72">
      <c r="D116" s="676"/>
      <c r="E116" s="676"/>
      <c r="F116" s="676"/>
      <c r="G116" s="676"/>
      <c r="H116" s="676"/>
      <c r="I116" s="676"/>
      <c r="J116" s="676"/>
      <c r="K116" s="676"/>
      <c r="L116" s="676"/>
      <c r="M116" s="67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row>
    <row r="117" spans="4:72" ht="27" customHeight="1">
      <c r="D117" s="863" t="s">
        <v>5616</v>
      </c>
      <c r="E117" s="863"/>
      <c r="F117" s="863"/>
      <c r="G117" s="863"/>
      <c r="H117" s="863"/>
      <c r="I117" s="863"/>
      <c r="J117" s="863"/>
      <c r="K117" s="863"/>
      <c r="L117" s="863"/>
      <c r="M117" s="863"/>
      <c r="N117" s="863"/>
      <c r="O117" s="863"/>
      <c r="P117" s="863"/>
      <c r="Q117" s="863"/>
      <c r="R117" s="863"/>
      <c r="S117" s="863"/>
      <c r="T117" s="863"/>
      <c r="U117" s="863"/>
      <c r="V117" s="863"/>
      <c r="W117" s="863"/>
      <c r="X117" s="863"/>
      <c r="Y117" s="863"/>
      <c r="Z117" s="863"/>
      <c r="AA117" s="863"/>
      <c r="AB117" s="863"/>
      <c r="AC117" s="863"/>
      <c r="AD117" s="863"/>
      <c r="AE117" s="863"/>
      <c r="AF117" s="863"/>
      <c r="AG117" s="863"/>
      <c r="AH117" s="863"/>
      <c r="AI117" s="863"/>
      <c r="AJ117" s="863"/>
      <c r="AK117" s="863"/>
      <c r="AL117" s="863"/>
      <c r="AM117" s="863"/>
      <c r="AN117" s="863"/>
      <c r="AO117" s="863"/>
      <c r="AP117" s="863"/>
      <c r="AQ117" s="863"/>
      <c r="AR117" s="863"/>
      <c r="AS117" s="863"/>
      <c r="AT117" s="863"/>
    </row>
    <row r="119" spans="4:72" s="678" customFormat="1"/>
    <row r="120" spans="4:72" s="678" customFormat="1"/>
    <row r="121" spans="4:72" s="678" customFormat="1"/>
    <row r="122" spans="4:72" s="678" customFormat="1"/>
    <row r="123" spans="4:72" s="678" customFormat="1"/>
    <row r="124" spans="4:72" s="678" customFormat="1"/>
    <row r="125" spans="4:72" s="678" customFormat="1"/>
    <row r="126" spans="4:72" s="678" customFormat="1"/>
    <row r="127" spans="4:72" s="678" customFormat="1"/>
    <row r="128" spans="4:72" s="678" customFormat="1"/>
    <row r="129" s="678" customFormat="1"/>
    <row r="130" s="678" customFormat="1"/>
    <row r="131" s="678" customFormat="1"/>
    <row r="132" s="678" customFormat="1"/>
    <row r="133" s="678" customFormat="1"/>
    <row r="134" s="678" customFormat="1"/>
    <row r="135" s="678" customFormat="1"/>
    <row r="136" s="678" customFormat="1"/>
    <row r="137" s="678" customFormat="1"/>
    <row r="138" s="678" customFormat="1"/>
    <row r="139" s="678" customFormat="1"/>
    <row r="140" s="678" customFormat="1"/>
    <row r="141" s="678" customFormat="1"/>
    <row r="142" s="678" customFormat="1"/>
    <row r="143" s="678" customFormat="1"/>
    <row r="144" s="678" customFormat="1"/>
    <row r="145" s="678" customFormat="1"/>
    <row r="146" s="678" customFormat="1"/>
    <row r="147" s="678" customFormat="1"/>
    <row r="148" s="678" customFormat="1"/>
    <row r="149" s="678" customFormat="1"/>
    <row r="150" s="678" customFormat="1"/>
    <row r="151" s="678" customFormat="1"/>
    <row r="152" s="678" customFormat="1"/>
    <row r="153" s="678" customFormat="1"/>
    <row r="154" s="678" customFormat="1"/>
    <row r="155" s="678" customFormat="1"/>
    <row r="156" s="678" customFormat="1"/>
    <row r="157" s="678" customFormat="1"/>
    <row r="158" s="678" customFormat="1"/>
    <row r="159" s="678" customFormat="1"/>
    <row r="160" s="678" customFormat="1"/>
    <row r="161" s="678" customFormat="1"/>
    <row r="162" s="678" customFormat="1"/>
    <row r="163" s="678" customFormat="1"/>
    <row r="164" s="678" customFormat="1"/>
    <row r="165" s="678" customFormat="1"/>
    <row r="166" s="678" customFormat="1"/>
    <row r="167" s="678" customFormat="1"/>
    <row r="168" s="678" customFormat="1"/>
    <row r="169" s="678" customFormat="1"/>
    <row r="170" s="678" customFormat="1"/>
    <row r="171" s="678" customFormat="1"/>
    <row r="172" s="678" customFormat="1"/>
    <row r="173" s="678" customFormat="1"/>
    <row r="174" s="678" customFormat="1"/>
    <row r="175" s="678" customFormat="1"/>
    <row r="176" s="678" customFormat="1"/>
    <row r="177" s="678" customFormat="1"/>
    <row r="178" s="678" customFormat="1"/>
    <row r="179" s="678" customFormat="1"/>
    <row r="180" s="678" customFormat="1"/>
    <row r="181" s="678" customFormat="1"/>
    <row r="182" s="678" customFormat="1"/>
    <row r="183" s="678" customFormat="1"/>
    <row r="184" s="678" customFormat="1"/>
    <row r="185" s="678" customFormat="1"/>
    <row r="186" s="678" customFormat="1"/>
    <row r="187" s="678" customFormat="1"/>
    <row r="188" s="678" customFormat="1"/>
    <row r="189" s="678" customFormat="1"/>
    <row r="190" s="678" customFormat="1"/>
    <row r="191" s="678" customFormat="1"/>
    <row r="192" s="678" customFormat="1"/>
    <row r="193" s="678" customFormat="1"/>
    <row r="194" s="678" customFormat="1"/>
    <row r="195" s="678" customFormat="1"/>
    <row r="196" s="678" customFormat="1"/>
    <row r="197" s="678" customFormat="1"/>
    <row r="198" s="678" customFormat="1"/>
    <row r="199" s="678" customFormat="1"/>
    <row r="200" s="678" customFormat="1"/>
    <row r="201" s="678" customFormat="1"/>
    <row r="202" s="678" customFormat="1"/>
    <row r="203" s="678" customFormat="1"/>
    <row r="204" s="678" customFormat="1"/>
    <row r="205" s="678" customFormat="1"/>
    <row r="206" s="678" customFormat="1"/>
    <row r="207" s="678" customFormat="1"/>
    <row r="208" s="678" customFormat="1"/>
    <row r="209" s="678" customFormat="1"/>
    <row r="210" s="678" customFormat="1"/>
    <row r="211" s="678" customFormat="1"/>
    <row r="212" s="678" customFormat="1"/>
    <row r="213" s="678" customFormat="1"/>
    <row r="214" s="678" customFormat="1"/>
    <row r="215" s="678" customFormat="1"/>
    <row r="216" s="678" customFormat="1"/>
    <row r="217" s="678" customFormat="1"/>
    <row r="218" s="678" customFormat="1"/>
    <row r="219" s="678" customFormat="1"/>
    <row r="220" s="678" customFormat="1"/>
    <row r="221" s="678" customFormat="1"/>
    <row r="222" s="678" customFormat="1"/>
    <row r="223" s="678" customFormat="1"/>
    <row r="224" s="678" customFormat="1"/>
    <row r="225" s="678" customFormat="1"/>
    <row r="226" s="678" customFormat="1"/>
    <row r="227" s="678" customFormat="1"/>
    <row r="228" s="678" customFormat="1"/>
    <row r="229" s="678" customFormat="1"/>
    <row r="230" s="678" customFormat="1"/>
    <row r="231" s="678" customFormat="1"/>
    <row r="232" s="678" customFormat="1"/>
    <row r="233" s="678" customFormat="1"/>
    <row r="234" s="678" customFormat="1"/>
    <row r="235" s="678" customFormat="1"/>
    <row r="236" s="678" customFormat="1"/>
    <row r="237" s="678" customFormat="1"/>
    <row r="238" s="678" customFormat="1"/>
    <row r="239" s="678" customFormat="1"/>
    <row r="240" s="678" customFormat="1"/>
    <row r="241" s="678" customFormat="1"/>
    <row r="242" s="678" customFormat="1"/>
    <row r="243" s="678" customFormat="1"/>
    <row r="244" s="678" customFormat="1"/>
    <row r="245" s="678" customFormat="1"/>
    <row r="246" s="678" customFormat="1"/>
    <row r="247" s="678" customFormat="1"/>
    <row r="248" s="678" customFormat="1"/>
    <row r="249" s="678" customFormat="1"/>
    <row r="250" s="678" customFormat="1"/>
    <row r="251" s="678" customFormat="1"/>
    <row r="252" s="678" customFormat="1"/>
    <row r="253" s="678" customFormat="1"/>
    <row r="254" s="678" customFormat="1"/>
    <row r="255" s="678" customFormat="1"/>
    <row r="256" s="678" customFormat="1"/>
    <row r="257" s="678" customFormat="1"/>
    <row r="258" s="678" customFormat="1"/>
    <row r="259" s="678" customFormat="1"/>
    <row r="260" s="678" customFormat="1"/>
    <row r="261" s="678" customFormat="1"/>
    <row r="262" s="678" customFormat="1"/>
    <row r="263" s="678" customFormat="1"/>
    <row r="264" s="678" customFormat="1"/>
    <row r="265" s="678" customFormat="1"/>
    <row r="266" s="678" customFormat="1"/>
    <row r="267" s="678" customFormat="1"/>
    <row r="268" s="678" customFormat="1"/>
    <row r="269" s="678" customFormat="1"/>
    <row r="270" s="678" customFormat="1"/>
    <row r="271" s="678" customFormat="1"/>
    <row r="272" s="678" customFormat="1"/>
    <row r="273" s="678" customFormat="1"/>
    <row r="274" s="678" customFormat="1"/>
    <row r="275" s="678" customFormat="1"/>
    <row r="276" s="678" customFormat="1"/>
    <row r="277" s="678" customFormat="1"/>
    <row r="278" s="678" customFormat="1"/>
    <row r="279" s="678" customFormat="1"/>
    <row r="280" s="678" customFormat="1"/>
    <row r="281" s="678" customFormat="1"/>
    <row r="282" s="678" customFormat="1"/>
    <row r="283" s="678" customFormat="1"/>
    <row r="284" s="678" customFormat="1"/>
    <row r="285" s="678" customFormat="1"/>
    <row r="286" s="678" customFormat="1"/>
    <row r="287" s="678" customFormat="1"/>
    <row r="288" s="678" customFormat="1"/>
    <row r="289" s="678" customFormat="1"/>
    <row r="290" s="678" customFormat="1"/>
    <row r="291" s="678" customFormat="1"/>
    <row r="292" s="678" customFormat="1"/>
    <row r="293" s="678" customFormat="1"/>
    <row r="294" s="678" customFormat="1"/>
    <row r="295" s="678" customFormat="1"/>
    <row r="296" s="678" customFormat="1"/>
    <row r="297" s="678" customFormat="1"/>
    <row r="298" s="678" customFormat="1"/>
    <row r="299" s="678" customFormat="1"/>
    <row r="300" s="678" customFormat="1"/>
    <row r="301" s="678" customFormat="1"/>
    <row r="302" s="678" customFormat="1"/>
    <row r="303" s="678" customFormat="1"/>
    <row r="304" s="678" customFormat="1"/>
    <row r="305" s="678" customFormat="1"/>
    <row r="306" s="678" customFormat="1"/>
    <row r="307" s="678" customFormat="1"/>
    <row r="308" s="678" customFormat="1"/>
    <row r="309" s="678" customFormat="1"/>
    <row r="310" s="678" customFormat="1"/>
    <row r="311" s="678" customFormat="1"/>
    <row r="312" s="678" customFormat="1"/>
    <row r="313" s="678" customFormat="1"/>
    <row r="314" s="678" customFormat="1"/>
    <row r="315" s="678" customFormat="1"/>
    <row r="316" s="678" customFormat="1"/>
    <row r="317" s="678" customFormat="1"/>
    <row r="318" s="678" customFormat="1"/>
    <row r="319" s="678" customFormat="1"/>
    <row r="320" s="678" customFormat="1"/>
    <row r="321" s="678" customFormat="1"/>
    <row r="322" s="678" customFormat="1"/>
    <row r="323" s="678" customFormat="1"/>
    <row r="324" s="678" customFormat="1"/>
    <row r="325" s="678" customFormat="1"/>
    <row r="326" s="678" customFormat="1"/>
    <row r="327" s="678" customFormat="1"/>
    <row r="328" s="678" customFormat="1"/>
    <row r="329" s="678" customFormat="1"/>
    <row r="330" s="678" customFormat="1"/>
    <row r="331" s="678" customFormat="1"/>
    <row r="332" s="678" customFormat="1"/>
    <row r="333" s="678" customFormat="1"/>
    <row r="334" s="678" customFormat="1"/>
    <row r="335" s="678" customFormat="1"/>
    <row r="336" s="678" customFormat="1"/>
    <row r="337" s="678" customFormat="1"/>
    <row r="338" s="678" customFormat="1"/>
    <row r="339" s="678" customFormat="1"/>
    <row r="340" s="678" customFormat="1"/>
    <row r="341" s="678" customFormat="1"/>
    <row r="342" s="678" customFormat="1"/>
    <row r="343" s="678" customFormat="1"/>
    <row r="344" s="678" customFormat="1"/>
    <row r="345" s="678" customFormat="1"/>
    <row r="346" s="678" customFormat="1"/>
    <row r="347" s="678" customFormat="1"/>
    <row r="348" s="678" customFormat="1"/>
    <row r="349" s="678" customFormat="1"/>
    <row r="350" s="678" customFormat="1"/>
    <row r="351" s="678" customFormat="1"/>
    <row r="352" s="678" customFormat="1"/>
    <row r="353" s="678" customFormat="1"/>
    <row r="354" s="678" customFormat="1"/>
    <row r="355" s="678" customFormat="1"/>
    <row r="356" s="678" customFormat="1"/>
    <row r="357" s="678" customFormat="1"/>
    <row r="358" s="678" customFormat="1"/>
    <row r="359" s="678" customFormat="1"/>
    <row r="360" s="678" customFormat="1"/>
    <row r="361" s="678" customFormat="1"/>
    <row r="362" s="678" customFormat="1"/>
    <row r="363" s="678" customFormat="1"/>
    <row r="364" s="678" customFormat="1"/>
    <row r="365" s="678" customFormat="1"/>
    <row r="366" s="678" customFormat="1"/>
    <row r="367" s="678" customFormat="1"/>
    <row r="368" s="678" customFormat="1"/>
    <row r="369" s="678" customFormat="1"/>
    <row r="370" s="678" customFormat="1"/>
    <row r="371" s="678" customFormat="1"/>
    <row r="372" s="678" customFormat="1"/>
    <row r="373" s="678" customFormat="1"/>
    <row r="374" s="678" customFormat="1"/>
    <row r="375" s="678" customFormat="1"/>
    <row r="376" s="678" customFormat="1"/>
    <row r="377" s="678" customFormat="1"/>
    <row r="378" s="678" customFormat="1"/>
    <row r="379" s="678" customFormat="1"/>
    <row r="380" s="678" customFormat="1"/>
    <row r="381" s="678" customFormat="1"/>
    <row r="382" s="678" customFormat="1"/>
    <row r="383" s="678" customFormat="1"/>
    <row r="384" s="678" customFormat="1"/>
    <row r="385" s="678" customFormat="1"/>
    <row r="386" s="678" customFormat="1"/>
    <row r="387" s="678" customFormat="1"/>
    <row r="388" s="678" customFormat="1"/>
    <row r="389" s="678" customFormat="1"/>
    <row r="390" s="678" customFormat="1"/>
    <row r="391" s="678" customFormat="1"/>
    <row r="392" s="678" customFormat="1"/>
    <row r="393" s="678" customFormat="1"/>
    <row r="394" s="678" customFormat="1"/>
    <row r="395" s="678" customFormat="1"/>
    <row r="396" s="678" customFormat="1"/>
    <row r="397" s="678" customFormat="1"/>
    <row r="398" s="678" customFormat="1"/>
    <row r="399" s="678" customFormat="1"/>
    <row r="400" s="678" customFormat="1"/>
    <row r="401" s="678" customFormat="1"/>
    <row r="402" s="678" customFormat="1"/>
    <row r="403" s="678" customFormat="1"/>
    <row r="404" s="678" customFormat="1"/>
    <row r="405" s="678" customFormat="1"/>
    <row r="406" s="678" customFormat="1"/>
    <row r="407" s="678" customFormat="1"/>
    <row r="408" s="678" customFormat="1"/>
    <row r="409" s="678" customFormat="1"/>
    <row r="410" s="678" customFormat="1"/>
    <row r="411" s="678" customFormat="1"/>
    <row r="412" s="678" customFormat="1"/>
    <row r="413" s="678" customFormat="1"/>
    <row r="414" s="678" customFormat="1"/>
    <row r="415" s="678" customFormat="1"/>
    <row r="416" s="678" customFormat="1"/>
    <row r="417" s="678" customFormat="1"/>
    <row r="418" s="678" customFormat="1"/>
    <row r="419" s="678" customFormat="1"/>
    <row r="420" s="678" customFormat="1"/>
    <row r="421" s="678" customFormat="1"/>
    <row r="422" s="678" customFormat="1"/>
    <row r="423" s="678" customFormat="1"/>
    <row r="424" s="678" customFormat="1"/>
    <row r="425" s="678" customFormat="1"/>
    <row r="426" s="678" customFormat="1"/>
    <row r="427" s="678" customFormat="1"/>
    <row r="428" s="678" customFormat="1"/>
    <row r="429" s="678" customFormat="1"/>
    <row r="430" s="678" customFormat="1"/>
    <row r="431" s="678" customFormat="1"/>
    <row r="432" s="678" customFormat="1"/>
    <row r="433" s="678" customFormat="1"/>
    <row r="434" s="678" customFormat="1"/>
    <row r="435" s="678" customFormat="1"/>
    <row r="436" s="678" customFormat="1"/>
    <row r="437" s="678" customFormat="1"/>
    <row r="438" s="678" customFormat="1"/>
    <row r="439" s="678" customFormat="1"/>
    <row r="440" s="678" customFormat="1"/>
    <row r="441" s="678" customFormat="1"/>
    <row r="442" s="678" customFormat="1"/>
    <row r="443" s="678" customFormat="1"/>
    <row r="444" s="678" customFormat="1"/>
    <row r="445" s="678" customFormat="1"/>
    <row r="446" s="678" customFormat="1"/>
    <row r="447" s="678" customFormat="1"/>
    <row r="448" s="678" customFormat="1"/>
    <row r="449" s="678" customFormat="1"/>
    <row r="450" s="678" customFormat="1"/>
    <row r="451" s="678" customFormat="1"/>
    <row r="452" s="678" customFormat="1"/>
    <row r="453" s="678" customFormat="1"/>
    <row r="454" s="678" customFormat="1"/>
    <row r="455" s="678" customFormat="1"/>
    <row r="456" s="678" customFormat="1"/>
    <row r="457" s="678" customFormat="1"/>
    <row r="458" s="678" customFormat="1"/>
    <row r="459" s="678" customFormat="1"/>
    <row r="460" s="678" customFormat="1"/>
    <row r="461" s="678" customFormat="1"/>
    <row r="462" s="678" customFormat="1"/>
    <row r="463" s="678" customFormat="1"/>
    <row r="464" s="678" customFormat="1"/>
    <row r="465" s="678" customFormat="1"/>
    <row r="466" s="678" customFormat="1"/>
    <row r="467" s="678" customFormat="1"/>
    <row r="468" s="678" customFormat="1"/>
    <row r="469" s="678" customFormat="1"/>
    <row r="470" s="678" customFormat="1"/>
    <row r="471" s="678" customFormat="1"/>
    <row r="472" s="678" customFormat="1"/>
    <row r="473" s="678" customFormat="1"/>
    <row r="474" s="678" customFormat="1"/>
    <row r="475" s="678" customFormat="1"/>
    <row r="476" s="678" customFormat="1"/>
    <row r="477" s="678" customFormat="1"/>
    <row r="478" s="678" customFormat="1"/>
    <row r="479" s="678" customFormat="1"/>
    <row r="480" s="678" customFormat="1"/>
    <row r="481" s="678" customFormat="1"/>
    <row r="482" s="678" customFormat="1"/>
    <row r="483" s="678" customFormat="1"/>
    <row r="484" s="678" customFormat="1"/>
    <row r="485" s="678" customFormat="1"/>
    <row r="486" s="678" customFormat="1"/>
    <row r="487" s="678" customFormat="1"/>
    <row r="488" s="678" customFormat="1"/>
    <row r="489" s="678" customFormat="1"/>
    <row r="490" s="678" customFormat="1"/>
    <row r="491" s="678" customFormat="1"/>
    <row r="492" s="678" customFormat="1"/>
    <row r="493" s="678" customFormat="1"/>
    <row r="494" s="678" customFormat="1"/>
    <row r="495" s="678" customFormat="1"/>
    <row r="496" s="678" customFormat="1"/>
    <row r="497" s="678" customFormat="1"/>
    <row r="498" s="678" customFormat="1"/>
    <row r="499" s="678" customFormat="1"/>
    <row r="500" s="678" customFormat="1"/>
    <row r="501" s="678" customFormat="1"/>
    <row r="502" s="678" customFormat="1"/>
    <row r="503" s="678" customFormat="1"/>
    <row r="504" s="678" customFormat="1"/>
    <row r="505" s="678" customFormat="1"/>
    <row r="506" s="678" customFormat="1"/>
    <row r="507" s="678" customFormat="1"/>
    <row r="508" s="678" customFormat="1"/>
    <row r="509" s="678" customFormat="1"/>
    <row r="510" s="678" customFormat="1"/>
    <row r="511" s="678" customFormat="1"/>
    <row r="512" s="678" customFormat="1"/>
    <row r="513" s="678" customFormat="1"/>
    <row r="514" s="678" customFormat="1"/>
    <row r="515" s="678" customFormat="1"/>
    <row r="516" s="678" customFormat="1"/>
    <row r="517" s="678" customFormat="1"/>
    <row r="518" s="678" customFormat="1"/>
    <row r="519" s="678" customFormat="1"/>
    <row r="520" s="678" customFormat="1"/>
    <row r="521" s="678" customFormat="1"/>
    <row r="522" s="678" customFormat="1"/>
    <row r="523" s="678" customFormat="1"/>
    <row r="524" s="678" customFormat="1"/>
    <row r="525" s="678" customFormat="1"/>
    <row r="526" s="678" customFormat="1"/>
    <row r="527" s="678" customFormat="1"/>
    <row r="528" s="678" customFormat="1"/>
    <row r="529" s="678" customFormat="1"/>
    <row r="530" s="678" customFormat="1"/>
    <row r="531" s="678" customFormat="1"/>
    <row r="532" s="678" customFormat="1"/>
    <row r="533" s="678" customFormat="1"/>
    <row r="534" s="678" customFormat="1"/>
    <row r="535" s="678" customFormat="1"/>
    <row r="536" s="678" customFormat="1"/>
    <row r="537" s="678" customFormat="1"/>
    <row r="538" s="678" customFormat="1"/>
    <row r="539" s="678" customFormat="1"/>
    <row r="540" s="678" customFormat="1"/>
    <row r="541" s="678" customFormat="1"/>
    <row r="542" s="678" customFormat="1"/>
    <row r="543" s="678" customFormat="1"/>
    <row r="544" s="678" customFormat="1"/>
    <row r="545" s="678" customFormat="1"/>
    <row r="546" s="678" customFormat="1"/>
    <row r="547" s="678" customFormat="1"/>
    <row r="548" s="678" customFormat="1"/>
    <row r="549" s="678" customFormat="1"/>
    <row r="550" s="678" customFormat="1"/>
    <row r="551" s="678" customFormat="1"/>
    <row r="552" s="678" customFormat="1"/>
    <row r="553" s="678" customFormat="1"/>
    <row r="554" s="678" customFormat="1"/>
    <row r="555" s="678" customFormat="1"/>
    <row r="556" s="678" customFormat="1"/>
    <row r="557" s="678" customFormat="1"/>
    <row r="558" s="678" customFormat="1"/>
    <row r="559" s="678" customFormat="1"/>
    <row r="560" s="678" customFormat="1"/>
    <row r="561" s="678" customFormat="1"/>
    <row r="562" s="678" customFormat="1"/>
    <row r="563" s="678" customFormat="1"/>
    <row r="564" s="678" customFormat="1"/>
    <row r="565" s="678" customFormat="1"/>
    <row r="566" s="678" customFormat="1"/>
    <row r="567" s="678" customFormat="1"/>
    <row r="568" s="678" customFormat="1"/>
    <row r="569" s="678" customFormat="1"/>
    <row r="570" s="678" customFormat="1"/>
    <row r="571" s="678" customFormat="1"/>
    <row r="572" s="678" customFormat="1"/>
    <row r="573" s="678" customFormat="1"/>
    <row r="574" s="678" customFormat="1"/>
    <row r="575" s="678" customFormat="1"/>
    <row r="576" s="678" customFormat="1"/>
    <row r="577" s="678" customFormat="1"/>
    <row r="578" s="678" customFormat="1"/>
    <row r="579" s="678" customFormat="1"/>
    <row r="580" s="678" customFormat="1"/>
    <row r="581" s="678" customFormat="1"/>
    <row r="582" s="678" customFormat="1"/>
    <row r="583" s="678" customFormat="1"/>
    <row r="584" s="678" customFormat="1"/>
    <row r="585" s="678" customFormat="1"/>
    <row r="586" s="678" customFormat="1"/>
    <row r="587" s="678" customFormat="1"/>
    <row r="588" s="678" customFormat="1"/>
    <row r="589" s="678" customFormat="1"/>
    <row r="590" s="678" customFormat="1"/>
    <row r="591" s="678" customFormat="1"/>
    <row r="592" s="678" customFormat="1"/>
    <row r="593" s="678" customFormat="1"/>
    <row r="594" s="678" customFormat="1"/>
    <row r="595" s="678" customFormat="1"/>
    <row r="596" s="678" customFormat="1"/>
    <row r="597" s="678" customFormat="1"/>
    <row r="598" s="678" customFormat="1"/>
    <row r="599" s="678" customFormat="1"/>
    <row r="600" s="678" customFormat="1"/>
    <row r="601" s="678" customFormat="1"/>
    <row r="602" s="678" customFormat="1"/>
    <row r="603" s="678" customFormat="1"/>
    <row r="604" s="678" customFormat="1"/>
    <row r="605" s="678" customFormat="1"/>
    <row r="606" s="678" customFormat="1"/>
    <row r="607" s="678" customFormat="1"/>
    <row r="608" s="678" customFormat="1"/>
    <row r="609" s="678" customFormat="1"/>
    <row r="610" s="678" customFormat="1"/>
    <row r="611" s="678" customFormat="1"/>
    <row r="612" s="678" customFormat="1"/>
    <row r="613" s="678" customFormat="1"/>
    <row r="614" s="678" customFormat="1"/>
    <row r="615" s="678" customFormat="1"/>
    <row r="616" s="678" customFormat="1"/>
    <row r="617" s="678" customFormat="1"/>
    <row r="618" s="678" customFormat="1"/>
    <row r="619" s="678" customFormat="1"/>
    <row r="620" s="678" customFormat="1"/>
    <row r="621" s="678" customFormat="1"/>
    <row r="622" s="678" customFormat="1"/>
    <row r="623" s="678" customFormat="1"/>
    <row r="624" s="678" customFormat="1"/>
    <row r="625" s="678" customFormat="1"/>
    <row r="626" s="678" customFormat="1"/>
    <row r="627" s="678" customFormat="1"/>
    <row r="628" s="678" customFormat="1"/>
    <row r="629" s="678" customFormat="1"/>
    <row r="630" s="678" customFormat="1"/>
    <row r="631" s="678" customFormat="1"/>
    <row r="632" s="678" customFormat="1"/>
    <row r="633" s="678" customFormat="1"/>
    <row r="634" s="678" customFormat="1"/>
    <row r="635" s="678" customFormat="1"/>
    <row r="636" s="678" customFormat="1"/>
    <row r="637" s="678" customFormat="1"/>
    <row r="638" s="678" customFormat="1"/>
    <row r="639" s="678" customFormat="1"/>
    <row r="640" s="678" customFormat="1"/>
    <row r="641" s="678" customFormat="1"/>
    <row r="642" s="678" customFormat="1"/>
    <row r="643" s="678" customFormat="1"/>
    <row r="644" s="678" customFormat="1"/>
    <row r="645" s="678" customFormat="1"/>
    <row r="646" s="678" customFormat="1"/>
    <row r="647" s="678" customFormat="1"/>
    <row r="648" s="678" customFormat="1"/>
    <row r="649" s="678" customFormat="1"/>
    <row r="650" s="678" customFormat="1"/>
    <row r="651" s="678" customFormat="1"/>
    <row r="652" s="678" customFormat="1"/>
    <row r="653" s="678" customFormat="1"/>
    <row r="654" s="678" customFormat="1"/>
    <row r="655" s="678" customFormat="1"/>
    <row r="656" s="678" customFormat="1"/>
    <row r="657" s="678" customFormat="1"/>
    <row r="658" s="678" customFormat="1"/>
    <row r="659" s="678" customFormat="1"/>
    <row r="660" s="678" customFormat="1"/>
    <row r="661" s="678" customFormat="1"/>
    <row r="662" s="678" customFormat="1"/>
    <row r="663" s="678" customFormat="1"/>
    <row r="664" s="678" customFormat="1"/>
    <row r="665" s="678" customFormat="1"/>
    <row r="666" s="678" customFormat="1"/>
    <row r="667" s="678" customFormat="1"/>
    <row r="668" s="678" customFormat="1"/>
    <row r="669" s="678" customFormat="1"/>
    <row r="670" s="678" customFormat="1"/>
    <row r="671" s="678" customFormat="1"/>
    <row r="672" s="678" customFormat="1"/>
    <row r="673" s="678" customFormat="1"/>
    <row r="674" s="678" customFormat="1"/>
    <row r="675" s="678" customFormat="1"/>
    <row r="676" s="678" customFormat="1"/>
    <row r="677" s="678" customFormat="1"/>
    <row r="678" s="678" customFormat="1"/>
    <row r="679" s="678" customFormat="1"/>
    <row r="680" s="678" customFormat="1"/>
    <row r="681" s="678" customFormat="1"/>
    <row r="682" s="678" customFormat="1"/>
    <row r="683" s="678" customFormat="1"/>
    <row r="684" s="678" customFormat="1"/>
    <row r="685" s="678" customFormat="1"/>
    <row r="686" s="678" customFormat="1"/>
    <row r="687" s="678" customFormat="1"/>
    <row r="688" s="678" customFormat="1"/>
    <row r="689" s="678" customFormat="1"/>
    <row r="690" s="678" customFormat="1"/>
    <row r="691" s="678" customFormat="1"/>
    <row r="692" s="678" customFormat="1"/>
    <row r="693" s="678" customFormat="1"/>
    <row r="694" s="678" customFormat="1"/>
    <row r="695" s="678" customFormat="1"/>
    <row r="696" s="678" customFormat="1"/>
    <row r="697" s="678" customFormat="1"/>
    <row r="698" s="678" customFormat="1"/>
    <row r="699" s="678" customFormat="1"/>
    <row r="700" s="678" customFormat="1"/>
    <row r="701" s="678" customFormat="1"/>
    <row r="702" s="678" customFormat="1"/>
    <row r="703" s="678" customFormat="1"/>
    <row r="704" s="678" customFormat="1"/>
    <row r="705" s="678" customFormat="1"/>
    <row r="706" s="678" customFormat="1"/>
    <row r="707" s="678" customFormat="1"/>
    <row r="708" s="678" customFormat="1"/>
    <row r="709" s="678" customFormat="1"/>
    <row r="710" s="678" customFormat="1"/>
    <row r="711" s="678" customFormat="1"/>
    <row r="712" s="678" customFormat="1"/>
    <row r="713" s="678" customFormat="1"/>
    <row r="714" s="678" customFormat="1"/>
    <row r="715" s="678" customFormat="1"/>
    <row r="716" s="678" customFormat="1"/>
    <row r="717" s="678" customFormat="1"/>
    <row r="718" s="678" customFormat="1"/>
    <row r="719" s="678" customFormat="1"/>
    <row r="720" s="678" customFormat="1"/>
    <row r="721" s="678" customFormat="1"/>
    <row r="722" s="678" customFormat="1"/>
    <row r="723" s="678" customFormat="1"/>
    <row r="724" s="678" customFormat="1"/>
    <row r="725" s="678" customFormat="1"/>
    <row r="726" s="678" customFormat="1"/>
    <row r="727" s="678" customFormat="1"/>
    <row r="728" s="678" customFormat="1"/>
    <row r="729" s="678" customFormat="1"/>
    <row r="730" s="678" customFormat="1"/>
    <row r="731" s="678" customFormat="1"/>
    <row r="732" s="678" customFormat="1"/>
    <row r="733" s="678" customFormat="1"/>
    <row r="734" s="678" customFormat="1"/>
    <row r="735" s="678" customFormat="1"/>
    <row r="736" s="678" customFormat="1"/>
    <row r="737" s="678" customFormat="1"/>
    <row r="738" s="678" customFormat="1"/>
    <row r="739" s="678" customFormat="1"/>
    <row r="740" s="678" customFormat="1"/>
    <row r="741" s="678" customFormat="1"/>
    <row r="742" s="678" customFormat="1"/>
    <row r="743" s="678" customFormat="1"/>
    <row r="744" s="678" customFormat="1"/>
    <row r="745" s="678" customFormat="1"/>
    <row r="746" s="678" customFormat="1"/>
    <row r="747" s="678" customFormat="1"/>
    <row r="748" s="678" customFormat="1"/>
    <row r="749" s="678" customFormat="1"/>
    <row r="750" s="678" customFormat="1"/>
    <row r="751" s="678" customFormat="1"/>
    <row r="752" s="678" customFormat="1"/>
    <row r="753" s="678" customFormat="1"/>
    <row r="754" s="678" customFormat="1"/>
    <row r="755" s="678" customFormat="1"/>
    <row r="756" s="678" customFormat="1"/>
    <row r="757" s="678" customFormat="1"/>
    <row r="758" s="678" customFormat="1"/>
    <row r="759" s="678" customFormat="1"/>
    <row r="760" s="678" customFormat="1"/>
    <row r="761" s="678" customFormat="1"/>
    <row r="762" s="678" customFormat="1"/>
    <row r="763" s="678" customFormat="1"/>
    <row r="764" s="678" customFormat="1"/>
    <row r="765" s="678" customFormat="1"/>
    <row r="766" s="678" customFormat="1"/>
    <row r="767" s="678" customFormat="1"/>
    <row r="768" s="678" customFormat="1"/>
    <row r="769" s="678" customFormat="1"/>
    <row r="770" s="678" customFormat="1"/>
    <row r="771" s="678" customFormat="1"/>
    <row r="772" s="678" customFormat="1"/>
    <row r="773" s="678" customFormat="1"/>
    <row r="774" s="678" customFormat="1"/>
    <row r="775" s="678" customFormat="1"/>
    <row r="776" s="678" customFormat="1"/>
    <row r="777" s="678" customFormat="1"/>
    <row r="778" s="678" customFormat="1"/>
    <row r="779" s="678" customFormat="1"/>
    <row r="780" s="678" customFormat="1"/>
    <row r="781" s="678" customFormat="1"/>
    <row r="782" s="678" customFormat="1"/>
    <row r="783" s="678" customFormat="1"/>
    <row r="784" s="678" customFormat="1"/>
    <row r="785" s="678" customFormat="1"/>
    <row r="786" s="678" customFormat="1"/>
    <row r="787" s="678" customFormat="1"/>
    <row r="788" s="678" customFormat="1"/>
    <row r="789" s="678" customFormat="1"/>
    <row r="790" s="678" customFormat="1"/>
    <row r="791" s="678" customFormat="1"/>
    <row r="792" s="678" customFormat="1"/>
    <row r="793" s="678" customFormat="1"/>
    <row r="794" s="678" customFormat="1"/>
    <row r="795" s="678" customFormat="1"/>
    <row r="796" s="678" customFormat="1"/>
    <row r="797" s="678" customFormat="1"/>
    <row r="798" s="678" customFormat="1"/>
    <row r="799" s="678" customFormat="1"/>
    <row r="800" s="678" customFormat="1"/>
    <row r="801" s="678" customFormat="1"/>
    <row r="802" s="678" customFormat="1"/>
    <row r="803" s="678" customFormat="1"/>
    <row r="804" s="678" customFormat="1"/>
    <row r="805" s="678" customFormat="1"/>
    <row r="806" s="678" customFormat="1"/>
    <row r="807" s="678" customFormat="1"/>
    <row r="808" s="678" customFormat="1"/>
    <row r="809" s="678" customFormat="1"/>
    <row r="810" s="678" customFormat="1"/>
    <row r="811" s="678" customFormat="1"/>
    <row r="812" s="678" customFormat="1"/>
    <row r="813" s="678" customFormat="1"/>
    <row r="814" s="678" customFormat="1"/>
    <row r="815" s="678" customFormat="1"/>
    <row r="816" s="678" customFormat="1"/>
    <row r="817" s="678" customFormat="1"/>
    <row r="818" s="678" customFormat="1"/>
    <row r="819" s="678" customFormat="1"/>
    <row r="820" s="678" customFormat="1"/>
    <row r="821" s="678" customFormat="1"/>
    <row r="822" s="678" customFormat="1"/>
    <row r="823" s="678" customFormat="1"/>
    <row r="824" s="678" customFormat="1"/>
    <row r="825" s="678" customFormat="1"/>
    <row r="826" s="678" customFormat="1"/>
    <row r="827" s="678" customFormat="1"/>
    <row r="828" s="678" customFormat="1"/>
    <row r="829" s="678" customFormat="1"/>
    <row r="830" s="678" customFormat="1"/>
    <row r="831" s="678" customFormat="1"/>
    <row r="832" s="678" customFormat="1"/>
    <row r="833" s="678" customFormat="1"/>
    <row r="834" s="678" customFormat="1"/>
    <row r="835" s="678" customFormat="1"/>
    <row r="836" s="678" customFormat="1"/>
    <row r="837" s="678" customFormat="1"/>
    <row r="838" s="678" customFormat="1"/>
    <row r="839" s="678" customFormat="1"/>
    <row r="840" s="678" customFormat="1"/>
    <row r="841" s="678" customFormat="1"/>
    <row r="842" s="678" customFormat="1"/>
    <row r="843" s="678" customFormat="1"/>
    <row r="844" s="678" customFormat="1"/>
    <row r="845" s="678" customFormat="1"/>
    <row r="846" s="678" customFormat="1"/>
    <row r="847" s="678" customFormat="1"/>
    <row r="848" s="678" customFormat="1"/>
    <row r="849" s="678" customFormat="1"/>
    <row r="850" s="678" customFormat="1"/>
    <row r="851" s="678" customFormat="1"/>
    <row r="852" s="678" customFormat="1"/>
    <row r="853" s="678" customFormat="1"/>
    <row r="854" s="678" customFormat="1"/>
    <row r="855" s="678" customFormat="1"/>
    <row r="856" s="678" customFormat="1"/>
    <row r="857" s="678" customFormat="1"/>
    <row r="858" s="678" customFormat="1"/>
    <row r="859" s="678" customFormat="1"/>
    <row r="860" s="678" customFormat="1"/>
    <row r="861" s="678" customFormat="1"/>
    <row r="862" s="678" customFormat="1"/>
    <row r="863" s="678" customFormat="1"/>
    <row r="864" s="678" customFormat="1"/>
    <row r="865" s="678" customFormat="1"/>
    <row r="866" s="678" customFormat="1"/>
    <row r="867" s="678" customFormat="1"/>
    <row r="868" s="678" customFormat="1"/>
    <row r="869" s="678" customFormat="1"/>
    <row r="870" s="678" customFormat="1"/>
    <row r="871" s="678" customFormat="1"/>
    <row r="872" s="678" customFormat="1"/>
    <row r="873" s="678" customFormat="1"/>
    <row r="874" s="678" customFormat="1"/>
    <row r="875" s="678" customFormat="1"/>
    <row r="876" s="678" customFormat="1"/>
    <row r="877" s="678" customFormat="1"/>
    <row r="878" s="678" customFormat="1"/>
    <row r="879" s="678" customFormat="1"/>
    <row r="880" s="678" customFormat="1"/>
    <row r="881" s="678" customFormat="1"/>
    <row r="882" s="678" customFormat="1"/>
    <row r="883" s="678" customFormat="1"/>
    <row r="884" s="678" customFormat="1"/>
    <row r="885" s="678" customFormat="1"/>
    <row r="886" s="678" customFormat="1"/>
    <row r="887" s="678" customFormat="1"/>
    <row r="888" s="678" customFormat="1"/>
    <row r="889" s="678" customFormat="1"/>
    <row r="890" s="678" customFormat="1"/>
    <row r="891" s="678" customFormat="1"/>
    <row r="892" s="678" customFormat="1"/>
    <row r="893" s="678" customFormat="1"/>
    <row r="894" s="678" customFormat="1"/>
    <row r="895" s="678" customFormat="1"/>
    <row r="896" s="678" customFormat="1"/>
    <row r="897" s="678" customFormat="1"/>
    <row r="898" s="678" customFormat="1"/>
    <row r="899" s="678" customFormat="1"/>
    <row r="900" s="678" customFormat="1"/>
    <row r="901" s="678" customFormat="1"/>
    <row r="902" s="678" customFormat="1"/>
    <row r="903" s="678" customFormat="1"/>
    <row r="904" s="678" customFormat="1"/>
    <row r="905" s="678" customFormat="1"/>
    <row r="906" s="678" customFormat="1"/>
    <row r="907" s="678" customFormat="1"/>
    <row r="908" s="678" customFormat="1"/>
    <row r="909" s="678" customFormat="1"/>
    <row r="910" s="678" customFormat="1"/>
    <row r="911" s="678" customFormat="1"/>
    <row r="912" s="678" customFormat="1"/>
    <row r="913" s="678" customFormat="1"/>
    <row r="914" s="678" customFormat="1"/>
    <row r="915" s="678" customFormat="1"/>
    <row r="916" s="678" customFormat="1"/>
    <row r="917" s="678" customFormat="1"/>
    <row r="918" s="678" customFormat="1"/>
    <row r="919" s="678" customFormat="1"/>
    <row r="920" s="678" customFormat="1"/>
    <row r="921" s="678" customFormat="1"/>
    <row r="922" s="678" customFormat="1"/>
    <row r="923" s="678" customFormat="1"/>
    <row r="924" s="678" customFormat="1"/>
    <row r="925" s="678" customFormat="1"/>
    <row r="926" s="678" customFormat="1"/>
    <row r="927" s="678" customFormat="1"/>
    <row r="928" s="678" customFormat="1"/>
    <row r="929" s="678" customFormat="1"/>
    <row r="930" s="678" customFormat="1"/>
    <row r="931" s="678" customFormat="1"/>
    <row r="932" s="678" customFormat="1"/>
    <row r="933" s="678" customFormat="1"/>
    <row r="934" s="678" customFormat="1"/>
    <row r="935" s="678" customFormat="1"/>
    <row r="936" s="678" customFormat="1"/>
    <row r="937" s="678" customFormat="1"/>
    <row r="938" s="678" customFormat="1"/>
    <row r="939" s="678" customFormat="1"/>
    <row r="940" s="678" customFormat="1"/>
    <row r="941" s="678" customFormat="1"/>
    <row r="942" s="678" customFormat="1"/>
    <row r="943" s="678" customFormat="1"/>
    <row r="944" s="678" customFormat="1"/>
    <row r="945" s="678" customFormat="1"/>
    <row r="946" s="678" customFormat="1"/>
    <row r="947" s="678" customFormat="1"/>
    <row r="948" s="678" customFormat="1"/>
    <row r="949" s="678" customFormat="1"/>
    <row r="950" s="678" customFormat="1"/>
    <row r="951" s="678" customFormat="1"/>
    <row r="952" s="678" customFormat="1"/>
    <row r="953" s="678" customFormat="1"/>
    <row r="954" s="678" customFormat="1"/>
    <row r="955" s="678" customFormat="1"/>
    <row r="956" s="678" customFormat="1"/>
    <row r="957" s="678" customFormat="1"/>
    <row r="958" s="678" customFormat="1"/>
    <row r="959" s="678" customFormat="1"/>
    <row r="960" s="678" customFormat="1"/>
    <row r="961" s="678" customFormat="1"/>
    <row r="962" s="678" customFormat="1"/>
    <row r="963" s="678" customFormat="1"/>
    <row r="964" s="678" customFormat="1"/>
    <row r="965" s="678" customFormat="1"/>
    <row r="966" s="678" customFormat="1"/>
    <row r="967" s="678" customFormat="1"/>
    <row r="968" s="678" customFormat="1"/>
    <row r="969" s="678" customFormat="1"/>
    <row r="970" s="678" customFormat="1"/>
    <row r="971" s="678" customFormat="1"/>
    <row r="972" s="678" customFormat="1"/>
    <row r="973" s="678" customFormat="1"/>
    <row r="974" s="678" customFormat="1"/>
    <row r="975" s="678" customFormat="1"/>
    <row r="976" s="678" customFormat="1"/>
    <row r="977" s="678" customFormat="1"/>
    <row r="978" s="678" customFormat="1"/>
    <row r="979" s="678" customFormat="1"/>
    <row r="980" s="678" customFormat="1"/>
    <row r="981" s="678" customFormat="1"/>
    <row r="982" s="678" customFormat="1"/>
    <row r="983" s="678" customFormat="1"/>
    <row r="984" s="678" customFormat="1"/>
    <row r="985" s="678" customFormat="1"/>
    <row r="986" s="678" customFormat="1"/>
    <row r="987" s="678" customFormat="1"/>
    <row r="988" s="678" customFormat="1"/>
    <row r="989" s="678" customFormat="1"/>
    <row r="990" s="678" customFormat="1"/>
    <row r="991" s="678" customFormat="1"/>
    <row r="992" s="678" customFormat="1"/>
    <row r="993" s="678" customFormat="1"/>
    <row r="994" s="678" customFormat="1"/>
    <row r="995" s="678" customFormat="1"/>
    <row r="996" s="678" customFormat="1"/>
    <row r="997" s="678" customFormat="1"/>
    <row r="998" s="678" customFormat="1"/>
    <row r="999" s="678" customFormat="1"/>
    <row r="1000" s="678" customFormat="1"/>
    <row r="1001" s="678" customFormat="1"/>
    <row r="1002" s="678" customFormat="1"/>
    <row r="1003" s="678" customFormat="1"/>
    <row r="1004" s="678" customFormat="1"/>
    <row r="1005" s="678" customFormat="1"/>
    <row r="1006" s="678" customFormat="1"/>
    <row r="1007" s="678" customFormat="1"/>
    <row r="1008" s="678" customFormat="1"/>
    <row r="1009" s="678" customFormat="1"/>
    <row r="1010" s="678" customFormat="1"/>
    <row r="1011" s="678" customFormat="1"/>
    <row r="1012" s="678" customFormat="1"/>
    <row r="1013" s="678" customFormat="1"/>
    <row r="1014" s="678" customFormat="1"/>
    <row r="1015" s="678" customFormat="1"/>
    <row r="1016" s="678" customFormat="1"/>
    <row r="1017" s="678" customFormat="1"/>
    <row r="1018" s="678" customFormat="1"/>
    <row r="1019" s="678" customFormat="1"/>
    <row r="1020" s="678" customFormat="1"/>
    <row r="1021" s="678" customFormat="1"/>
    <row r="1022" s="678" customFormat="1"/>
    <row r="1023" s="678" customFormat="1"/>
    <row r="1024" s="678" customFormat="1"/>
    <row r="1025" s="678" customFormat="1"/>
    <row r="1026" s="678" customFormat="1"/>
    <row r="1027" s="678" customFormat="1"/>
    <row r="1028" s="678" customFormat="1"/>
    <row r="1029" s="678" customFormat="1"/>
    <row r="1030" s="678" customFormat="1"/>
    <row r="1031" s="678" customFormat="1"/>
    <row r="1032" s="678" customFormat="1"/>
    <row r="1033" s="678" customFormat="1"/>
    <row r="1034" s="678" customFormat="1"/>
    <row r="1035" s="678" customFormat="1"/>
    <row r="1036" s="678" customFormat="1"/>
    <row r="1037" s="678" customFormat="1"/>
    <row r="1038" s="678" customFormat="1"/>
    <row r="1039" s="678" customFormat="1"/>
    <row r="1040" s="678" customFormat="1"/>
    <row r="1041" s="678" customFormat="1"/>
    <row r="1042" s="678" customFormat="1"/>
    <row r="1043" s="678" customFormat="1"/>
    <row r="1044" s="678" customFormat="1"/>
    <row r="1045" s="678" customFormat="1"/>
    <row r="1046" s="678" customFormat="1"/>
    <row r="1047" s="678" customFormat="1"/>
    <row r="1048" s="678" customFormat="1"/>
    <row r="1049" s="678" customFormat="1"/>
    <row r="1050" s="678" customFormat="1"/>
    <row r="1051" s="678" customFormat="1"/>
    <row r="1052" s="678" customFormat="1"/>
    <row r="1053" s="678" customFormat="1"/>
    <row r="1054" s="678" customFormat="1"/>
    <row r="1055" s="678" customFormat="1"/>
    <row r="1056" s="678" customFormat="1"/>
    <row r="1057" s="678" customFormat="1"/>
    <row r="1058" s="678" customFormat="1"/>
    <row r="1059" s="678" customFormat="1"/>
    <row r="1060" s="678" customFormat="1"/>
    <row r="1061" s="678" customFormat="1"/>
    <row r="1062" s="678" customFormat="1"/>
    <row r="1063" s="678" customFormat="1"/>
    <row r="1064" s="678" customFormat="1"/>
    <row r="1065" s="678" customFormat="1"/>
    <row r="1066" s="678" customFormat="1"/>
    <row r="1067" s="678" customFormat="1"/>
    <row r="1068" s="678" customFormat="1"/>
    <row r="1069" s="678" customFormat="1"/>
    <row r="1070" s="678" customFormat="1"/>
    <row r="1071" s="678" customFormat="1"/>
    <row r="1072" s="678" customFormat="1"/>
    <row r="1073" s="678" customFormat="1"/>
    <row r="1074" s="678" customFormat="1"/>
    <row r="1075" s="678" customFormat="1"/>
    <row r="1076" s="678" customFormat="1"/>
    <row r="1077" s="678" customFormat="1"/>
    <row r="1078" s="678" customFormat="1"/>
    <row r="1079" s="678" customFormat="1"/>
    <row r="1080" s="678" customFormat="1"/>
    <row r="1081" s="678" customFormat="1"/>
    <row r="1082" s="678" customFormat="1"/>
    <row r="1083" s="678" customFormat="1"/>
    <row r="1084" s="678" customFormat="1"/>
    <row r="1085" s="678" customFormat="1"/>
    <row r="1086" s="678" customFormat="1"/>
    <row r="1087" s="678" customFormat="1"/>
    <row r="1088" s="678" customFormat="1"/>
    <row r="1089" s="678" customFormat="1"/>
    <row r="1090" s="678" customFormat="1"/>
    <row r="1091" s="678" customFormat="1"/>
    <row r="1092" s="678" customFormat="1"/>
    <row r="1093" s="678" customFormat="1"/>
    <row r="1094" s="678" customFormat="1"/>
    <row r="1095" s="678" customFormat="1"/>
    <row r="1096" s="678" customFormat="1"/>
    <row r="1097" s="678" customFormat="1"/>
    <row r="1098" s="678" customFormat="1"/>
    <row r="1099" s="678" customFormat="1"/>
    <row r="1100" s="678" customFormat="1"/>
    <row r="1101" s="678" customFormat="1"/>
    <row r="1102" s="678" customFormat="1"/>
    <row r="1103" s="678" customFormat="1"/>
    <row r="1104" s="678" customFormat="1"/>
    <row r="1105" s="678" customFormat="1"/>
    <row r="1106" s="678" customFormat="1"/>
    <row r="1107" s="678" customFormat="1"/>
    <row r="1108" s="678" customFormat="1"/>
    <row r="1109" s="678" customFormat="1"/>
    <row r="1110" s="678" customFormat="1"/>
    <row r="1111" s="678" customFormat="1"/>
    <row r="1112" s="678" customFormat="1"/>
    <row r="1113" s="678" customFormat="1"/>
    <row r="1114" s="678" customFormat="1"/>
    <row r="1115" s="678" customFormat="1"/>
    <row r="1116" s="678" customFormat="1"/>
    <row r="1117" s="678" customFormat="1"/>
    <row r="1118" s="678" customFormat="1"/>
    <row r="1119" s="678" customFormat="1"/>
    <row r="1120" s="678" customFormat="1"/>
    <row r="1121" s="678" customFormat="1"/>
    <row r="1122" s="678" customFormat="1"/>
    <row r="1123" s="678" customFormat="1"/>
    <row r="1124" s="678" customFormat="1"/>
    <row r="1125" s="678" customFormat="1"/>
    <row r="1126" s="678" customFormat="1"/>
    <row r="1127" s="678" customFormat="1"/>
    <row r="1128" s="678" customFormat="1"/>
    <row r="1129" s="678" customFormat="1"/>
    <row r="1130" s="678" customFormat="1"/>
    <row r="1131" s="678" customFormat="1"/>
    <row r="1132" s="678" customFormat="1"/>
    <row r="1133" s="678" customFormat="1"/>
    <row r="1134" s="678" customFormat="1"/>
    <row r="1135" s="678" customFormat="1"/>
    <row r="1136" s="678" customFormat="1"/>
    <row r="1137" s="678" customFormat="1"/>
    <row r="1138" s="678" customFormat="1"/>
    <row r="1139" s="678" customFormat="1"/>
    <row r="1140" s="678" customFormat="1"/>
    <row r="1141" s="678" customFormat="1"/>
    <row r="1142" s="678" customFormat="1"/>
    <row r="1143" s="678" customFormat="1"/>
    <row r="1144" s="678" customFormat="1"/>
    <row r="1145" s="678" customFormat="1"/>
    <row r="1146" s="678" customFormat="1"/>
    <row r="1147" s="678" customFormat="1"/>
    <row r="1148" s="678" customFormat="1"/>
    <row r="1149" s="678" customFormat="1"/>
    <row r="1150" s="678" customFormat="1"/>
    <row r="1151" s="678" customFormat="1"/>
    <row r="1152" s="678" customFormat="1"/>
    <row r="1153" s="678" customFormat="1"/>
    <row r="1154" s="678" customFormat="1"/>
    <row r="1155" s="678" customFormat="1"/>
    <row r="1156" s="678" customFormat="1"/>
    <row r="1157" s="678" customFormat="1"/>
    <row r="1158" s="678" customFormat="1"/>
    <row r="1159" s="678" customFormat="1"/>
    <row r="1160" s="678" customFormat="1"/>
    <row r="1161" s="678" customFormat="1"/>
    <row r="1162" s="678" customFormat="1"/>
    <row r="1163" s="678" customFormat="1"/>
    <row r="1164" s="678" customFormat="1"/>
    <row r="1165" s="678" customFormat="1"/>
    <row r="1166" s="678" customFormat="1"/>
    <row r="1167" s="678" customFormat="1"/>
    <row r="1168" s="678" customFormat="1"/>
    <row r="1169" s="678" customFormat="1"/>
    <row r="1170" s="678" customFormat="1"/>
    <row r="1171" s="678" customFormat="1"/>
    <row r="1172" s="678" customFormat="1"/>
    <row r="1173" s="678" customFormat="1"/>
    <row r="1174" s="678" customFormat="1"/>
    <row r="1175" s="678" customFormat="1"/>
    <row r="1176" s="678" customFormat="1"/>
    <row r="1177" s="678" customFormat="1"/>
    <row r="1178" s="678" customFormat="1"/>
    <row r="1179" s="678" customFormat="1"/>
    <row r="1180" s="678" customFormat="1"/>
    <row r="1181" s="678" customFormat="1"/>
    <row r="1182" s="678" customFormat="1"/>
    <row r="1183" s="678" customFormat="1"/>
    <row r="1184" s="678" customFormat="1"/>
    <row r="1185" s="678" customFormat="1"/>
    <row r="1186" s="678" customFormat="1"/>
    <row r="1187" s="678" customFormat="1"/>
    <row r="1188" s="678" customFormat="1"/>
    <row r="1189" s="678" customFormat="1"/>
    <row r="1190" s="678" customFormat="1"/>
    <row r="1191" s="678" customFormat="1"/>
    <row r="1192" s="678" customFormat="1"/>
    <row r="1193" s="678" customFormat="1"/>
    <row r="1194" s="678" customFormat="1"/>
    <row r="1195" s="678" customFormat="1"/>
    <row r="1196" s="678" customFormat="1"/>
    <row r="1197" s="678" customFormat="1"/>
    <row r="1198" s="678" customFormat="1"/>
    <row r="1199" s="678" customFormat="1"/>
    <row r="1200" s="678" customFormat="1"/>
    <row r="1201" s="678" customFormat="1"/>
    <row r="1202" s="678" customFormat="1"/>
    <row r="1203" s="678" customFormat="1"/>
    <row r="1204" s="678" customFormat="1"/>
    <row r="1205" s="678" customFormat="1"/>
    <row r="1206" s="678" customFormat="1"/>
    <row r="1207" s="678" customFormat="1"/>
    <row r="1208" s="678" customFormat="1"/>
    <row r="1209" s="678" customFormat="1"/>
    <row r="1210" s="678" customFormat="1"/>
    <row r="1211" s="678" customFormat="1"/>
    <row r="1212" s="678" customFormat="1"/>
    <row r="1213" s="678" customFormat="1"/>
    <row r="1214" s="678" customFormat="1"/>
    <row r="1215" s="678" customFormat="1"/>
    <row r="1216" s="678" customFormat="1"/>
    <row r="1217" s="678" customFormat="1"/>
    <row r="1218" s="678" customFormat="1"/>
    <row r="1219" s="678" customFormat="1"/>
    <row r="1220" s="678" customFormat="1"/>
    <row r="1221" s="678" customFormat="1"/>
    <row r="1222" s="678" customFormat="1"/>
    <row r="1223" s="678" customFormat="1"/>
    <row r="1224" s="678" customFormat="1"/>
    <row r="1225" s="678" customFormat="1"/>
    <row r="1226" s="678" customFormat="1"/>
    <row r="1227" s="678" customFormat="1"/>
    <row r="1228" s="678" customFormat="1"/>
    <row r="1229" s="678" customFormat="1"/>
    <row r="1230" s="678" customFormat="1"/>
    <row r="1231" s="678" customFormat="1"/>
    <row r="1232" s="678" customFormat="1"/>
    <row r="1233" s="678" customFormat="1"/>
    <row r="1234" s="678" customFormat="1"/>
    <row r="1235" s="678" customFormat="1"/>
    <row r="1236" s="678" customFormat="1"/>
    <row r="1237" s="678" customFormat="1"/>
    <row r="1238" s="678" customFormat="1"/>
    <row r="1239" s="678" customFormat="1"/>
    <row r="1240" s="678" customFormat="1"/>
    <row r="1241" s="678" customFormat="1"/>
    <row r="1242" s="678" customFormat="1"/>
    <row r="1243" s="678" customFormat="1"/>
    <row r="1244" s="678" customFormat="1"/>
    <row r="1245" s="678" customFormat="1"/>
    <row r="1246" s="678" customFormat="1"/>
    <row r="1247" s="678" customFormat="1"/>
    <row r="1248" s="678" customFormat="1"/>
    <row r="1249" s="678" customFormat="1"/>
    <row r="1250" s="678" customFormat="1"/>
    <row r="1251" s="678" customFormat="1"/>
    <row r="1252" s="678" customFormat="1"/>
    <row r="1253" s="678" customFormat="1"/>
    <row r="1254" s="678" customFormat="1"/>
    <row r="1255" s="678" customFormat="1"/>
    <row r="1256" s="678" customFormat="1"/>
    <row r="1257" s="678" customFormat="1"/>
    <row r="1258" s="678" customFormat="1"/>
    <row r="1259" s="678" customFormat="1"/>
    <row r="1260" s="678" customFormat="1"/>
    <row r="1261" s="678" customFormat="1"/>
    <row r="1262" s="678" customFormat="1"/>
    <row r="1263" s="678" customFormat="1"/>
    <row r="1264" s="678" customFormat="1"/>
    <row r="1265" s="678" customFormat="1"/>
    <row r="1266" s="678" customFormat="1"/>
    <row r="1267" s="678" customFormat="1"/>
    <row r="1268" s="678" customFormat="1"/>
    <row r="1269" s="678" customFormat="1"/>
    <row r="1270" s="678" customFormat="1"/>
    <row r="1271" s="678" customFormat="1"/>
    <row r="1272" s="678" customFormat="1"/>
    <row r="1273" s="678" customFormat="1"/>
    <row r="1274" s="678" customFormat="1"/>
    <row r="1275" s="678" customFormat="1"/>
    <row r="1276" s="678" customFormat="1"/>
    <row r="1277" s="678" customFormat="1"/>
    <row r="1278" s="678" customFormat="1"/>
    <row r="1279" s="678" customFormat="1"/>
    <row r="1280" s="678" customFormat="1"/>
    <row r="1281" s="678" customFormat="1"/>
    <row r="1282" s="678" customFormat="1"/>
    <row r="1283" s="678" customFormat="1"/>
    <row r="1284" s="678" customFormat="1"/>
    <row r="1285" s="678" customFormat="1"/>
    <row r="1286" s="678" customFormat="1"/>
    <row r="1287" s="678" customFormat="1"/>
    <row r="1288" s="678" customFormat="1"/>
    <row r="1289" s="678" customFormat="1"/>
    <row r="1290" s="678" customFormat="1"/>
    <row r="1291" s="678" customFormat="1"/>
    <row r="1292" s="678" customFormat="1"/>
    <row r="1293" s="678" customFormat="1"/>
    <row r="1294" s="678" customFormat="1"/>
    <row r="1295" s="678" customFormat="1"/>
    <row r="1296" s="678" customFormat="1"/>
    <row r="1297" s="678" customFormat="1"/>
    <row r="1298" s="678" customFormat="1"/>
    <row r="1299" s="678" customFormat="1"/>
    <row r="1300" s="678" customFormat="1"/>
    <row r="1301" s="678" customFormat="1"/>
    <row r="1302" s="678" customFormat="1"/>
    <row r="1303" s="678" customFormat="1"/>
    <row r="1304" s="678" customFormat="1"/>
    <row r="1305" s="678" customFormat="1"/>
    <row r="1306" s="678" customFormat="1"/>
    <row r="1307" s="678" customFormat="1"/>
    <row r="1308" s="678" customFormat="1"/>
    <row r="1309" s="678" customFormat="1"/>
    <row r="1310" s="678" customFormat="1"/>
    <row r="1311" s="678" customFormat="1"/>
    <row r="1312" s="678" customFormat="1"/>
    <row r="1313" s="678" customFormat="1"/>
    <row r="1314" s="678" customFormat="1"/>
    <row r="1315" s="678" customFormat="1"/>
    <row r="1316" s="678" customFormat="1"/>
    <row r="1317" s="678" customFormat="1"/>
    <row r="1318" s="678" customFormat="1"/>
    <row r="1319" s="678" customFormat="1"/>
    <row r="1320" s="678" customFormat="1"/>
    <row r="1321" s="678" customFormat="1"/>
    <row r="1322" s="678" customFormat="1"/>
    <row r="1323" s="678" customFormat="1"/>
    <row r="1324" s="678" customFormat="1"/>
    <row r="1325" s="678" customFormat="1"/>
    <row r="1326" s="678" customFormat="1"/>
    <row r="1327" s="678" customFormat="1"/>
    <row r="1328" s="678" customFormat="1"/>
    <row r="1329" s="678" customFormat="1"/>
    <row r="1330" s="678" customFormat="1"/>
    <row r="1331" s="678" customFormat="1"/>
    <row r="1332" s="678" customFormat="1"/>
    <row r="1333" s="678" customFormat="1"/>
    <row r="1334" s="678" customFormat="1"/>
    <row r="1335" s="678" customFormat="1"/>
    <row r="1336" s="678" customFormat="1"/>
    <row r="1337" s="678" customFormat="1"/>
    <row r="1338" s="678" customFormat="1"/>
    <row r="1339" s="678" customFormat="1"/>
    <row r="1340" s="678" customFormat="1"/>
    <row r="1341" s="678" customFormat="1"/>
    <row r="1342" s="678" customFormat="1"/>
    <row r="1343" s="678" customFormat="1"/>
    <row r="1344" s="678" customFormat="1"/>
    <row r="1345" s="678" customFormat="1"/>
    <row r="1346" s="678" customFormat="1"/>
    <row r="1347" s="678" customFormat="1"/>
    <row r="1348" s="678" customFormat="1"/>
    <row r="1349" s="678" customFormat="1"/>
    <row r="1350" s="678" customFormat="1"/>
    <row r="1351" s="678" customFormat="1"/>
    <row r="1352" s="678" customFormat="1"/>
    <row r="1353" s="678" customFormat="1"/>
    <row r="1354" s="678" customFormat="1"/>
    <row r="1355" s="678" customFormat="1"/>
    <row r="1356" s="678" customFormat="1"/>
    <row r="1357" s="678" customFormat="1"/>
    <row r="1358" s="678" customFormat="1"/>
    <row r="1359" s="678" customFormat="1"/>
  </sheetData>
  <sheetProtection password="B1AF" sheet="1"/>
  <mergeCells count="199">
    <mergeCell ref="D115:AQ115"/>
    <mergeCell ref="F77:V77"/>
    <mergeCell ref="W77:AB77"/>
    <mergeCell ref="F45:BL45"/>
    <mergeCell ref="F53:BL53"/>
    <mergeCell ref="F61:AW61"/>
    <mergeCell ref="F69:AW69"/>
    <mergeCell ref="AX69:BD69"/>
    <mergeCell ref="F75:V75"/>
    <mergeCell ref="W75:AN75"/>
    <mergeCell ref="AO75:AR75"/>
    <mergeCell ref="AS75:AW75"/>
    <mergeCell ref="AX75:BD75"/>
    <mergeCell ref="F74:V74"/>
    <mergeCell ref="W74:AN74"/>
    <mergeCell ref="AO74:AR74"/>
    <mergeCell ref="AS74:AW74"/>
    <mergeCell ref="AX74:BD74"/>
    <mergeCell ref="F73:V73"/>
    <mergeCell ref="W73:AN73"/>
    <mergeCell ref="AO73:AR73"/>
    <mergeCell ref="AS73:AW73"/>
    <mergeCell ref="AX73:BD73"/>
    <mergeCell ref="F72:V72"/>
    <mergeCell ref="W72:AN72"/>
    <mergeCell ref="AO72:AR72"/>
    <mergeCell ref="AS72:AW72"/>
    <mergeCell ref="AX72:BD72"/>
    <mergeCell ref="F71:V71"/>
    <mergeCell ref="W71:AN71"/>
    <mergeCell ref="AO71:AR71"/>
    <mergeCell ref="AS71:AW71"/>
    <mergeCell ref="AX71:BD71"/>
    <mergeCell ref="F70:V70"/>
    <mergeCell ref="W70:AN70"/>
    <mergeCell ref="AO70:AR70"/>
    <mergeCell ref="AS70:AW70"/>
    <mergeCell ref="AX70:BD70"/>
    <mergeCell ref="F67:V67"/>
    <mergeCell ref="W67:AN67"/>
    <mergeCell ref="AO67:AR67"/>
    <mergeCell ref="AS67:AW67"/>
    <mergeCell ref="F66:V66"/>
    <mergeCell ref="W66:AN66"/>
    <mergeCell ref="AO66:AR66"/>
    <mergeCell ref="AS66:AW66"/>
    <mergeCell ref="F65:V65"/>
    <mergeCell ref="W65:AN65"/>
    <mergeCell ref="AO65:AR65"/>
    <mergeCell ref="AS65:AW65"/>
    <mergeCell ref="F64:V64"/>
    <mergeCell ref="W64:AN64"/>
    <mergeCell ref="AO64:AR64"/>
    <mergeCell ref="AS64:AW64"/>
    <mergeCell ref="BH57:BL57"/>
    <mergeCell ref="F63:V63"/>
    <mergeCell ref="W63:AN63"/>
    <mergeCell ref="AO63:AR63"/>
    <mergeCell ref="AS63:AW63"/>
    <mergeCell ref="F62:V62"/>
    <mergeCell ref="W62:AN62"/>
    <mergeCell ref="AO62:AR62"/>
    <mergeCell ref="AS62:AW62"/>
    <mergeCell ref="W59:AK59"/>
    <mergeCell ref="AL59:BC59"/>
    <mergeCell ref="W57:AK57"/>
    <mergeCell ref="AL57:BC57"/>
    <mergeCell ref="F59:V59"/>
    <mergeCell ref="BD59:BG59"/>
    <mergeCell ref="BH59:BL59"/>
    <mergeCell ref="F58:V58"/>
    <mergeCell ref="W58:AK58"/>
    <mergeCell ref="AL58:BC58"/>
    <mergeCell ref="BD58:BG58"/>
    <mergeCell ref="BH58:BL58"/>
    <mergeCell ref="BD57:BG57"/>
    <mergeCell ref="F56:V56"/>
    <mergeCell ref="W56:AK56"/>
    <mergeCell ref="AL56:BC56"/>
    <mergeCell ref="BD56:BG56"/>
    <mergeCell ref="BH56:BL56"/>
    <mergeCell ref="BD54:BG54"/>
    <mergeCell ref="BH54:BL54"/>
    <mergeCell ref="F55:V55"/>
    <mergeCell ref="W55:AK55"/>
    <mergeCell ref="AL55:BC55"/>
    <mergeCell ref="BD55:BG55"/>
    <mergeCell ref="BH55:BL55"/>
    <mergeCell ref="F54:V54"/>
    <mergeCell ref="BD47:BG47"/>
    <mergeCell ref="BD46:BG46"/>
    <mergeCell ref="BH46:BL46"/>
    <mergeCell ref="AL46:BC46"/>
    <mergeCell ref="AR24:AV24"/>
    <mergeCell ref="BH51:BL51"/>
    <mergeCell ref="BH48:BL48"/>
    <mergeCell ref="AL47:BC47"/>
    <mergeCell ref="AL48:BC48"/>
    <mergeCell ref="BD50:BG50"/>
    <mergeCell ref="BH50:BL50"/>
    <mergeCell ref="BD48:BG48"/>
    <mergeCell ref="Y35:AM35"/>
    <mergeCell ref="BH49:BL49"/>
    <mergeCell ref="BD49:BG49"/>
    <mergeCell ref="AL49:BC49"/>
    <mergeCell ref="BD51:BG51"/>
    <mergeCell ref="AL51:BC51"/>
    <mergeCell ref="W51:AK51"/>
    <mergeCell ref="W48:AK48"/>
    <mergeCell ref="W49:AK49"/>
    <mergeCell ref="W50:AK50"/>
    <mergeCell ref="D32:D43"/>
    <mergeCell ref="AO24:AQ24"/>
    <mergeCell ref="F20:M20"/>
    <mergeCell ref="X21:AG21"/>
    <mergeCell ref="AO20:AQ20"/>
    <mergeCell ref="AH20:AN20"/>
    <mergeCell ref="AO22:AQ22"/>
    <mergeCell ref="AH24:AN24"/>
    <mergeCell ref="AH21:AN21"/>
    <mergeCell ref="Y36:AC36"/>
    <mergeCell ref="X20:AG20"/>
    <mergeCell ref="AO21:AQ21"/>
    <mergeCell ref="X23:AG23"/>
    <mergeCell ref="X22:AG22"/>
    <mergeCell ref="AH23:AN23"/>
    <mergeCell ref="AO23:AQ23"/>
    <mergeCell ref="D9:D17"/>
    <mergeCell ref="N19:W19"/>
    <mergeCell ref="F24:M24"/>
    <mergeCell ref="F23:M23"/>
    <mergeCell ref="F19:M19"/>
    <mergeCell ref="N24:W24"/>
    <mergeCell ref="W9:BS11"/>
    <mergeCell ref="N20:W20"/>
    <mergeCell ref="N12:U12"/>
    <mergeCell ref="N21:W21"/>
    <mergeCell ref="F21:M21"/>
    <mergeCell ref="N22:W22"/>
    <mergeCell ref="N23:W23"/>
    <mergeCell ref="F22:M22"/>
    <mergeCell ref="AR23:AV23"/>
    <mergeCell ref="AW22:AZ22"/>
    <mergeCell ref="AW23:AZ23"/>
    <mergeCell ref="AW19:AZ19"/>
    <mergeCell ref="AW20:AZ20"/>
    <mergeCell ref="AW21:AZ21"/>
    <mergeCell ref="AR20:AV20"/>
    <mergeCell ref="AR22:AV22"/>
    <mergeCell ref="AW24:AZ24"/>
    <mergeCell ref="N10:U10"/>
    <mergeCell ref="AH90:AM90"/>
    <mergeCell ref="AH92:AM92"/>
    <mergeCell ref="F48:V48"/>
    <mergeCell ref="Z89:AD89"/>
    <mergeCell ref="Q89:U89"/>
    <mergeCell ref="AH89:AL89"/>
    <mergeCell ref="F80:J80"/>
    <mergeCell ref="K80:AN80"/>
    <mergeCell ref="N14:U14"/>
    <mergeCell ref="F49:V49"/>
    <mergeCell ref="F50:V50"/>
    <mergeCell ref="AH19:AN19"/>
    <mergeCell ref="F46:V46"/>
    <mergeCell ref="F82:J87"/>
    <mergeCell ref="F51:V51"/>
    <mergeCell ref="F47:V47"/>
    <mergeCell ref="AL50:BC50"/>
    <mergeCell ref="W46:AK46"/>
    <mergeCell ref="W47:AK47"/>
    <mergeCell ref="K82:BS87"/>
    <mergeCell ref="W54:AK54"/>
    <mergeCell ref="AL54:BC54"/>
    <mergeCell ref="F57:V57"/>
    <mergeCell ref="BH47:BL47"/>
    <mergeCell ref="D117:AT117"/>
    <mergeCell ref="N16:U16"/>
    <mergeCell ref="Z90:AD90"/>
    <mergeCell ref="Z92:AD92"/>
    <mergeCell ref="X19:AG19"/>
    <mergeCell ref="X24:AG24"/>
    <mergeCell ref="AH22:AN22"/>
    <mergeCell ref="F108:V108"/>
    <mergeCell ref="Y37:AC37"/>
    <mergeCell ref="Q90:V90"/>
    <mergeCell ref="Y108:AG108"/>
    <mergeCell ref="Y109:AG109"/>
    <mergeCell ref="F112:AG112"/>
    <mergeCell ref="F104:AG104"/>
    <mergeCell ref="Y110:AG110"/>
    <mergeCell ref="AC97:AP97"/>
    <mergeCell ref="AC98:AP98"/>
    <mergeCell ref="Q92:V92"/>
    <mergeCell ref="AR19:AV19"/>
    <mergeCell ref="D89:D93"/>
    <mergeCell ref="D18:D31"/>
    <mergeCell ref="AO19:AQ19"/>
    <mergeCell ref="AR21:AV21"/>
    <mergeCell ref="D45:D87"/>
  </mergeCells>
  <conditionalFormatting sqref="Y36">
    <cfRule type="cellIs" dxfId="0" priority="1" stopIfTrue="1" operator="equal">
      <formula>""</formula>
    </cfRule>
  </conditionalFormatting>
  <dataValidations count="19">
    <dataValidation type="list" allowBlank="1" showInputMessage="1" showErrorMessage="1" sqref="K80:AN80" xr:uid="{7F35EE8F-2796-42D8-8D46-40B711EA6D33}">
      <formula1>Terme_sec_C</formula1>
    </dataValidation>
    <dataValidation allowBlank="1" showInputMessage="1" showErrorMessage="1" prompt="Capacité de chauffage nominale aux conditions normalisées de la thermopompe installée. La condition normalisée est toujours celle à haute température (+8,3 °C)." sqref="BH47:BL51 BH55:BL59 AS63:AW67 AS71:AW75" xr:uid="{ABB94BC3-AACA-4466-9271-92A9AC8DCC3E}"/>
    <dataValidation allowBlank="1" showInputMessage="1" showErrorMessage="1" prompt="Entrez le numéro AHRI associé à la thermopompe de l'unité murale. Assurez-vous de saisir le numéro figurant dans la liste du AHRI." sqref="BM47:BS51 BM55:BS59 AX63:BD67 AX71:BD75" xr:uid="{426C0EC3-6384-4D32-96C4-AE49F1EC441A}"/>
    <dataValidation type="list" allowBlank="1" showInputMessage="1" showErrorMessage="1" sqref="AH20:AH24" xr:uid="{FF3CCBDD-286D-407D-B66D-50260491877E}">
      <formula1>Type_dinstallation</formula1>
    </dataValidation>
    <dataValidation type="list" allowBlank="1" showInputMessage="1" showErrorMessage="1" sqref="F20:F24" xr:uid="{C8D8D194-02A9-42E3-AF7C-702C37E13307}">
      <formula1>Type_dequipement</formula1>
    </dataValidation>
    <dataValidation type="list" allowBlank="1" showInputMessage="1" showErrorMessage="1" sqref="N14" xr:uid="{9132C623-C729-4BDE-81D5-3062E48D5E85}">
      <formula1>Tarif</formula1>
    </dataValidation>
    <dataValidation type="list" allowBlank="1" showInputMessage="1" showErrorMessage="1" sqref="N12" xr:uid="{9B456379-1715-41FB-9151-88155AC33303}">
      <formula1>Age_du_batiment</formula1>
    </dataValidation>
    <dataValidation type="list" allowBlank="1" showInputMessage="1" showErrorMessage="1" sqref="N10:T10" xr:uid="{FF0C2E03-5F3D-4441-A1E6-600F8BD0A753}">
      <formula1>Type_de_projet</formula1>
    </dataValidation>
    <dataValidation allowBlank="1" showInputMessage="1" showErrorMessage="1" prompt="La marque et le modèle inscrit doivent concorder avec l'information contenue dans les listes plus haut si le PEE est appliqué." sqref="N20:AG24" xr:uid="{38F4302B-7D86-4F27-9719-D3431FF024ED}"/>
    <dataValidation allowBlank="1" showInputMessage="1" showErrorMessage="1" prompt="Dans le cas d'une nouvelle construction, le PEE et le PRC seront octroyés via le contrat de raccordement signé entre Énergir et le client." sqref="AW20:AZ24" xr:uid="{35C631A3-9447-40C3-BFF3-FA3384218318}"/>
    <dataValidation type="list" allowBlank="1" showInputMessage="1" showErrorMessage="1" prompt="Au besoin, consultez ci-dessous le champ « Termes à définir » pour plus d'information sur les types d'équipements et de compresseurs." sqref="W55:AK59" xr:uid="{08866B80-213B-4CF9-BFA3-8F4D46058CFB}">
      <formula1>Type_de_compresseur</formula1>
    </dataValidation>
    <dataValidation type="list" allowBlank="1" showInputMessage="1" showErrorMessage="1" prompt="Au besoin, consultez ci-dessous le champ « Termes à définir » pour plus d'information sur les types d'équipements et de compresseurs." sqref="AL55:BC59 W63:AN67 W71:AN75 AL47:BC51" xr:uid="{58C796BB-7190-435E-A2A7-A6A9E6E35F0C}">
      <formula1>Bonif_microclimat</formula1>
    </dataValidation>
    <dataValidation type="list" allowBlank="1" showInputMessage="1" showErrorMessage="1" sqref="BV21:BY21 Y35" xr:uid="{E85F281F-13D0-4ED1-887D-7B73F2448875}">
      <formula1>Liste_des_types_de_bâtiment</formula1>
    </dataValidation>
    <dataValidation type="list" allowBlank="1" showInputMessage="1" showErrorMessage="1" sqref="N16" xr:uid="{312C5801-8970-4B47-83ED-AB9B67C6450B}">
      <formula1>Type_de_batiment</formula1>
    </dataValidation>
    <dataValidation type="list" allowBlank="1" showInputMessage="1" showErrorMessage="1" sqref="W47:AK51" xr:uid="{60CD7232-34F3-4301-A3F7-5317E1CEEEF4}">
      <formula1>compresseur_simple</formula1>
    </dataValidation>
    <dataValidation type="list" allowBlank="1" showInputMessage="1" showErrorMessage="1" sqref="F55:V59" xr:uid="{E89A4374-D0E0-41C5-BAEE-F84E852ECF45}">
      <formula1>type_boucle_eau</formula1>
    </dataValidation>
    <dataValidation type="list" allowBlank="1" showInputMessage="1" showErrorMessage="1" sqref="F63:V67" xr:uid="{CA8DBBF4-C685-4D1F-BB73-DDFDA029355C}">
      <formula1>type_vrf</formula1>
    </dataValidation>
    <dataValidation type="list" allowBlank="1" showInputMessage="1" showErrorMessage="1" sqref="F71:V75" xr:uid="{428FE227-9A3B-4827-BE9A-736F032C2AF0}">
      <formula1>type_bibloc</formula1>
    </dataValidation>
    <dataValidation type="list" allowBlank="1" showInputMessage="1" showErrorMessage="1" sqref="F47:V51" xr:uid="{BD8FF6F0-4D98-4343-85D6-9AACBAAD815C}">
      <formula1>type_rooftop</formula1>
    </dataValidation>
  </dataValidations>
  <hyperlinks>
    <hyperlink ref="F28" r:id="rId1" xr:uid="{48206929-AC5A-465F-BFBB-37F9AE30C2B7}"/>
    <hyperlink ref="D115:M115" r:id="rId2" display="Faire parvenir ce formulaire en format Excel à : bienergie@energir.com" xr:uid="{44FCDCE9-0C14-43C9-8760-8FE923A17EC3}"/>
    <hyperlink ref="D115:AD115" r:id="rId3" display="Faire parvenir ce formulaire en format Excel à : ventescmj@energir.com" xr:uid="{49463773-8D50-46A6-91E1-16A5850E4FE8}"/>
  </hyperlinks>
  <printOptions horizontalCentered="1"/>
  <pageMargins left="0.39370078740157483" right="0.39370078740157483" top="0.39370078740157483" bottom="0.39370078740157483" header="0.31496062992125984" footer="0.31496062992125984"/>
  <pageSetup paperSize="5" scale="52" orientation="portrait" r:id="rId4"/>
  <headerFooter>
    <oddFooter>&amp;L&amp;"Arial Narrow,Gras"&amp;8Ministère de l’Environnement, de la Lutte contre les changements climatiques, de la Faune et des Parcs&amp;R&amp;"Arial Narrow,Normal"&amp;8 2024-04-24</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59393" r:id="rId7" name="Check Box 1">
              <controlPr defaultSize="0" autoFill="0" autoLine="0" autoPict="0" macro="[0]!Macro20">
                <anchor moveWithCells="1">
                  <from>
                    <xdr:col>5</xdr:col>
                    <xdr:colOff>361950</xdr:colOff>
                    <xdr:row>8</xdr:row>
                    <xdr:rowOff>0</xdr:rowOff>
                  </from>
                  <to>
                    <xdr:col>13</xdr:col>
                    <xdr:colOff>0</xdr:colOff>
                    <xdr:row>10</xdr:row>
                    <xdr:rowOff>0</xdr:rowOff>
                  </to>
                </anchor>
              </controlPr>
            </control>
          </mc:Choice>
        </mc:AlternateContent>
        <mc:AlternateContent xmlns:mc="http://schemas.openxmlformats.org/markup-compatibility/2006">
          <mc:Choice Requires="x14">
            <control shapeId="59394" r:id="rId8" name="Check Box 2">
              <controlPr defaultSize="0" autoFill="0" autoLine="0" autoPict="0" macro="[0]!macro21">
                <anchor moveWithCells="1">
                  <from>
                    <xdr:col>23</xdr:col>
                    <xdr:colOff>1822450</xdr:colOff>
                    <xdr:row>8</xdr:row>
                    <xdr:rowOff>0</xdr:rowOff>
                  </from>
                  <to>
                    <xdr:col>32</xdr:col>
                    <xdr:colOff>0</xdr:colOff>
                    <xdr:row>10</xdr:row>
                    <xdr:rowOff>0</xdr:rowOff>
                  </to>
                </anchor>
              </controlPr>
            </control>
          </mc:Choice>
        </mc:AlternateContent>
        <mc:AlternateContent xmlns:mc="http://schemas.openxmlformats.org/markup-compatibility/2006">
          <mc:Choice Requires="x14">
            <control shapeId="59395" r:id="rId9" name="Check Box 3">
              <controlPr defaultSize="0" autoFill="0" autoLine="0" autoPict="0" macro="[0]!Macro10">
                <anchor moveWithCells="1">
                  <from>
                    <xdr:col>31</xdr:col>
                    <xdr:colOff>1308100</xdr:colOff>
                    <xdr:row>8</xdr:row>
                    <xdr:rowOff>0</xdr:rowOff>
                  </from>
                  <to>
                    <xdr:col>37</xdr:col>
                    <xdr:colOff>0</xdr:colOff>
                    <xdr:row>10</xdr:row>
                    <xdr:rowOff>0</xdr:rowOff>
                  </to>
                </anchor>
              </controlPr>
            </control>
          </mc:Choice>
        </mc:AlternateContent>
        <mc:AlternateContent xmlns:mc="http://schemas.openxmlformats.org/markup-compatibility/2006">
          <mc:Choice Requires="x14">
            <control shapeId="59396" r:id="rId10" name="Check Box 4">
              <controlPr defaultSize="0" autoFill="0" autoLine="0" autoPict="0" macro="[0]!Macro10">
                <anchor moveWithCells="1">
                  <from>
                    <xdr:col>32</xdr:col>
                    <xdr:colOff>0</xdr:colOff>
                    <xdr:row>8</xdr:row>
                    <xdr:rowOff>0</xdr:rowOff>
                  </from>
                  <to>
                    <xdr:col>39</xdr:col>
                    <xdr:colOff>0</xdr:colOff>
                    <xdr:row>10</xdr:row>
                    <xdr:rowOff>0</xdr:rowOff>
                  </to>
                </anchor>
              </controlPr>
            </control>
          </mc:Choice>
        </mc:AlternateContent>
        <mc:AlternateContent xmlns:mc="http://schemas.openxmlformats.org/markup-compatibility/2006">
          <mc:Choice Requires="x14">
            <control shapeId="59397" r:id="rId11" name="Check Box 5">
              <controlPr defaultSize="0" autoFill="0" autoLine="0" autoPict="0" macro="[0]!Macro26">
                <anchor moveWithCells="1">
                  <from>
                    <xdr:col>32</xdr:col>
                    <xdr:colOff>0</xdr:colOff>
                    <xdr:row>8</xdr:row>
                    <xdr:rowOff>0</xdr:rowOff>
                  </from>
                  <to>
                    <xdr:col>38</xdr:col>
                    <xdr:colOff>0</xdr:colOff>
                    <xdr:row>10</xdr:row>
                    <xdr:rowOff>0</xdr:rowOff>
                  </to>
                </anchor>
              </controlPr>
            </control>
          </mc:Choice>
        </mc:AlternateContent>
        <mc:AlternateContent xmlns:mc="http://schemas.openxmlformats.org/markup-compatibility/2006">
          <mc:Choice Requires="x14">
            <control shapeId="59398" r:id="rId12" name="Check Box 6">
              <controlPr defaultSize="0" autoFill="0" autoLine="0" autoPict="0" macro="[0]!macro22">
                <anchor moveWithCells="1">
                  <from>
                    <xdr:col>31</xdr:col>
                    <xdr:colOff>361950</xdr:colOff>
                    <xdr:row>8</xdr:row>
                    <xdr:rowOff>0</xdr:rowOff>
                  </from>
                  <to>
                    <xdr:col>37</xdr:col>
                    <xdr:colOff>0</xdr:colOff>
                    <xdr:row>10</xdr:row>
                    <xdr:rowOff>0</xdr:rowOff>
                  </to>
                </anchor>
              </controlPr>
            </control>
          </mc:Choice>
        </mc:AlternateContent>
        <mc:AlternateContent xmlns:mc="http://schemas.openxmlformats.org/markup-compatibility/2006">
          <mc:Choice Requires="x14">
            <control shapeId="59399" r:id="rId13" name="Check Box 7">
              <controlPr defaultSize="0" autoFill="0" autoLine="0" autoPict="0" macro="[0]!Macro9">
                <anchor moveWithCells="1">
                  <from>
                    <xdr:col>5</xdr:col>
                    <xdr:colOff>1917700</xdr:colOff>
                    <xdr:row>8</xdr:row>
                    <xdr:rowOff>0</xdr:rowOff>
                  </from>
                  <to>
                    <xdr:col>14</xdr:col>
                    <xdr:colOff>0</xdr:colOff>
                    <xdr:row>10</xdr:row>
                    <xdr:rowOff>0</xdr:rowOff>
                  </to>
                </anchor>
              </controlPr>
            </control>
          </mc:Choice>
        </mc:AlternateContent>
        <mc:AlternateContent xmlns:mc="http://schemas.openxmlformats.org/markup-compatibility/2006">
          <mc:Choice Requires="x14">
            <control shapeId="59400" r:id="rId14" name="Check Box 8">
              <controlPr defaultSize="0" autoFill="0" autoLine="0" autoPict="0" macro="[0]!Macro27">
                <anchor moveWithCells="1">
                  <from>
                    <xdr:col>5</xdr:col>
                    <xdr:colOff>1917700</xdr:colOff>
                    <xdr:row>8</xdr:row>
                    <xdr:rowOff>0</xdr:rowOff>
                  </from>
                  <to>
                    <xdr:col>14</xdr:col>
                    <xdr:colOff>0</xdr:colOff>
                    <xdr:row>10</xdr:row>
                    <xdr:rowOff>0</xdr:rowOff>
                  </to>
                </anchor>
              </controlPr>
            </control>
          </mc:Choice>
        </mc:AlternateContent>
        <mc:AlternateContent xmlns:mc="http://schemas.openxmlformats.org/markup-compatibility/2006">
          <mc:Choice Requires="x14">
            <control shapeId="59401" r:id="rId15" name="Check Box 9">
              <controlPr defaultSize="0" autoFill="0" autoLine="0" autoPict="0" macro="[0]!Macro28">
                <anchor moveWithCells="1">
                  <from>
                    <xdr:col>6</xdr:col>
                    <xdr:colOff>133350</xdr:colOff>
                    <xdr:row>8</xdr:row>
                    <xdr:rowOff>0</xdr:rowOff>
                  </from>
                  <to>
                    <xdr:col>22</xdr:col>
                    <xdr:colOff>0</xdr:colOff>
                    <xdr:row>10</xdr:row>
                    <xdr:rowOff>0</xdr:rowOff>
                  </to>
                </anchor>
              </controlPr>
            </control>
          </mc:Choice>
        </mc:AlternateContent>
        <mc:AlternateContent xmlns:mc="http://schemas.openxmlformats.org/markup-compatibility/2006">
          <mc:Choice Requires="x14">
            <control shapeId="59402" r:id="rId16" name="Check Box 10">
              <controlPr defaultSize="0" autoFill="0" autoLine="0" autoPict="0" macro="[0]!macro23">
                <anchor moveWithCells="1">
                  <from>
                    <xdr:col>9</xdr:col>
                    <xdr:colOff>2184400</xdr:colOff>
                    <xdr:row>8</xdr:row>
                    <xdr:rowOff>0</xdr:rowOff>
                  </from>
                  <to>
                    <xdr:col>19</xdr:col>
                    <xdr:colOff>0</xdr:colOff>
                    <xdr:row>10</xdr:row>
                    <xdr:rowOff>0</xdr:rowOff>
                  </to>
                </anchor>
              </controlPr>
            </control>
          </mc:Choice>
        </mc:AlternateContent>
        <mc:AlternateContent xmlns:mc="http://schemas.openxmlformats.org/markup-compatibility/2006">
          <mc:Choice Requires="x14">
            <control shapeId="59403" r:id="rId17" name="Check Box 11">
              <controlPr defaultSize="0" autoFill="0" autoLine="0" autoPict="0" macro="[0]!macro25">
                <anchor moveWithCells="1">
                  <from>
                    <xdr:col>38</xdr:col>
                    <xdr:colOff>1466850</xdr:colOff>
                    <xdr:row>8</xdr:row>
                    <xdr:rowOff>0</xdr:rowOff>
                  </from>
                  <to>
                    <xdr:col>48</xdr:col>
                    <xdr:colOff>0</xdr:colOff>
                    <xdr:row>10</xdr:row>
                    <xdr:rowOff>0</xdr:rowOff>
                  </to>
                </anchor>
              </controlPr>
            </control>
          </mc:Choice>
        </mc:AlternateContent>
        <mc:AlternateContent xmlns:mc="http://schemas.openxmlformats.org/markup-compatibility/2006">
          <mc:Choice Requires="x14">
            <control shapeId="59404" r:id="rId18" name="Check Box 12">
              <controlPr defaultSize="0" autoFill="0" autoLine="0" autoPict="0" macro="[0]!Macro13">
                <anchor moveWithCells="1">
                  <from>
                    <xdr:col>39</xdr:col>
                    <xdr:colOff>742950</xdr:colOff>
                    <xdr:row>8</xdr:row>
                    <xdr:rowOff>0</xdr:rowOff>
                  </from>
                  <to>
                    <xdr:col>49</xdr:col>
                    <xdr:colOff>0</xdr:colOff>
                    <xdr:row>10</xdr:row>
                    <xdr:rowOff>0</xdr:rowOff>
                  </to>
                </anchor>
              </controlPr>
            </control>
          </mc:Choice>
        </mc:AlternateContent>
        <mc:AlternateContent xmlns:mc="http://schemas.openxmlformats.org/markup-compatibility/2006">
          <mc:Choice Requires="x14">
            <control shapeId="59405" r:id="rId19" name="Check Box 13">
              <controlPr defaultSize="0" autoFill="0" autoLine="0" autoPict="0" macro="[0]!macro30">
                <anchor moveWithCells="1">
                  <from>
                    <xdr:col>39</xdr:col>
                    <xdr:colOff>742950</xdr:colOff>
                    <xdr:row>8</xdr:row>
                    <xdr:rowOff>0</xdr:rowOff>
                  </from>
                  <to>
                    <xdr:col>47</xdr:col>
                    <xdr:colOff>0</xdr:colOff>
                    <xdr:row>10</xdr:row>
                    <xdr:rowOff>0</xdr:rowOff>
                  </to>
                </anchor>
              </controlPr>
            </control>
          </mc:Choice>
        </mc:AlternateContent>
        <mc:AlternateContent xmlns:mc="http://schemas.openxmlformats.org/markup-compatibility/2006">
          <mc:Choice Requires="x14">
            <control shapeId="59406" r:id="rId20" name="Check Box 14">
              <controlPr locked="0" defaultSize="0" autoFill="0" autoLine="0" autoPict="0">
                <anchor moveWithCells="1">
                  <from>
                    <xdr:col>31</xdr:col>
                    <xdr:colOff>1466850</xdr:colOff>
                    <xdr:row>9</xdr:row>
                    <xdr:rowOff>0</xdr:rowOff>
                  </from>
                  <to>
                    <xdr:col>43</xdr:col>
                    <xdr:colOff>0</xdr:colOff>
                    <xdr:row>12</xdr:row>
                    <xdr:rowOff>0</xdr:rowOff>
                  </to>
                </anchor>
              </controlPr>
            </control>
          </mc:Choice>
        </mc:AlternateContent>
        <mc:AlternateContent xmlns:mc="http://schemas.openxmlformats.org/markup-compatibility/2006">
          <mc:Choice Requires="x14">
            <control shapeId="59407" r:id="rId21" name="Check Box 15">
              <controlPr defaultSize="0" autoFill="0" autoLine="0" autoPict="0" macro="[0]!macro36">
                <anchor moveWithCells="1">
                  <from>
                    <xdr:col>31</xdr:col>
                    <xdr:colOff>1308100</xdr:colOff>
                    <xdr:row>8</xdr:row>
                    <xdr:rowOff>0</xdr:rowOff>
                  </from>
                  <to>
                    <xdr:col>50</xdr:col>
                    <xdr:colOff>0</xdr:colOff>
                    <xdr:row>10</xdr:row>
                    <xdr:rowOff>0</xdr:rowOff>
                  </to>
                </anchor>
              </controlPr>
            </control>
          </mc:Choice>
        </mc:AlternateContent>
        <mc:AlternateContent xmlns:mc="http://schemas.openxmlformats.org/markup-compatibility/2006">
          <mc:Choice Requires="x14">
            <control shapeId="59408" r:id="rId22" name="Check Box 16">
              <controlPr defaultSize="0" autoFill="0" autoLine="0" autoPict="0" macro="[0]!macro35">
                <anchor moveWithCells="1">
                  <from>
                    <xdr:col>6</xdr:col>
                    <xdr:colOff>133350</xdr:colOff>
                    <xdr:row>8</xdr:row>
                    <xdr:rowOff>0</xdr:rowOff>
                  </from>
                  <to>
                    <xdr:col>19</xdr:col>
                    <xdr:colOff>0</xdr:colOff>
                    <xdr:row>10</xdr:row>
                    <xdr:rowOff>0</xdr:rowOff>
                  </to>
                </anchor>
              </controlPr>
            </control>
          </mc:Choice>
        </mc:AlternateContent>
        <mc:AlternateContent xmlns:mc="http://schemas.openxmlformats.org/markup-compatibility/2006">
          <mc:Choice Requires="x14">
            <control shapeId="59409" r:id="rId23" name="Check Box 17">
              <controlPr defaultSize="0" autoFill="0" autoLine="0" autoPict="0" macro="[0]!macro37">
                <anchor moveWithCells="1">
                  <from>
                    <xdr:col>16</xdr:col>
                    <xdr:colOff>1917700</xdr:colOff>
                    <xdr:row>8</xdr:row>
                    <xdr:rowOff>0</xdr:rowOff>
                  </from>
                  <to>
                    <xdr:col>25</xdr:col>
                    <xdr:colOff>0</xdr:colOff>
                    <xdr:row>10</xdr:row>
                    <xdr:rowOff>0</xdr:rowOff>
                  </to>
                </anchor>
              </controlPr>
            </control>
          </mc:Choice>
        </mc:AlternateContent>
        <mc:AlternateContent xmlns:mc="http://schemas.openxmlformats.org/markup-compatibility/2006">
          <mc:Choice Requires="x14">
            <control shapeId="59410" r:id="rId24" name="Check Box 18">
              <controlPr defaultSize="0" autoFill="0" autoLine="0" autoPict="0" macro="[0]!Macro28">
                <anchor moveWithCells="1">
                  <from>
                    <xdr:col>6</xdr:col>
                    <xdr:colOff>133350</xdr:colOff>
                    <xdr:row>10</xdr:row>
                    <xdr:rowOff>0</xdr:rowOff>
                  </from>
                  <to>
                    <xdr:col>22</xdr:col>
                    <xdr:colOff>0</xdr:colOff>
                    <xdr:row>11</xdr:row>
                    <xdr:rowOff>0</xdr:rowOff>
                  </to>
                </anchor>
              </controlPr>
            </control>
          </mc:Choice>
        </mc:AlternateContent>
        <mc:AlternateContent xmlns:mc="http://schemas.openxmlformats.org/markup-compatibility/2006">
          <mc:Choice Requires="x14">
            <control shapeId="59411" r:id="rId25" name="Check Box 19">
              <controlPr defaultSize="0" autoFill="0" autoLine="0" autoPict="0" macro="[0]!Macro28">
                <anchor moveWithCells="1">
                  <from>
                    <xdr:col>6</xdr:col>
                    <xdr:colOff>133350</xdr:colOff>
                    <xdr:row>12</xdr:row>
                    <xdr:rowOff>0</xdr:rowOff>
                  </from>
                  <to>
                    <xdr:col>22</xdr:col>
                    <xdr:colOff>0</xdr:colOff>
                    <xdr:row>13</xdr:row>
                    <xdr:rowOff>0</xdr:rowOff>
                  </to>
                </anchor>
              </controlPr>
            </control>
          </mc:Choice>
        </mc:AlternateContent>
        <mc:AlternateContent xmlns:mc="http://schemas.openxmlformats.org/markup-compatibility/2006">
          <mc:Choice Requires="x14">
            <control shapeId="59412" r:id="rId26" name="Check Box 20">
              <controlPr defaultSize="0" autoFill="0" autoLine="0" autoPict="0" macro="[0]!Macro28">
                <anchor moveWithCells="1">
                  <from>
                    <xdr:col>6</xdr:col>
                    <xdr:colOff>133350</xdr:colOff>
                    <xdr:row>14</xdr:row>
                    <xdr:rowOff>0</xdr:rowOff>
                  </from>
                  <to>
                    <xdr:col>22</xdr:col>
                    <xdr:colOff>0</xdr:colOff>
                    <xdr:row>15</xdr:row>
                    <xdr:rowOff>0</xdr:rowOff>
                  </to>
                </anchor>
              </controlPr>
            </control>
          </mc:Choice>
        </mc:AlternateContent>
        <mc:AlternateContent xmlns:mc="http://schemas.openxmlformats.org/markup-compatibility/2006">
          <mc:Choice Requires="x14">
            <control shapeId="59413" r:id="rId27" name="Check Box 21">
              <controlPr defaultSize="0" autoFill="0" autoLine="0" autoPict="0" macro="[0]!Macro28">
                <anchor moveWithCells="1">
                  <from>
                    <xdr:col>6</xdr:col>
                    <xdr:colOff>133350</xdr:colOff>
                    <xdr:row>16</xdr:row>
                    <xdr:rowOff>2146300</xdr:rowOff>
                  </from>
                  <to>
                    <xdr:col>22</xdr:col>
                    <xdr:colOff>0</xdr:colOff>
                    <xdr:row>19</xdr:row>
                    <xdr:rowOff>0</xdr:rowOff>
                  </to>
                </anchor>
              </controlPr>
            </control>
          </mc:Choice>
        </mc:AlternateContent>
        <mc:AlternateContent xmlns:mc="http://schemas.openxmlformats.org/markup-compatibility/2006">
          <mc:Choice Requires="x14">
            <control shapeId="59414" r:id="rId28" name="Check Box 22">
              <controlPr defaultSize="0" autoFill="0" autoLine="0" autoPict="0" macro="[0]!Macro28">
                <anchor moveWithCells="1">
                  <from>
                    <xdr:col>6</xdr:col>
                    <xdr:colOff>133350</xdr:colOff>
                    <xdr:row>17</xdr:row>
                    <xdr:rowOff>0</xdr:rowOff>
                  </from>
                  <to>
                    <xdr:col>22</xdr:col>
                    <xdr:colOff>0</xdr:colOff>
                    <xdr:row>18</xdr:row>
                    <xdr:rowOff>0</xdr:rowOff>
                  </to>
                </anchor>
              </controlPr>
            </control>
          </mc:Choice>
        </mc:AlternateContent>
        <mc:AlternateContent xmlns:mc="http://schemas.openxmlformats.org/markup-compatibility/2006">
          <mc:Choice Requires="x14">
            <control shapeId="59415" r:id="rId29" name="Check Box 23">
              <controlPr defaultSize="0" autoFill="0" autoLine="0" autoPict="0" macro="[0]!Macro28">
                <anchor moveWithCells="1">
                  <from>
                    <xdr:col>6</xdr:col>
                    <xdr:colOff>133350</xdr:colOff>
                    <xdr:row>30</xdr:row>
                    <xdr:rowOff>0</xdr:rowOff>
                  </from>
                  <to>
                    <xdr:col>22</xdr:col>
                    <xdr:colOff>0</xdr:colOff>
                    <xdr:row>31</xdr:row>
                    <xdr:rowOff>0</xdr:rowOff>
                  </to>
                </anchor>
              </controlPr>
            </control>
          </mc:Choice>
        </mc:AlternateContent>
        <mc:AlternateContent xmlns:mc="http://schemas.openxmlformats.org/markup-compatibility/2006">
          <mc:Choice Requires="x14">
            <control shapeId="59416" r:id="rId30" name="Check Box 24">
              <controlPr defaultSize="0" autoFill="0" autoLine="0" autoPict="0" macro="[0]!Macro28">
                <anchor moveWithCells="1">
                  <from>
                    <xdr:col>6</xdr:col>
                    <xdr:colOff>133350</xdr:colOff>
                    <xdr:row>51</xdr:row>
                    <xdr:rowOff>0</xdr:rowOff>
                  </from>
                  <to>
                    <xdr:col>22</xdr:col>
                    <xdr:colOff>0</xdr:colOff>
                    <xdr:row>51</xdr:row>
                    <xdr:rowOff>38100</xdr:rowOff>
                  </to>
                </anchor>
              </controlPr>
            </control>
          </mc:Choice>
        </mc:AlternateContent>
        <mc:AlternateContent xmlns:mc="http://schemas.openxmlformats.org/markup-compatibility/2006">
          <mc:Choice Requires="x14">
            <control shapeId="59417" r:id="rId31" name="Check Box 25">
              <controlPr defaultSize="0" autoFill="0" autoLine="0" autoPict="0" macro="[0]!Macro28">
                <anchor moveWithCells="1">
                  <from>
                    <xdr:col>6</xdr:col>
                    <xdr:colOff>133350</xdr:colOff>
                    <xdr:row>51</xdr:row>
                    <xdr:rowOff>0</xdr:rowOff>
                  </from>
                  <to>
                    <xdr:col>22</xdr:col>
                    <xdr:colOff>0</xdr:colOff>
                    <xdr:row>51</xdr:row>
                    <xdr:rowOff>38100</xdr:rowOff>
                  </to>
                </anchor>
              </controlPr>
            </control>
          </mc:Choice>
        </mc:AlternateContent>
        <mc:AlternateContent xmlns:mc="http://schemas.openxmlformats.org/markup-compatibility/2006">
          <mc:Choice Requires="x14">
            <control shapeId="59418" r:id="rId32" name="Check Box 26">
              <controlPr defaultSize="0" autoFill="0" autoLine="0" autoPict="0" macro="[0]!Macro28">
                <anchor moveWithCells="1">
                  <from>
                    <xdr:col>6</xdr:col>
                    <xdr:colOff>133350</xdr:colOff>
                    <xdr:row>51</xdr:row>
                    <xdr:rowOff>0</xdr:rowOff>
                  </from>
                  <to>
                    <xdr:col>22</xdr:col>
                    <xdr:colOff>0</xdr:colOff>
                    <xdr:row>51</xdr:row>
                    <xdr:rowOff>38100</xdr:rowOff>
                  </to>
                </anchor>
              </controlPr>
            </control>
          </mc:Choice>
        </mc:AlternateContent>
        <mc:AlternateContent xmlns:mc="http://schemas.openxmlformats.org/markup-compatibility/2006">
          <mc:Choice Requires="x14">
            <control shapeId="59419" r:id="rId33" name="Check Box 27">
              <controlPr defaultSize="0" autoFill="0" autoLine="0" autoPict="0" macro="[0]!Macro28">
                <anchor moveWithCells="1">
                  <from>
                    <xdr:col>6</xdr:col>
                    <xdr:colOff>133350</xdr:colOff>
                    <xdr:row>51</xdr:row>
                    <xdr:rowOff>0</xdr:rowOff>
                  </from>
                  <to>
                    <xdr:col>22</xdr:col>
                    <xdr:colOff>0</xdr:colOff>
                    <xdr:row>51</xdr:row>
                    <xdr:rowOff>38100</xdr:rowOff>
                  </to>
                </anchor>
              </controlPr>
            </control>
          </mc:Choice>
        </mc:AlternateContent>
        <mc:AlternateContent xmlns:mc="http://schemas.openxmlformats.org/markup-compatibility/2006">
          <mc:Choice Requires="x14">
            <control shapeId="59420" r:id="rId34" name="Check Box 28">
              <controlPr defaultSize="0" autoFill="0" autoLine="0" autoPict="0" macro="[0]!Macro28">
                <anchor moveWithCells="1">
                  <from>
                    <xdr:col>6</xdr:col>
                    <xdr:colOff>133350</xdr:colOff>
                    <xdr:row>17</xdr:row>
                    <xdr:rowOff>0</xdr:rowOff>
                  </from>
                  <to>
                    <xdr:col>22</xdr:col>
                    <xdr:colOff>0</xdr:colOff>
                    <xdr:row>18</xdr:row>
                    <xdr:rowOff>0</xdr:rowOff>
                  </to>
                </anchor>
              </controlPr>
            </control>
          </mc:Choice>
        </mc:AlternateContent>
        <mc:AlternateContent xmlns:mc="http://schemas.openxmlformats.org/markup-compatibility/2006">
          <mc:Choice Requires="x14">
            <control shapeId="59421" r:id="rId35" name="Check Box 29">
              <controlPr defaultSize="0" autoFill="0" autoLine="0" autoPict="0" macro="[0]!Macro28">
                <anchor moveWithCells="1">
                  <from>
                    <xdr:col>6</xdr:col>
                    <xdr:colOff>133350</xdr:colOff>
                    <xdr:row>30</xdr:row>
                    <xdr:rowOff>0</xdr:rowOff>
                  </from>
                  <to>
                    <xdr:col>22</xdr:col>
                    <xdr:colOff>0</xdr:colOff>
                    <xdr:row>31</xdr:row>
                    <xdr:rowOff>0</xdr:rowOff>
                  </to>
                </anchor>
              </controlPr>
            </control>
          </mc:Choice>
        </mc:AlternateContent>
        <mc:AlternateContent xmlns:mc="http://schemas.openxmlformats.org/markup-compatibility/2006">
          <mc:Choice Requires="x14">
            <control shapeId="59422" r:id="rId36" name="Check Box 30">
              <controlPr defaultSize="0" autoFill="0" autoLine="0" autoPict="0" macro="[0]!Macro28">
                <anchor moveWithCells="1">
                  <from>
                    <xdr:col>6</xdr:col>
                    <xdr:colOff>133350</xdr:colOff>
                    <xdr:row>24</xdr:row>
                    <xdr:rowOff>0</xdr:rowOff>
                  </from>
                  <to>
                    <xdr:col>22</xdr:col>
                    <xdr:colOff>0</xdr:colOff>
                    <xdr:row>25</xdr:row>
                    <xdr:rowOff>0</xdr:rowOff>
                  </to>
                </anchor>
              </controlPr>
            </control>
          </mc:Choice>
        </mc:AlternateContent>
        <mc:AlternateContent xmlns:mc="http://schemas.openxmlformats.org/markup-compatibility/2006">
          <mc:Choice Requires="x14">
            <control shapeId="59423" r:id="rId37" name="Check Box 31">
              <controlPr defaultSize="0" autoFill="0" autoLine="0" autoPict="0" macro="[0]!Macro28">
                <anchor moveWithCells="1">
                  <from>
                    <xdr:col>6</xdr:col>
                    <xdr:colOff>133350</xdr:colOff>
                    <xdr:row>25</xdr:row>
                    <xdr:rowOff>0</xdr:rowOff>
                  </from>
                  <to>
                    <xdr:col>22</xdr:col>
                    <xdr:colOff>0</xdr:colOff>
                    <xdr:row>26</xdr:row>
                    <xdr:rowOff>0</xdr:rowOff>
                  </to>
                </anchor>
              </controlPr>
            </control>
          </mc:Choice>
        </mc:AlternateContent>
        <mc:AlternateContent xmlns:mc="http://schemas.openxmlformats.org/markup-compatibility/2006">
          <mc:Choice Requires="x14">
            <control shapeId="59424" r:id="rId38" name="Check Box 32">
              <controlPr defaultSize="0" autoFill="0" autoLine="0" autoPict="0" macro="[0]!Macro28">
                <anchor moveWithCells="1">
                  <from>
                    <xdr:col>6</xdr:col>
                    <xdr:colOff>133350</xdr:colOff>
                    <xdr:row>87</xdr:row>
                    <xdr:rowOff>2324100</xdr:rowOff>
                  </from>
                  <to>
                    <xdr:col>22</xdr:col>
                    <xdr:colOff>0</xdr:colOff>
                    <xdr:row>89</xdr:row>
                    <xdr:rowOff>0</xdr:rowOff>
                  </to>
                </anchor>
              </controlPr>
            </control>
          </mc:Choice>
        </mc:AlternateContent>
        <mc:AlternateContent xmlns:mc="http://schemas.openxmlformats.org/markup-compatibility/2006">
          <mc:Choice Requires="x14">
            <control shapeId="59425" r:id="rId39" name="Check Box 33">
              <controlPr defaultSize="0" autoFill="0" autoLine="0" autoPict="0" macro="[0]!Macro28">
                <anchor moveWithCells="1">
                  <from>
                    <xdr:col>6</xdr:col>
                    <xdr:colOff>133350</xdr:colOff>
                    <xdr:row>31</xdr:row>
                    <xdr:rowOff>0</xdr:rowOff>
                  </from>
                  <to>
                    <xdr:col>22</xdr:col>
                    <xdr:colOff>0</xdr:colOff>
                    <xdr:row>32</xdr:row>
                    <xdr:rowOff>0</xdr:rowOff>
                  </to>
                </anchor>
              </controlPr>
            </control>
          </mc:Choice>
        </mc:AlternateContent>
        <mc:AlternateContent xmlns:mc="http://schemas.openxmlformats.org/markup-compatibility/2006">
          <mc:Choice Requires="x14">
            <control shapeId="59426" r:id="rId40" name="Check Box 34">
              <controlPr defaultSize="0" autoFill="0" autoLine="0" autoPict="0" macro="[0]!Macro28">
                <anchor moveWithCells="1">
                  <from>
                    <xdr:col>6</xdr:col>
                    <xdr:colOff>133350</xdr:colOff>
                    <xdr:row>31</xdr:row>
                    <xdr:rowOff>0</xdr:rowOff>
                  </from>
                  <to>
                    <xdr:col>22</xdr:col>
                    <xdr:colOff>0</xdr:colOff>
                    <xdr:row>32</xdr:row>
                    <xdr:rowOff>0</xdr:rowOff>
                  </to>
                </anchor>
              </controlPr>
            </control>
          </mc:Choice>
        </mc:AlternateContent>
        <mc:AlternateContent xmlns:mc="http://schemas.openxmlformats.org/markup-compatibility/2006">
          <mc:Choice Requires="x14">
            <control shapeId="59427" r:id="rId41" name="Check Box 35">
              <controlPr defaultSize="0" autoFill="0" autoLine="0" autoPict="0" macro="[0]!Macro28">
                <anchor moveWithCells="1">
                  <from>
                    <xdr:col>6</xdr:col>
                    <xdr:colOff>133350</xdr:colOff>
                    <xdr:row>80</xdr:row>
                    <xdr:rowOff>0</xdr:rowOff>
                  </from>
                  <to>
                    <xdr:col>22</xdr:col>
                    <xdr:colOff>0</xdr:colOff>
                    <xdr:row>81</xdr:row>
                    <xdr:rowOff>19050</xdr:rowOff>
                  </to>
                </anchor>
              </controlPr>
            </control>
          </mc:Choice>
        </mc:AlternateContent>
        <mc:AlternateContent xmlns:mc="http://schemas.openxmlformats.org/markup-compatibility/2006">
          <mc:Choice Requires="x14">
            <control shapeId="118551" r:id="rId42" name="Check Box 2839">
              <controlPr defaultSize="0" autoFill="0" autoLine="0" autoPict="0" macro="[0]!Macro28">
                <anchor moveWithCells="1">
                  <from>
                    <xdr:col>6</xdr:col>
                    <xdr:colOff>133350</xdr:colOff>
                    <xdr:row>32</xdr:row>
                    <xdr:rowOff>0</xdr:rowOff>
                  </from>
                  <to>
                    <xdr:col>22</xdr:col>
                    <xdr:colOff>0</xdr:colOff>
                    <xdr:row>34</xdr:row>
                    <xdr:rowOff>19050</xdr:rowOff>
                  </to>
                </anchor>
              </controlPr>
            </control>
          </mc:Choice>
        </mc:AlternateContent>
        <mc:AlternateContent xmlns:mc="http://schemas.openxmlformats.org/markup-compatibility/2006">
          <mc:Choice Requires="x14">
            <control shapeId="118552" r:id="rId43" name="Check Box 2840">
              <controlPr defaultSize="0" autoFill="0" autoLine="0" autoPict="0" macro="[0]!Macro28">
                <anchor moveWithCells="1">
                  <from>
                    <xdr:col>6</xdr:col>
                    <xdr:colOff>133350</xdr:colOff>
                    <xdr:row>32</xdr:row>
                    <xdr:rowOff>0</xdr:rowOff>
                  </from>
                  <to>
                    <xdr:col>22</xdr:col>
                    <xdr:colOff>0</xdr:colOff>
                    <xdr:row>33</xdr:row>
                    <xdr:rowOff>0</xdr:rowOff>
                  </to>
                </anchor>
              </controlPr>
            </control>
          </mc:Choice>
        </mc:AlternateContent>
        <mc:AlternateContent xmlns:mc="http://schemas.openxmlformats.org/markup-compatibility/2006">
          <mc:Choice Requires="x14">
            <control shapeId="118553" r:id="rId44" name="Check Box 2841">
              <controlPr defaultSize="0" autoFill="0" autoLine="0" autoPict="0" macro="[0]!Macro28">
                <anchor moveWithCells="1">
                  <from>
                    <xdr:col>6</xdr:col>
                    <xdr:colOff>133350</xdr:colOff>
                    <xdr:row>43</xdr:row>
                    <xdr:rowOff>0</xdr:rowOff>
                  </from>
                  <to>
                    <xdr:col>22</xdr:col>
                    <xdr:colOff>0</xdr:colOff>
                    <xdr:row>43</xdr:row>
                    <xdr:rowOff>57150</xdr:rowOff>
                  </to>
                </anchor>
              </controlPr>
            </control>
          </mc:Choice>
        </mc:AlternateContent>
        <mc:AlternateContent xmlns:mc="http://schemas.openxmlformats.org/markup-compatibility/2006">
          <mc:Choice Requires="x14">
            <control shapeId="118554" r:id="rId45" name="Check Box 2842">
              <controlPr defaultSize="0" autoFill="0" autoLine="0" autoPict="0" macro="[0]!Macro28">
                <anchor moveWithCells="1">
                  <from>
                    <xdr:col>6</xdr:col>
                    <xdr:colOff>133350</xdr:colOff>
                    <xdr:row>32</xdr:row>
                    <xdr:rowOff>0</xdr:rowOff>
                  </from>
                  <to>
                    <xdr:col>22</xdr:col>
                    <xdr:colOff>0</xdr:colOff>
                    <xdr:row>33</xdr:row>
                    <xdr:rowOff>0</xdr:rowOff>
                  </to>
                </anchor>
              </controlPr>
            </control>
          </mc:Choice>
        </mc:AlternateContent>
        <mc:AlternateContent xmlns:mc="http://schemas.openxmlformats.org/markup-compatibility/2006">
          <mc:Choice Requires="x14">
            <control shapeId="118555" r:id="rId46" name="Check Box 2843">
              <controlPr defaultSize="0" autoFill="0" autoLine="0" autoPict="0" macro="[0]!Macro28">
                <anchor moveWithCells="1">
                  <from>
                    <xdr:col>6</xdr:col>
                    <xdr:colOff>133350</xdr:colOff>
                    <xdr:row>43</xdr:row>
                    <xdr:rowOff>0</xdr:rowOff>
                  </from>
                  <to>
                    <xdr:col>22</xdr:col>
                    <xdr:colOff>0</xdr:colOff>
                    <xdr:row>43</xdr:row>
                    <xdr:rowOff>57150</xdr:rowOff>
                  </to>
                </anchor>
              </controlPr>
            </control>
          </mc:Choice>
        </mc:AlternateContent>
        <mc:AlternateContent xmlns:mc="http://schemas.openxmlformats.org/markup-compatibility/2006">
          <mc:Choice Requires="x14">
            <control shapeId="118556" r:id="rId47" name="Check Box 2844">
              <controlPr defaultSize="0" autoFill="0" autoLine="0" autoPict="0" macro="[0]!Macro28">
                <anchor moveWithCells="1">
                  <from>
                    <xdr:col>6</xdr:col>
                    <xdr:colOff>133350</xdr:colOff>
                    <xdr:row>42</xdr:row>
                    <xdr:rowOff>0</xdr:rowOff>
                  </from>
                  <to>
                    <xdr:col>22</xdr:col>
                    <xdr:colOff>0</xdr:colOff>
                    <xdr:row>42</xdr:row>
                    <xdr:rowOff>107950</xdr:rowOff>
                  </to>
                </anchor>
              </controlPr>
            </control>
          </mc:Choice>
        </mc:AlternateContent>
        <mc:AlternateContent xmlns:mc="http://schemas.openxmlformats.org/markup-compatibility/2006">
          <mc:Choice Requires="x14">
            <control shapeId="118557" r:id="rId48" name="Check Box 2845">
              <controlPr defaultSize="0" autoFill="0" autoLine="0" autoPict="0" macro="[0]!Macro28">
                <anchor moveWithCells="1">
                  <from>
                    <xdr:col>6</xdr:col>
                    <xdr:colOff>133350</xdr:colOff>
                    <xdr:row>42</xdr:row>
                    <xdr:rowOff>0</xdr:rowOff>
                  </from>
                  <to>
                    <xdr:col>22</xdr:col>
                    <xdr:colOff>0</xdr:colOff>
                    <xdr:row>42</xdr:row>
                    <xdr:rowOff>107950</xdr:rowOff>
                  </to>
                </anchor>
              </controlPr>
            </control>
          </mc:Choice>
        </mc:AlternateContent>
        <mc:AlternateContent xmlns:mc="http://schemas.openxmlformats.org/markup-compatibility/2006">
          <mc:Choice Requires="x14">
            <control shapeId="146550" r:id="rId49" name="Check Box 4214">
              <controlPr defaultSize="0" autoFill="0" autoLine="0" autoPict="0" macro="[0]!Macro28">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46551" r:id="rId50" name="Check Box 4215">
              <controlPr defaultSize="0" autoFill="0" autoLine="0" autoPict="0" macro="[0]!Macro28">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46552" r:id="rId51" name="Check Box 4216">
              <controlPr defaultSize="0" autoFill="0" autoLine="0" autoPict="0" macro="[0]!Macro28">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46553" r:id="rId52" name="Check Box 4217">
              <controlPr defaultSize="0" autoFill="0" autoLine="0" autoPict="0" macro="[0]!Macro28">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46559" r:id="rId53" name="Check Box 4223">
              <controlPr defaultSize="0" autoFill="0" autoLine="0" autoPict="0" macro="[0]!Macro28">
                <anchor moveWithCells="1">
                  <from>
                    <xdr:col>6</xdr:col>
                    <xdr:colOff>133350</xdr:colOff>
                    <xdr:row>59</xdr:row>
                    <xdr:rowOff>0</xdr:rowOff>
                  </from>
                  <to>
                    <xdr:col>22</xdr:col>
                    <xdr:colOff>0</xdr:colOff>
                    <xdr:row>59</xdr:row>
                    <xdr:rowOff>38100</xdr:rowOff>
                  </to>
                </anchor>
              </controlPr>
            </control>
          </mc:Choice>
        </mc:AlternateContent>
        <mc:AlternateContent xmlns:mc="http://schemas.openxmlformats.org/markup-compatibility/2006">
          <mc:Choice Requires="x14">
            <control shapeId="146560" r:id="rId54" name="Check Box 4224">
              <controlPr defaultSize="0" autoFill="0" autoLine="0" autoPict="0" macro="[0]!Macro28">
                <anchor moveWithCells="1">
                  <from>
                    <xdr:col>6</xdr:col>
                    <xdr:colOff>133350</xdr:colOff>
                    <xdr:row>59</xdr:row>
                    <xdr:rowOff>0</xdr:rowOff>
                  </from>
                  <to>
                    <xdr:col>22</xdr:col>
                    <xdr:colOff>0</xdr:colOff>
                    <xdr:row>59</xdr:row>
                    <xdr:rowOff>38100</xdr:rowOff>
                  </to>
                </anchor>
              </controlPr>
            </control>
          </mc:Choice>
        </mc:AlternateContent>
        <mc:AlternateContent xmlns:mc="http://schemas.openxmlformats.org/markup-compatibility/2006">
          <mc:Choice Requires="x14">
            <control shapeId="146561" r:id="rId55" name="Check Box 4225">
              <controlPr defaultSize="0" autoFill="0" autoLine="0" autoPict="0" macro="[0]!Macro28">
                <anchor moveWithCells="1">
                  <from>
                    <xdr:col>6</xdr:col>
                    <xdr:colOff>133350</xdr:colOff>
                    <xdr:row>59</xdr:row>
                    <xdr:rowOff>0</xdr:rowOff>
                  </from>
                  <to>
                    <xdr:col>22</xdr:col>
                    <xdr:colOff>0</xdr:colOff>
                    <xdr:row>59</xdr:row>
                    <xdr:rowOff>38100</xdr:rowOff>
                  </to>
                </anchor>
              </controlPr>
            </control>
          </mc:Choice>
        </mc:AlternateContent>
        <mc:AlternateContent xmlns:mc="http://schemas.openxmlformats.org/markup-compatibility/2006">
          <mc:Choice Requires="x14">
            <control shapeId="146562" r:id="rId56" name="Check Box 4226">
              <controlPr defaultSize="0" autoFill="0" autoLine="0" autoPict="0" macro="[0]!Macro28">
                <anchor moveWithCells="1">
                  <from>
                    <xdr:col>6</xdr:col>
                    <xdr:colOff>133350</xdr:colOff>
                    <xdr:row>59</xdr:row>
                    <xdr:rowOff>0</xdr:rowOff>
                  </from>
                  <to>
                    <xdr:col>22</xdr:col>
                    <xdr:colOff>0</xdr:colOff>
                    <xdr:row>59</xdr:row>
                    <xdr:rowOff>38100</xdr:rowOff>
                  </to>
                </anchor>
              </controlPr>
            </control>
          </mc:Choice>
        </mc:AlternateContent>
        <mc:AlternateContent xmlns:mc="http://schemas.openxmlformats.org/markup-compatibility/2006">
          <mc:Choice Requires="x14">
            <control shapeId="146563" r:id="rId57" name="Check Box 4227">
              <controlPr defaultSize="0" autoFill="0" autoLine="0" autoPict="0" macro="[0]!Macro28">
                <anchor moveWithCells="1">
                  <from>
                    <xdr:col>6</xdr:col>
                    <xdr:colOff>133350</xdr:colOff>
                    <xdr:row>67</xdr:row>
                    <xdr:rowOff>0</xdr:rowOff>
                  </from>
                  <to>
                    <xdr:col>22</xdr:col>
                    <xdr:colOff>0</xdr:colOff>
                    <xdr:row>67</xdr:row>
                    <xdr:rowOff>38100</xdr:rowOff>
                  </to>
                </anchor>
              </controlPr>
            </control>
          </mc:Choice>
        </mc:AlternateContent>
        <mc:AlternateContent xmlns:mc="http://schemas.openxmlformats.org/markup-compatibility/2006">
          <mc:Choice Requires="x14">
            <control shapeId="146564" r:id="rId58" name="Check Box 4228">
              <controlPr defaultSize="0" autoFill="0" autoLine="0" autoPict="0" macro="[0]!Macro28">
                <anchor moveWithCells="1">
                  <from>
                    <xdr:col>6</xdr:col>
                    <xdr:colOff>133350</xdr:colOff>
                    <xdr:row>67</xdr:row>
                    <xdr:rowOff>0</xdr:rowOff>
                  </from>
                  <to>
                    <xdr:col>22</xdr:col>
                    <xdr:colOff>0</xdr:colOff>
                    <xdr:row>67</xdr:row>
                    <xdr:rowOff>38100</xdr:rowOff>
                  </to>
                </anchor>
              </controlPr>
            </control>
          </mc:Choice>
        </mc:AlternateContent>
        <mc:AlternateContent xmlns:mc="http://schemas.openxmlformats.org/markup-compatibility/2006">
          <mc:Choice Requires="x14">
            <control shapeId="146565" r:id="rId59" name="Check Box 4229">
              <controlPr defaultSize="0" autoFill="0" autoLine="0" autoPict="0" macro="[0]!Macro28">
                <anchor moveWithCells="1">
                  <from>
                    <xdr:col>6</xdr:col>
                    <xdr:colOff>133350</xdr:colOff>
                    <xdr:row>67</xdr:row>
                    <xdr:rowOff>0</xdr:rowOff>
                  </from>
                  <to>
                    <xdr:col>22</xdr:col>
                    <xdr:colOff>0</xdr:colOff>
                    <xdr:row>67</xdr:row>
                    <xdr:rowOff>38100</xdr:rowOff>
                  </to>
                </anchor>
              </controlPr>
            </control>
          </mc:Choice>
        </mc:AlternateContent>
        <mc:AlternateContent xmlns:mc="http://schemas.openxmlformats.org/markup-compatibility/2006">
          <mc:Choice Requires="x14">
            <control shapeId="146566" r:id="rId60" name="Check Box 4230">
              <controlPr defaultSize="0" autoFill="0" autoLine="0" autoPict="0" macro="[0]!Macro28">
                <anchor moveWithCells="1">
                  <from>
                    <xdr:col>6</xdr:col>
                    <xdr:colOff>133350</xdr:colOff>
                    <xdr:row>67</xdr:row>
                    <xdr:rowOff>0</xdr:rowOff>
                  </from>
                  <to>
                    <xdr:col>22</xdr:col>
                    <xdr:colOff>0</xdr:colOff>
                    <xdr:row>67</xdr:row>
                    <xdr:rowOff>38100</xdr:rowOff>
                  </to>
                </anchor>
              </controlPr>
            </control>
          </mc:Choice>
        </mc:AlternateContent>
        <mc:AlternateContent xmlns:mc="http://schemas.openxmlformats.org/markup-compatibility/2006">
          <mc:Choice Requires="x14">
            <control shapeId="146969" r:id="rId61" name="Group Box 4633">
              <controlPr defaultSize="0" autoFill="0" autoPict="0">
                <anchor moveWithCells="1">
                  <from>
                    <xdr:col>4</xdr:col>
                    <xdr:colOff>19050</xdr:colOff>
                    <xdr:row>94</xdr:row>
                    <xdr:rowOff>0</xdr:rowOff>
                  </from>
                  <to>
                    <xdr:col>50</xdr:col>
                    <xdr:colOff>57150</xdr:colOff>
                    <xdr:row>95</xdr:row>
                    <xdr:rowOff>69850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8CE1-3F90-493B-8F5C-398D0703EC7D}">
  <sheetPr codeName="Feuil11">
    <tabColor rgb="FF00B0F0"/>
  </sheetPr>
  <dimension ref="A1:AB239"/>
  <sheetViews>
    <sheetView topLeftCell="A64" zoomScale="85" zoomScaleNormal="85" workbookViewId="0">
      <selection activeCell="G86" sqref="G86"/>
    </sheetView>
  </sheetViews>
  <sheetFormatPr baseColWidth="10" defaultColWidth="11.453125" defaultRowHeight="14.5"/>
  <cols>
    <col min="1" max="1" width="11.453125" style="300"/>
    <col min="2" max="2" width="73.54296875" style="300" bestFit="1" customWidth="1"/>
    <col min="3" max="3" width="49.26953125" style="300" customWidth="1"/>
    <col min="4" max="4" width="25.54296875" style="300" customWidth="1"/>
    <col min="5" max="5" width="24.453125" style="300" customWidth="1"/>
    <col min="6" max="6" width="14.453125" style="300" bestFit="1" customWidth="1"/>
    <col min="7" max="7" width="15.26953125" style="300" customWidth="1"/>
    <col min="8" max="8" width="15.7265625" style="300" bestFit="1" customWidth="1"/>
    <col min="9" max="9" width="20.7265625" style="300" customWidth="1"/>
    <col min="10" max="10" width="24.7265625" style="300" bestFit="1" customWidth="1"/>
    <col min="11" max="11" width="11.54296875" style="300" bestFit="1" customWidth="1"/>
    <col min="12" max="12" width="12.7265625" style="300" customWidth="1"/>
    <col min="13" max="13" width="15.54296875" style="300" customWidth="1"/>
    <col min="14" max="14" width="68.453125" style="300" bestFit="1" customWidth="1"/>
    <col min="15" max="15" width="22.26953125" style="300" customWidth="1"/>
    <col min="16" max="16" width="53.54296875" style="300" bestFit="1" customWidth="1"/>
    <col min="17" max="17" width="22.26953125" style="300" bestFit="1" customWidth="1"/>
    <col min="18" max="18" width="15.453125" style="300" bestFit="1" customWidth="1"/>
    <col min="19" max="19" width="31" style="300" bestFit="1" customWidth="1"/>
    <col min="20" max="20" width="17.453125" style="300" customWidth="1"/>
    <col min="21" max="21" width="17.7265625" style="300" bestFit="1" customWidth="1"/>
    <col min="22" max="22" width="16.26953125" style="300" bestFit="1" customWidth="1"/>
    <col min="23" max="23" width="16.1796875" style="300" bestFit="1" customWidth="1"/>
    <col min="24" max="24" width="11.453125" style="300"/>
    <col min="25" max="25" width="11.7265625" style="300" bestFit="1" customWidth="1"/>
    <col min="26" max="16384" width="11.453125" style="300"/>
  </cols>
  <sheetData>
    <row r="1" spans="1:11">
      <c r="B1" s="1549" t="s">
        <v>5050</v>
      </c>
      <c r="C1" s="1549"/>
      <c r="D1" s="1549"/>
      <c r="E1" s="1549"/>
      <c r="F1" s="1549"/>
      <c r="G1" s="1549"/>
      <c r="H1" s="1549"/>
      <c r="I1" s="1549"/>
      <c r="J1" s="1549"/>
      <c r="K1" s="1549"/>
    </row>
    <row r="2" spans="1:11" ht="82.15" customHeight="1">
      <c r="B2" s="330" t="s">
        <v>5049</v>
      </c>
      <c r="C2" s="320" t="s">
        <v>5038</v>
      </c>
      <c r="D2" s="320" t="s">
        <v>5037</v>
      </c>
      <c r="E2" s="329" t="s">
        <v>5048</v>
      </c>
      <c r="F2" s="329" t="s">
        <v>5047</v>
      </c>
      <c r="G2" s="329" t="s">
        <v>5046</v>
      </c>
      <c r="I2" s="328" t="s">
        <v>5045</v>
      </c>
      <c r="J2" s="328" t="s">
        <v>4988</v>
      </c>
      <c r="K2" s="328" t="s">
        <v>4987</v>
      </c>
    </row>
    <row r="3" spans="1:11">
      <c r="B3" s="319" t="s">
        <v>5036</v>
      </c>
      <c r="C3" s="319" t="s">
        <v>5027</v>
      </c>
      <c r="D3" s="319"/>
      <c r="E3" s="322">
        <v>332.87470605850893</v>
      </c>
      <c r="F3" s="322">
        <v>0.83689999999999998</v>
      </c>
      <c r="G3" s="315">
        <v>1.0043</v>
      </c>
      <c r="I3" s="326" t="s">
        <v>5044</v>
      </c>
      <c r="J3" s="317">
        <v>1</v>
      </c>
      <c r="K3" s="317">
        <v>1</v>
      </c>
    </row>
    <row r="4" spans="1:11">
      <c r="B4" s="319" t="s">
        <v>5036</v>
      </c>
      <c r="C4" s="319"/>
      <c r="D4" s="319" t="s">
        <v>5027</v>
      </c>
      <c r="E4" s="322">
        <v>382.13365062203724</v>
      </c>
      <c r="F4" s="322">
        <v>0.72850000000000004</v>
      </c>
      <c r="G4" s="315">
        <v>0.87019999999999997</v>
      </c>
      <c r="I4" s="326" t="s">
        <v>5043</v>
      </c>
      <c r="J4" s="327">
        <v>1.0649999999999999</v>
      </c>
      <c r="K4" s="327">
        <v>1.0669999999999999</v>
      </c>
    </row>
    <row r="5" spans="1:11">
      <c r="B5" s="319" t="s">
        <v>5033</v>
      </c>
      <c r="C5" s="319" t="s">
        <v>5027</v>
      </c>
      <c r="D5" s="319"/>
      <c r="E5" s="322">
        <v>538.26103838215056</v>
      </c>
      <c r="F5" s="322">
        <v>0.83689999999999998</v>
      </c>
      <c r="G5" s="315">
        <v>1.0043</v>
      </c>
      <c r="I5" s="326" t="s">
        <v>5042</v>
      </c>
      <c r="J5" s="327">
        <v>1.1339999999999999</v>
      </c>
      <c r="K5" s="327">
        <v>1.1399999999999999</v>
      </c>
    </row>
    <row r="6" spans="1:11">
      <c r="B6" s="319" t="s">
        <v>5033</v>
      </c>
      <c r="C6" s="319"/>
      <c r="D6" s="319" t="s">
        <v>5027</v>
      </c>
      <c r="E6" s="322">
        <v>617.78671552746516</v>
      </c>
      <c r="F6" s="322">
        <v>0.72850000000000004</v>
      </c>
      <c r="G6" s="315">
        <v>0.87019999999999997</v>
      </c>
      <c r="I6" s="326" t="s">
        <v>5041</v>
      </c>
      <c r="J6" s="327">
        <v>1.1519999999999999</v>
      </c>
      <c r="K6" s="327">
        <v>1.159</v>
      </c>
    </row>
    <row r="7" spans="1:11">
      <c r="B7" s="319" t="s">
        <v>5034</v>
      </c>
      <c r="C7" s="319" t="s">
        <v>5027</v>
      </c>
      <c r="D7" s="319"/>
      <c r="E7" s="322">
        <v>489.4785131812161</v>
      </c>
      <c r="F7" s="322">
        <v>0.83689999999999998</v>
      </c>
      <c r="G7" s="315">
        <v>1.0043</v>
      </c>
      <c r="I7" s="326" t="s">
        <v>5499</v>
      </c>
      <c r="J7" s="327">
        <v>1.171</v>
      </c>
      <c r="K7" s="327">
        <v>1.179</v>
      </c>
    </row>
    <row r="8" spans="1:11">
      <c r="B8" s="319" t="s">
        <v>5034</v>
      </c>
      <c r="C8" s="319"/>
      <c r="D8" s="319" t="s">
        <v>5027</v>
      </c>
      <c r="E8" s="322">
        <v>562.319959445824</v>
      </c>
      <c r="F8" s="322">
        <v>0.72850000000000004</v>
      </c>
      <c r="G8" s="315">
        <v>0.87019999999999997</v>
      </c>
      <c r="I8" s="326" t="s">
        <v>173</v>
      </c>
    </row>
    <row r="9" spans="1:11">
      <c r="B9" s="325" t="s">
        <v>5035</v>
      </c>
      <c r="C9" s="319" t="s">
        <v>5027</v>
      </c>
      <c r="D9" s="319"/>
      <c r="E9" s="322">
        <v>350.55119999999999</v>
      </c>
      <c r="F9" s="322">
        <v>0.83689999999999998</v>
      </c>
      <c r="G9" s="315">
        <v>1.0043</v>
      </c>
    </row>
    <row r="10" spans="1:11">
      <c r="B10" s="325" t="s">
        <v>5035</v>
      </c>
      <c r="C10" s="319"/>
      <c r="D10" s="319" t="s">
        <v>5027</v>
      </c>
      <c r="E10" s="322">
        <v>449.72919999999999</v>
      </c>
      <c r="F10" s="322">
        <v>0.72850000000000004</v>
      </c>
      <c r="G10" s="315">
        <v>0.87019999999999997</v>
      </c>
    </row>
    <row r="12" spans="1:11">
      <c r="A12" s="1549" t="s">
        <v>5040</v>
      </c>
      <c r="B12" s="1549"/>
      <c r="C12" s="1549"/>
      <c r="D12" s="1549"/>
      <c r="E12" s="1549"/>
      <c r="F12" s="1549"/>
      <c r="G12" s="1549"/>
    </row>
    <row r="13" spans="1:11" ht="74.650000000000006" customHeight="1">
      <c r="B13" s="324" t="s">
        <v>5039</v>
      </c>
      <c r="C13" s="320" t="s">
        <v>5038</v>
      </c>
      <c r="D13" s="320" t="s">
        <v>5037</v>
      </c>
      <c r="E13" s="323" t="s">
        <v>5496</v>
      </c>
      <c r="F13" s="320" t="s">
        <v>5031</v>
      </c>
      <c r="G13" s="320" t="s">
        <v>5030</v>
      </c>
    </row>
    <row r="14" spans="1:11">
      <c r="B14" s="319" t="s">
        <v>5036</v>
      </c>
      <c r="C14" s="319" t="s">
        <v>5027</v>
      </c>
      <c r="D14" s="319"/>
      <c r="E14" s="322">
        <v>332.87470605850893</v>
      </c>
      <c r="F14" s="322">
        <v>1.1184000000000001</v>
      </c>
      <c r="G14" s="315">
        <v>1.3422000000000001</v>
      </c>
    </row>
    <row r="15" spans="1:11">
      <c r="B15" s="319" t="s">
        <v>5036</v>
      </c>
      <c r="C15" s="319"/>
      <c r="D15" s="319" t="s">
        <v>5027</v>
      </c>
      <c r="E15" s="322">
        <v>382.13365062203724</v>
      </c>
      <c r="F15" s="322">
        <v>0.97430000000000005</v>
      </c>
      <c r="G15" s="315">
        <v>1.1691</v>
      </c>
    </row>
    <row r="16" spans="1:11">
      <c r="B16" s="319" t="s">
        <v>5035</v>
      </c>
      <c r="C16" s="319" t="s">
        <v>5027</v>
      </c>
      <c r="D16" s="319"/>
      <c r="E16" s="322">
        <v>350.55119999999999</v>
      </c>
      <c r="F16" s="322">
        <v>1.1184000000000001</v>
      </c>
      <c r="G16" s="315">
        <v>1.3422000000000001</v>
      </c>
    </row>
    <row r="17" spans="2:14">
      <c r="B17" s="319" t="s">
        <v>5035</v>
      </c>
      <c r="C17" s="319"/>
      <c r="D17" s="319" t="s">
        <v>5027</v>
      </c>
      <c r="E17" s="322">
        <v>449.72919999999999</v>
      </c>
      <c r="F17" s="322">
        <v>0.97430000000000005</v>
      </c>
      <c r="G17" s="315">
        <v>1.1691</v>
      </c>
    </row>
    <row r="18" spans="2:14">
      <c r="B18" s="319" t="s">
        <v>5034</v>
      </c>
      <c r="C18" s="319" t="s">
        <v>5027</v>
      </c>
      <c r="D18" s="319"/>
      <c r="E18" s="322">
        <v>489.4785131812161</v>
      </c>
      <c r="F18" s="322">
        <v>1.1184000000000001</v>
      </c>
      <c r="G18" s="315">
        <v>1.3422000000000001</v>
      </c>
    </row>
    <row r="19" spans="2:14">
      <c r="B19" s="319" t="s">
        <v>5034</v>
      </c>
      <c r="C19" s="319"/>
      <c r="D19" s="319" t="s">
        <v>5027</v>
      </c>
      <c r="E19" s="322">
        <v>562.319959445824</v>
      </c>
      <c r="F19" s="322">
        <v>0.97430000000000005</v>
      </c>
      <c r="G19" s="315">
        <v>1.1691</v>
      </c>
    </row>
    <row r="20" spans="2:14">
      <c r="B20" s="319" t="s">
        <v>5033</v>
      </c>
      <c r="C20" s="319" t="s">
        <v>5027</v>
      </c>
      <c r="D20" s="319"/>
      <c r="E20" s="322">
        <v>538.26103838215056</v>
      </c>
      <c r="F20" s="322">
        <v>1.1184000000000001</v>
      </c>
      <c r="G20" s="315">
        <v>1.3422000000000001</v>
      </c>
    </row>
    <row r="21" spans="2:14">
      <c r="B21" s="319" t="s">
        <v>5033</v>
      </c>
      <c r="C21" s="319"/>
      <c r="D21" s="319" t="s">
        <v>5027</v>
      </c>
      <c r="E21" s="322">
        <v>617.78671552746516</v>
      </c>
      <c r="F21" s="322">
        <v>0.97430000000000005</v>
      </c>
      <c r="G21" s="315">
        <v>1.1691</v>
      </c>
    </row>
    <row r="26" spans="2:14" ht="129" customHeight="1">
      <c r="B26" s="1553" t="s">
        <v>5498</v>
      </c>
      <c r="C26" s="1553"/>
      <c r="D26" s="1553"/>
      <c r="E26" s="1553"/>
      <c r="I26" s="1553" t="s">
        <v>5497</v>
      </c>
      <c r="J26" s="1553"/>
      <c r="K26" s="1553"/>
      <c r="L26" s="1553"/>
      <c r="M26" s="1553"/>
    </row>
    <row r="27" spans="2:14" ht="50">
      <c r="D27" s="314" t="s">
        <v>5032</v>
      </c>
      <c r="E27" s="314" t="s">
        <v>4987</v>
      </c>
      <c r="F27" s="320" t="s">
        <v>5500</v>
      </c>
      <c r="G27" s="320" t="s">
        <v>5031</v>
      </c>
      <c r="H27" s="320" t="s">
        <v>5030</v>
      </c>
      <c r="J27" s="314" t="s">
        <v>4987</v>
      </c>
      <c r="K27" s="314" t="s">
        <v>4988</v>
      </c>
      <c r="L27" s="321" t="s">
        <v>5496</v>
      </c>
      <c r="M27" s="320" t="s">
        <v>5031</v>
      </c>
      <c r="N27" s="320" t="s">
        <v>5030</v>
      </c>
    </row>
    <row r="28" spans="2:14">
      <c r="B28" s="319" t="s">
        <v>5029</v>
      </c>
      <c r="C28" s="317"/>
      <c r="D28" s="317" t="s">
        <v>5027</v>
      </c>
      <c r="E28" s="317" t="s">
        <v>5501</v>
      </c>
      <c r="F28" s="316">
        <v>0.26600000000000001</v>
      </c>
      <c r="G28" s="315">
        <v>0.18796992481203006</v>
      </c>
      <c r="H28" s="315">
        <f>G28*120%</f>
        <v>0.22556390977443608</v>
      </c>
      <c r="I28" s="318" t="s">
        <v>5028</v>
      </c>
      <c r="J28" s="317"/>
      <c r="K28" s="317" t="s">
        <v>5027</v>
      </c>
      <c r="L28" s="316">
        <v>0.30399999999999999</v>
      </c>
      <c r="M28" s="315">
        <v>0.46052631578947367</v>
      </c>
      <c r="N28" s="315">
        <f>M28*120%</f>
        <v>0.55263157894736836</v>
      </c>
    </row>
    <row r="29" spans="2:14">
      <c r="I29" s="318" t="s">
        <v>5028</v>
      </c>
      <c r="J29" s="317" t="s">
        <v>5027</v>
      </c>
      <c r="K29" s="317"/>
      <c r="L29" s="316">
        <v>0.26600000000000001</v>
      </c>
      <c r="M29" s="315">
        <v>0.45112781954887216</v>
      </c>
      <c r="N29" s="315">
        <f>M29*120%</f>
        <v>0.54135338345864659</v>
      </c>
    </row>
    <row r="30" spans="2:14" ht="20.149999999999999" customHeight="1"/>
    <row r="32" spans="2:14">
      <c r="E32" s="300" t="s">
        <v>5459</v>
      </c>
      <c r="G32" s="254" t="s">
        <v>5480</v>
      </c>
    </row>
    <row r="33" spans="5:12">
      <c r="G33" s="254" t="s">
        <v>5481</v>
      </c>
    </row>
    <row r="34" spans="5:12">
      <c r="G34" s="300" t="s">
        <v>173</v>
      </c>
    </row>
    <row r="37" spans="5:12">
      <c r="E37" s="300" t="s">
        <v>4970</v>
      </c>
      <c r="G37" s="300" t="s">
        <v>5026</v>
      </c>
      <c r="H37" s="300" t="s">
        <v>5502</v>
      </c>
    </row>
    <row r="38" spans="5:12">
      <c r="G38" s="300" t="s">
        <v>5503</v>
      </c>
      <c r="H38" s="300" t="s">
        <v>5078</v>
      </c>
    </row>
    <row r="39" spans="5:12">
      <c r="G39" s="300" t="s">
        <v>4986</v>
      </c>
      <c r="H39" s="300" t="s">
        <v>5504</v>
      </c>
    </row>
    <row r="40" spans="5:12">
      <c r="G40" s="300" t="s">
        <v>173</v>
      </c>
      <c r="H40" s="300" t="s">
        <v>5078</v>
      </c>
    </row>
    <row r="42" spans="5:12">
      <c r="E42" s="300" t="s">
        <v>5380</v>
      </c>
      <c r="G42" s="300" t="s">
        <v>5025</v>
      </c>
    </row>
    <row r="43" spans="5:12">
      <c r="G43" s="300" t="s">
        <v>5024</v>
      </c>
    </row>
    <row r="44" spans="5:12">
      <c r="G44" s="300" t="s">
        <v>173</v>
      </c>
    </row>
    <row r="46" spans="5:12">
      <c r="E46" s="300" t="s">
        <v>4968</v>
      </c>
      <c r="G46" s="300" t="s">
        <v>5505</v>
      </c>
      <c r="H46" s="300" t="s">
        <v>4987</v>
      </c>
    </row>
    <row r="47" spans="5:12">
      <c r="G47" s="300" t="s">
        <v>446</v>
      </c>
      <c r="H47" s="300" t="s">
        <v>4988</v>
      </c>
    </row>
    <row r="48" spans="5:12">
      <c r="G48" s="300" t="s">
        <v>447</v>
      </c>
      <c r="J48" s="300" t="s">
        <v>4952</v>
      </c>
      <c r="L48" s="300" t="s">
        <v>5023</v>
      </c>
    </row>
    <row r="49" spans="5:12">
      <c r="G49" s="300" t="s">
        <v>5512</v>
      </c>
      <c r="L49" s="300" t="s">
        <v>5510</v>
      </c>
    </row>
    <row r="50" spans="5:12">
      <c r="G50" s="300" t="s">
        <v>173</v>
      </c>
      <c r="L50" s="300" t="s">
        <v>5511</v>
      </c>
    </row>
    <row r="51" spans="5:12">
      <c r="L51" s="300" t="s">
        <v>5506</v>
      </c>
    </row>
    <row r="52" spans="5:12">
      <c r="E52" s="300" t="s">
        <v>4969</v>
      </c>
      <c r="G52" s="300" t="s">
        <v>4994</v>
      </c>
      <c r="L52" s="300" t="s">
        <v>173</v>
      </c>
    </row>
    <row r="53" spans="5:12">
      <c r="G53" s="300" t="s">
        <v>5022</v>
      </c>
    </row>
    <row r="54" spans="5:12">
      <c r="G54" s="300" t="s">
        <v>173</v>
      </c>
      <c r="L54" s="301"/>
    </row>
    <row r="55" spans="5:12">
      <c r="L55" s="301"/>
    </row>
    <row r="56" spans="5:12">
      <c r="E56" s="300" t="s">
        <v>5021</v>
      </c>
      <c r="G56" s="300" t="s">
        <v>5017</v>
      </c>
      <c r="L56" s="301"/>
    </row>
    <row r="57" spans="5:12">
      <c r="G57" s="300" t="s">
        <v>5016</v>
      </c>
    </row>
    <row r="58" spans="5:12">
      <c r="G58" s="300" t="s">
        <v>5015</v>
      </c>
    </row>
    <row r="59" spans="5:12">
      <c r="G59" s="300" t="s">
        <v>5014</v>
      </c>
      <c r="L59" s="302"/>
    </row>
    <row r="60" spans="5:12">
      <c r="G60" s="300" t="s">
        <v>5013</v>
      </c>
    </row>
    <row r="61" spans="5:12">
      <c r="G61" s="300" t="s">
        <v>173</v>
      </c>
    </row>
    <row r="63" spans="5:12">
      <c r="E63" s="300" t="s">
        <v>4963</v>
      </c>
      <c r="G63" s="300" t="s">
        <v>5020</v>
      </c>
    </row>
    <row r="64" spans="5:12">
      <c r="G64" s="300" t="s">
        <v>5019</v>
      </c>
    </row>
    <row r="65" spans="2:10">
      <c r="G65" s="300" t="s">
        <v>173</v>
      </c>
    </row>
    <row r="68" spans="2:10">
      <c r="E68" s="300" t="s">
        <v>4951</v>
      </c>
      <c r="G68" s="300" t="s">
        <v>4993</v>
      </c>
    </row>
    <row r="69" spans="2:10">
      <c r="G69" s="300" t="s">
        <v>4991</v>
      </c>
    </row>
    <row r="70" spans="2:10">
      <c r="G70" s="300" t="s">
        <v>4992</v>
      </c>
    </row>
    <row r="71" spans="2:10">
      <c r="G71" s="300" t="s">
        <v>4990</v>
      </c>
    </row>
    <row r="72" spans="2:10">
      <c r="G72" s="300" t="s">
        <v>173</v>
      </c>
    </row>
    <row r="73" spans="2:10">
      <c r="B73" s="300" t="s">
        <v>4968</v>
      </c>
      <c r="C73" s="314" t="str">
        <f>'4. Calcul Énergir et HQ'!N16</f>
        <v>Choisir…</v>
      </c>
    </row>
    <row r="75" spans="2:10">
      <c r="B75" s="1550" t="s">
        <v>5456</v>
      </c>
      <c r="C75" s="1550"/>
      <c r="D75" s="1550"/>
      <c r="E75" s="1550"/>
      <c r="F75" s="1550"/>
      <c r="G75" s="1550"/>
      <c r="H75" s="1550"/>
      <c r="I75" s="1550"/>
    </row>
    <row r="76" spans="2:10">
      <c r="B76" s="1550"/>
      <c r="C76" s="1550"/>
      <c r="D76" s="1550"/>
      <c r="E76" s="1550"/>
      <c r="F76" s="1550"/>
      <c r="G76" s="1550"/>
      <c r="H76" s="1550"/>
      <c r="I76" s="1550"/>
    </row>
    <row r="77" spans="2:10">
      <c r="C77" s="1549" t="s">
        <v>5018</v>
      </c>
      <c r="D77" s="1549"/>
      <c r="E77" s="1549"/>
      <c r="F77" s="1549"/>
      <c r="G77" s="1549"/>
      <c r="H77" s="1549"/>
    </row>
    <row r="78" spans="2:10">
      <c r="C78" s="407" t="s">
        <v>5459</v>
      </c>
      <c r="D78" s="408" t="s">
        <v>5460</v>
      </c>
      <c r="E78" s="314"/>
      <c r="F78" s="314"/>
      <c r="G78" s="314"/>
      <c r="H78" s="314"/>
      <c r="I78" s="314"/>
    </row>
    <row r="79" spans="2:10">
      <c r="C79" s="406"/>
      <c r="D79" s="14">
        <v>0</v>
      </c>
      <c r="E79" s="305"/>
      <c r="F79" s="407" t="s">
        <v>5461</v>
      </c>
      <c r="G79" s="14"/>
      <c r="H79" s="305"/>
      <c r="I79" s="305"/>
    </row>
    <row r="80" spans="2:10" ht="26">
      <c r="B80" s="1550"/>
      <c r="C80" s="372" t="s">
        <v>5507</v>
      </c>
      <c r="D80" s="14">
        <v>0.65</v>
      </c>
      <c r="E80" s="305"/>
      <c r="F80" s="406" t="s">
        <v>5462</v>
      </c>
      <c r="G80" s="409">
        <v>200</v>
      </c>
      <c r="H80" s="305"/>
      <c r="I80" s="305" t="s">
        <v>4968</v>
      </c>
      <c r="J80" s="300" t="str">
        <f>'4. Calcul Énergir et HQ'!Y35</f>
        <v>Choisir…</v>
      </c>
    </row>
    <row r="81" spans="2:14" ht="38.5">
      <c r="B81" s="1550"/>
      <c r="C81" s="372" t="s">
        <v>5508</v>
      </c>
      <c r="D81" s="14">
        <v>0.56000000000000005</v>
      </c>
      <c r="E81" s="305"/>
      <c r="F81" s="406" t="s">
        <v>5463</v>
      </c>
      <c r="G81" s="14">
        <v>1.9220000000000001E-3</v>
      </c>
      <c r="H81" s="305"/>
      <c r="I81" s="305" t="s">
        <v>5458</v>
      </c>
      <c r="J81" s="300">
        <f>'4. Calcul Énergir et HQ'!Y36</f>
        <v>0</v>
      </c>
    </row>
    <row r="82" spans="2:14" ht="38.5">
      <c r="B82" s="1550"/>
      <c r="D82" s="305"/>
      <c r="E82" s="305"/>
      <c r="F82" s="406" t="s">
        <v>5464</v>
      </c>
      <c r="G82" s="14">
        <v>1.9109999999999999E-3</v>
      </c>
      <c r="H82" s="305"/>
      <c r="I82" s="305" t="s">
        <v>5467</v>
      </c>
      <c r="J82" s="300">
        <f>J81*G81</f>
        <v>0</v>
      </c>
      <c r="N82" s="300" t="s">
        <v>468</v>
      </c>
    </row>
    <row r="83" spans="2:14">
      <c r="B83" s="1550"/>
      <c r="D83" s="305"/>
      <c r="E83" s="305"/>
      <c r="F83" s="406" t="s">
        <v>5465</v>
      </c>
      <c r="G83" s="409">
        <v>30000</v>
      </c>
      <c r="H83" s="305"/>
      <c r="I83" s="305" t="s">
        <v>5466</v>
      </c>
      <c r="J83" s="300">
        <f>J82</f>
        <v>0</v>
      </c>
    </row>
    <row r="84" spans="2:14">
      <c r="B84" s="303"/>
      <c r="D84" s="305"/>
      <c r="E84" s="305"/>
      <c r="F84" s="305" t="s">
        <v>5470</v>
      </c>
      <c r="G84" s="305">
        <f>'4. Calcul Énergir et HQ'!Y37</f>
        <v>0</v>
      </c>
      <c r="H84" s="305"/>
      <c r="I84" s="305" t="s">
        <v>5457</v>
      </c>
      <c r="J84" s="410">
        <f>IF(OR(F104=G37,F104=G50),0,MAX(MIN(G83,G80*J83)-G84,0))</f>
        <v>0</v>
      </c>
    </row>
    <row r="85" spans="2:14">
      <c r="J85" s="307"/>
    </row>
    <row r="86" spans="2:14">
      <c r="B86" s="300" t="str">
        <f>'4. Calcul Énergir et HQ'!F19</f>
        <v>Type d'équipement</v>
      </c>
      <c r="C86" s="300" t="str">
        <f>'4. Calcul Énergir et HQ'!AH19</f>
        <v>Type d'installation</v>
      </c>
      <c r="D86" s="300" t="str">
        <f>'4. Calcul Énergir et HQ'!BD46</f>
        <v>Nombre</v>
      </c>
      <c r="E86" s="300" t="s">
        <v>5012</v>
      </c>
      <c r="F86" s="300" t="s">
        <v>5011</v>
      </c>
      <c r="I86" s="300" t="str">
        <f>'4. Calcul Énergir et HQ'!AW19</f>
        <v>Montant PEE</v>
      </c>
      <c r="J86" s="300" t="s">
        <v>5010</v>
      </c>
    </row>
    <row r="87" spans="2:14">
      <c r="B87" s="300" t="str">
        <f>'4. Calcul Énergir et HQ'!F20</f>
        <v>Choisir…</v>
      </c>
      <c r="C87" s="314" t="str">
        <f>'4. Calcul Énergir et HQ'!AH20</f>
        <v>Choisir…</v>
      </c>
      <c r="D87" s="314">
        <f>'4. Calcul Énergir et HQ'!AO20</f>
        <v>0</v>
      </c>
      <c r="E87" s="314">
        <f t="array" ref="E87">_xlfn.IFS('4. Calcul Énergir et HQ'!F20=Data_calc!$G$56,Data_calc!$B$79,'4. Calcul Énergir et HQ'!F20=Data_calc!$G$57,Data_calc!$B$80,'4. Calcul Énergir et HQ'!F20=Data_calc!$G$58,Data_calc!$B$80,'4. Calcul Énergir et HQ'!F20=Data_calc!$G$59,Data_calc!$B$80,AND('4. Calcul Énergir et HQ'!F20=Data_calc!$G$60,$C$73=$G$47),$B$80,AND('4. Calcul Énergir et HQ'!F20=Data_calc!$G$60,$C$73=$G$48),$B$84,'4. Calcul Énergir et HQ'!F20=Data_calc!$G$61,Data_calc!$B$85,AND('4. Calcul Énergir et HQ'!F20=Data_calc!$G$60,$C$73=$G$46),$B$84,AND('4. Calcul Énergir et HQ'!F20=Data_calc!$G$60,$C$73=$G$49),$B$84)</f>
        <v>0</v>
      </c>
      <c r="F87" s="314">
        <f>'4. Calcul Énergir et HQ'!AR20</f>
        <v>0</v>
      </c>
      <c r="G87" s="305"/>
      <c r="H87" s="307"/>
      <c r="I87" s="305">
        <f>'4. Calcul Énergir et HQ'!AW20</f>
        <v>0</v>
      </c>
      <c r="J87" s="305">
        <f>I87*D87</f>
        <v>0</v>
      </c>
    </row>
    <row r="88" spans="2:14">
      <c r="B88" s="300" t="str">
        <f>'4. Calcul Énergir et HQ'!F21</f>
        <v>Choisir…</v>
      </c>
      <c r="C88" s="314" t="str">
        <f>'4. Calcul Énergir et HQ'!AH21</f>
        <v>Choisir…</v>
      </c>
      <c r="D88" s="314">
        <f>'4. Calcul Énergir et HQ'!AO21</f>
        <v>0</v>
      </c>
      <c r="E88" s="314">
        <f t="array" ref="E88">_xlfn.IFS('4. Calcul Énergir et HQ'!F21=Data_calc!$G$56,Data_calc!$B$79,'4. Calcul Énergir et HQ'!F21=Data_calc!$G$57,Data_calc!$B$80,'4. Calcul Énergir et HQ'!F21=Data_calc!$G$58,Data_calc!$B$80,'4. Calcul Énergir et HQ'!F21=Data_calc!$G$59,Data_calc!$B$80,AND('4. Calcul Énergir et HQ'!F21=Data_calc!$G$60,$C$73=$G$47),$B$80,AND('4. Calcul Énergir et HQ'!F21=Data_calc!$G$60,$C$73=$G$48),$B$84,'4. Calcul Énergir et HQ'!F21=Data_calc!$G$61,Data_calc!$B$85,AND('4. Calcul Énergir et HQ'!F21=Data_calc!$G$60,$C$73=$G$46),$B$84,AND('4. Calcul Énergir et HQ'!F21=Data_calc!$G$60,$C$73=$G$49),$B$84)</f>
        <v>0</v>
      </c>
      <c r="F88" s="314">
        <f>'4. Calcul Énergir et HQ'!AR21</f>
        <v>0</v>
      </c>
      <c r="G88" s="305"/>
      <c r="H88" s="307"/>
      <c r="I88" s="305">
        <f>'4. Calcul Énergir et HQ'!AW21</f>
        <v>0</v>
      </c>
      <c r="J88" s="305">
        <f>I88*D88</f>
        <v>0</v>
      </c>
    </row>
    <row r="89" spans="2:14">
      <c r="B89" s="300" t="str">
        <f>'4. Calcul Énergir et HQ'!F22</f>
        <v>Choisir…</v>
      </c>
      <c r="C89" s="314" t="str">
        <f>'4. Calcul Énergir et HQ'!AH22</f>
        <v>Choisir…</v>
      </c>
      <c r="D89" s="314">
        <f>'4. Calcul Énergir et HQ'!AO22</f>
        <v>0</v>
      </c>
      <c r="E89" s="314">
        <f t="array" ref="E89">_xlfn.IFS('4. Calcul Énergir et HQ'!F22=Data_calc!$G$56,Data_calc!$B$79,'4. Calcul Énergir et HQ'!F22=Data_calc!$G$57,Data_calc!$B$80,'4. Calcul Énergir et HQ'!F22=Data_calc!$G$58,Data_calc!$B$80,'4. Calcul Énergir et HQ'!F22=Data_calc!$G$59,Data_calc!$B$80,AND('4. Calcul Énergir et HQ'!F22=Data_calc!$G$60,$C$73=$G$47),$B$80,AND('4. Calcul Énergir et HQ'!F22=Data_calc!$G$60,$C$73=$G$48),$B$84,'4. Calcul Énergir et HQ'!F22=Data_calc!$G$61,Data_calc!$B$85,AND('4. Calcul Énergir et HQ'!F22=Data_calc!$G$60,$C$73=$G$46),$B$84,AND('4. Calcul Énergir et HQ'!F22=Data_calc!$G$60,$C$73=$G$49),$B$84)</f>
        <v>0</v>
      </c>
      <c r="F89" s="314">
        <f>'4. Calcul Énergir et HQ'!AR22</f>
        <v>0</v>
      </c>
      <c r="G89" s="305"/>
      <c r="H89" s="307"/>
      <c r="I89" s="305">
        <f>'4. Calcul Énergir et HQ'!AW22</f>
        <v>0</v>
      </c>
      <c r="J89" s="305">
        <f>I89*D89</f>
        <v>0</v>
      </c>
    </row>
    <row r="90" spans="2:14">
      <c r="B90" s="300" t="str">
        <f>'4. Calcul Énergir et HQ'!F23</f>
        <v>Choisir…</v>
      </c>
      <c r="C90" s="314" t="str">
        <f>'4. Calcul Énergir et HQ'!AH23</f>
        <v>Choisir…</v>
      </c>
      <c r="D90" s="314">
        <f>'4. Calcul Énergir et HQ'!AO23</f>
        <v>0</v>
      </c>
      <c r="E90" s="314">
        <f t="array" ref="E90">_xlfn.IFS('4. Calcul Énergir et HQ'!F23=Data_calc!$G$56,Data_calc!$B$79,'4. Calcul Énergir et HQ'!F23=Data_calc!$G$57,Data_calc!$B$80,'4. Calcul Énergir et HQ'!F23=Data_calc!$G$58,Data_calc!$B$80,'4. Calcul Énergir et HQ'!F23=Data_calc!$G$59,Data_calc!$B$80,AND('4. Calcul Énergir et HQ'!F23=Data_calc!$G$60,$C$73=$G$47),$B$80,AND('4. Calcul Énergir et HQ'!F23=Data_calc!$G$60,$C$73=$G$48),$B$84,'4. Calcul Énergir et HQ'!F23=Data_calc!$G$61,Data_calc!$B$85,AND('4. Calcul Énergir et HQ'!F23=Data_calc!$G$60,$C$73=$G$46),$B$84,AND('4. Calcul Énergir et HQ'!F23=Data_calc!$G$60,$C$73=$G$49),$B$84)</f>
        <v>0</v>
      </c>
      <c r="F90" s="314">
        <f>'4. Calcul Énergir et HQ'!AR23</f>
        <v>0</v>
      </c>
      <c r="G90" s="305"/>
      <c r="H90" s="307"/>
      <c r="I90" s="305">
        <f>'4. Calcul Énergir et HQ'!AW23</f>
        <v>0</v>
      </c>
      <c r="J90" s="305">
        <f>I90*D90</f>
        <v>0</v>
      </c>
    </row>
    <row r="91" spans="2:14">
      <c r="B91" s="300" t="str">
        <f>'4. Calcul Énergir et HQ'!F24</f>
        <v>Choisir…</v>
      </c>
      <c r="C91" s="314" t="str">
        <f>'4. Calcul Énergir et HQ'!AH24</f>
        <v>Choisir…</v>
      </c>
      <c r="D91" s="314">
        <f>'4. Calcul Énergir et HQ'!AO24</f>
        <v>0</v>
      </c>
      <c r="E91" s="314">
        <f t="array" ref="E91">_xlfn.IFS('4. Calcul Énergir et HQ'!F24=Data_calc!$G$56,Data_calc!$B$79,'4. Calcul Énergir et HQ'!F24=Data_calc!$G$57,Data_calc!$B$80,'4. Calcul Énergir et HQ'!F24=Data_calc!$G$58,Data_calc!$B$80,'4. Calcul Énergir et HQ'!F24=Data_calc!$G$59,Data_calc!$B$80,AND('4. Calcul Énergir et HQ'!F24=Data_calc!$G$60,$C$73=$G$47),$B$80,AND('4. Calcul Énergir et HQ'!F24=Data_calc!$G$60,$C$73=$G$48),$B$84,'4. Calcul Énergir et HQ'!F24=Data_calc!$G$61,Data_calc!$B$85,AND('4. Calcul Énergir et HQ'!F24=Data_calc!$G$60,$C$73=$G$46),$B$84,AND('4. Calcul Énergir et HQ'!F24=Data_calc!$G$60,$C$73=$G$49),$B$84)</f>
        <v>0</v>
      </c>
      <c r="F91" s="314">
        <f>'4. Calcul Énergir et HQ'!AR24</f>
        <v>0</v>
      </c>
      <c r="G91" s="305"/>
      <c r="H91" s="307"/>
      <c r="I91" s="305">
        <f>'4. Calcul Énergir et HQ'!AW24</f>
        <v>0</v>
      </c>
      <c r="J91" s="305">
        <f>I91*D91</f>
        <v>0</v>
      </c>
    </row>
    <row r="94" spans="2:14">
      <c r="B94" s="300" t="s">
        <v>5009</v>
      </c>
      <c r="C94" s="307">
        <f>SUM(J87:J91)+J84</f>
        <v>0</v>
      </c>
      <c r="D94" s="300" t="str">
        <f>IF(F104=G37,"0$, voir contrat de raccordement pour subvention Énergir","")</f>
        <v/>
      </c>
    </row>
    <row r="98" spans="1:27">
      <c r="L98" s="307"/>
    </row>
    <row r="99" spans="1:27">
      <c r="A99" s="1550" t="s">
        <v>5008</v>
      </c>
      <c r="B99" s="1550"/>
      <c r="C99" s="1550"/>
      <c r="D99" s="1550"/>
      <c r="E99" s="1550"/>
      <c r="F99" s="1550"/>
      <c r="G99" s="1550"/>
      <c r="H99" s="1550"/>
      <c r="I99" s="1550"/>
      <c r="J99" s="1550"/>
      <c r="K99" s="1550"/>
      <c r="L99" s="1550"/>
    </row>
    <row r="100" spans="1:27">
      <c r="A100" s="1550"/>
      <c r="B100" s="1550"/>
      <c r="C100" s="1550"/>
      <c r="D100" s="1550"/>
      <c r="E100" s="1550"/>
      <c r="F100" s="1550"/>
      <c r="G100" s="1550"/>
      <c r="H100" s="1550"/>
      <c r="I100" s="1550"/>
      <c r="J100" s="1550"/>
      <c r="K100" s="1550"/>
      <c r="L100" s="1550"/>
    </row>
    <row r="102" spans="1:27">
      <c r="E102" s="300" t="s">
        <v>5455</v>
      </c>
      <c r="F102" s="300" t="str">
        <f>C73</f>
        <v>Choisir…</v>
      </c>
      <c r="L102" s="307"/>
      <c r="M102" s="314"/>
      <c r="N102" s="314"/>
      <c r="O102" s="314"/>
      <c r="P102" s="314"/>
      <c r="Q102" s="314"/>
      <c r="R102" s="314"/>
      <c r="S102" s="314"/>
    </row>
    <row r="103" spans="1:27">
      <c r="E103" s="300" t="s">
        <v>4969</v>
      </c>
      <c r="F103" s="300" t="str">
        <f>'4. Calcul Énergir et HQ'!N14</f>
        <v>Choisir…</v>
      </c>
      <c r="P103" s="309"/>
      <c r="Q103" s="308"/>
    </row>
    <row r="104" spans="1:27">
      <c r="E104" s="300" t="str">
        <f>'4. Calcul Énergir et HQ'!F10</f>
        <v>Type de projet</v>
      </c>
      <c r="F104" s="300" t="str">
        <f>'4. Calcul Énergir et HQ'!N10</f>
        <v>Choisir…</v>
      </c>
      <c r="P104" s="309"/>
      <c r="Q104" s="308"/>
    </row>
    <row r="105" spans="1:27">
      <c r="E105" s="300" t="str">
        <f>'4. Calcul Énergir et HQ'!F12</f>
        <v>Âge du bâtiment</v>
      </c>
      <c r="F105" s="300" t="str">
        <f>'4. Calcul Énergir et HQ'!N12</f>
        <v>Choisir…</v>
      </c>
      <c r="P105" s="309"/>
      <c r="Q105" s="308"/>
    </row>
    <row r="106" spans="1:27">
      <c r="E106" s="300" t="s">
        <v>4968</v>
      </c>
      <c r="F106" s="300" t="e">
        <f t="array" ref="F106">_xlfn.IFS(AND(F104=G37,F105=G42),H46,AND(F104=G37,F105=G43),H46,AND(F104=G38,F105=G42),H47,AND(F104=G38,F105=G43),H46,AND(F104=G39,F105=G42),H46,AND(F104=G39,F105=G43),H46,OR(F104=0,F105=0),0)</f>
        <v>#N/A</v>
      </c>
    </row>
    <row r="107" spans="1:27">
      <c r="P107" s="1549" t="s">
        <v>5007</v>
      </c>
      <c r="Q107" s="1549"/>
      <c r="R107" s="1549"/>
      <c r="S107" s="1549" t="s">
        <v>5006</v>
      </c>
      <c r="T107" s="1549"/>
      <c r="U107" s="1549"/>
      <c r="V107" s="1549" t="s">
        <v>5005</v>
      </c>
      <c r="W107" s="1549"/>
      <c r="X107" s="1549"/>
      <c r="Y107" s="1549" t="s">
        <v>5004</v>
      </c>
      <c r="Z107" s="1549"/>
      <c r="AA107" s="1549"/>
    </row>
    <row r="108" spans="1:27">
      <c r="C108" s="300" t="str">
        <f>'4. Calcul Énergir et HQ'!F46</f>
        <v>Type de mesure</v>
      </c>
      <c r="D108" s="300" t="str">
        <f>'4. Calcul Énergir et HQ'!W46</f>
        <v>Type de compresseur</v>
      </c>
      <c r="E108" s="300" t="str">
        <f>'4. Calcul Énergir et HQ'!AL46</f>
        <v>Bonification Microclimat</v>
      </c>
      <c r="F108" s="300" t="str">
        <f>'4. Calcul Énergir et HQ'!BD46</f>
        <v>Nombre</v>
      </c>
      <c r="G108" s="300" t="str">
        <f>'4. Calcul Énergir et HQ'!BH46</f>
        <v>Puissance
de chauffage
à 47 °F (kW)</v>
      </c>
      <c r="H108" s="304" t="s">
        <v>5003</v>
      </c>
      <c r="I108" s="314" t="s">
        <v>5002</v>
      </c>
      <c r="J108" s="314" t="s">
        <v>5001</v>
      </c>
      <c r="K108" s="314" t="s">
        <v>5000</v>
      </c>
      <c r="L108" s="314" t="s">
        <v>4999</v>
      </c>
      <c r="M108" s="300" t="s">
        <v>4998</v>
      </c>
      <c r="N108" s="300" t="s">
        <v>4997</v>
      </c>
      <c r="O108" s="300" t="s">
        <v>441</v>
      </c>
      <c r="P108" s="314" t="s">
        <v>4996</v>
      </c>
      <c r="Q108" s="313" t="s">
        <v>4995</v>
      </c>
      <c r="R108" s="312" t="s">
        <v>4994</v>
      </c>
      <c r="S108" s="314" t="s">
        <v>4996</v>
      </c>
      <c r="T108" s="313" t="s">
        <v>4995</v>
      </c>
      <c r="U108" s="312" t="s">
        <v>4994</v>
      </c>
      <c r="V108" s="314" t="s">
        <v>107</v>
      </c>
      <c r="W108" s="313" t="s">
        <v>4995</v>
      </c>
      <c r="X108" s="312" t="s">
        <v>4994</v>
      </c>
      <c r="Y108" s="314" t="s">
        <v>107</v>
      </c>
      <c r="Z108" s="313" t="s">
        <v>4995</v>
      </c>
      <c r="AA108" s="312" t="s">
        <v>4994</v>
      </c>
    </row>
    <row r="109" spans="1:27">
      <c r="C109" s="300" t="str">
        <f>'4. Calcul Énergir et HQ'!F47</f>
        <v>Choisir…</v>
      </c>
      <c r="D109" s="300" t="str">
        <f>'4. Calcul Énergir et HQ'!W47</f>
        <v>Choisir…</v>
      </c>
      <c r="E109" s="300" t="str">
        <f>'4. Calcul Énergir et HQ'!AL47</f>
        <v>Choisir…</v>
      </c>
      <c r="F109" s="300">
        <f>'4. Calcul Énergir et HQ'!BD47</f>
        <v>0</v>
      </c>
      <c r="G109" s="300">
        <f>'4. Calcul Énergir et HQ'!BH47</f>
        <v>0</v>
      </c>
      <c r="H109" s="331" t="e">
        <f t="array" ref="H109">_xlfn.IFS(C109=$L$48,1,C109=0,0,E109=$I$3,$J$3,AND(E109=$I$4,$F$106=$J$2),$J$4,AND(E109=$I$4,$F$106=$K$2),$K$4,AND(E109=$I$5,$F$106=$J$2),$J$5,AND(E109=$I$5,$F$106=$K$2),$K$5,AND(E109=$I$6,$F$106=$J$2),$J$6,AND(E109=$I$6,$F$106=$K$2),$K$6,AND(E109=$I$7,$F$106=$J$2),$J$7,AND(E109=$I$7,$F$106=$K$2),$K$7,E109=0,0,$F$106=0,0)</f>
        <v>#N/A</v>
      </c>
      <c r="I109" s="308" t="e">
        <f t="array" ref="I109">_xlfn.IFS(AND(OR(C109=$L$48,C109=$L$51),D109=$N$109,$F$106=$O$109),$P$109,AND(OR(C109=$L$48,C109=$L$51),D109=$N$110,$F$106=$O$110),$P$110,AND(OR(C109=$L$48,C109=$L$51),D109=$N$111,$F$106=$O$111),$P$111,AND(OR(C109=$L$48,C109=$L$51),D109=$N$112,$F$106=$O$112),$P$112,AND(OR(C109=$L$48,C109=$L$51),D109=$N$113,$F$106=$O$113),$P$113,AND(OR(C109=$L$48,C109=$L$51),D109=$N$114,$F$106=$O$114),$P$114,AND(OR(C109=$L$48,C109=$L$51),D109=$N$115,$F$106=$O$115),$P$115,AND(OR(C109=$L$48,C109=$L$51),D109=$N$116,$F$106=$O$116),$P$116,AND(C109=$L$49,$F$106=$O$118),$V$118,AND(C109=$L$49,$F$106=$O$119),$V$119,AND(C109=$L$50,$F$106=$O$121),$Y$121,AND(C109=$L$50,$F$106=$O$122),$Y$122)</f>
        <v>#N/A</v>
      </c>
      <c r="J109" s="311" t="e">
        <f>IF(OR(C109=$L$49,C109=$L$50),TRUNC(G109*3.412*1000*I109*H109*F109,0),TRUNC(G109*I109*H109*F109,0))</f>
        <v>#N/A</v>
      </c>
      <c r="K109" s="306" t="e">
        <f t="array" ref="K109">_xlfn.IFS(AND(C109=$L$48,$F$103=$G$52),VLOOKUP(I109,$P$109:$R$116,3,0),AND(C109=$L$48,$F$103=$G$53),VLOOKUP(I109,$P$109:$R$116,2,0),AND(C109=$L$51,$F$103=$G$52),VLOOKUP(I109,$S$109:$U$116,3,0),AND(C109=$L$51,$F$103=$G$53),VLOOKUP(I109,$S$109:$U$116,2,0),AND(C109=$L$49,$F$103=$G$52),$X$118,AND(C109=$L$49,$F$103=$G$53),$W$118,AND(C109=$L$50,$F$103=$G$52),VLOOKUP(I109,$Y$121:$AA$122,3,0),AND(C109=$L$50,$F$103=$G$53),VLOOKUP(I109,$Y$121:$AA$122,2,0))</f>
        <v>#N/A</v>
      </c>
      <c r="L109" s="305" t="e">
        <f>TRUNC(J109*K109,2)</f>
        <v>#N/A</v>
      </c>
      <c r="M109" s="305" t="e">
        <f>IF(OR(C109=0,D109=0,E109=0,F109=0,G109=0,$F$103=0,$F$106=0,0),0,L109)</f>
        <v>#N/A</v>
      </c>
      <c r="N109" s="310" t="s">
        <v>4993</v>
      </c>
      <c r="O109" s="300" t="s">
        <v>4987</v>
      </c>
      <c r="P109" s="306">
        <f t="shared" ref="P109:Q116" si="0">E14</f>
        <v>332.87470605850893</v>
      </c>
      <c r="Q109" s="306">
        <f t="shared" si="0"/>
        <v>1.1184000000000001</v>
      </c>
      <c r="R109" s="306">
        <f t="shared" ref="R109:R116" si="1">IF($F$102=$G$48,Q109,G14)</f>
        <v>1.3422000000000001</v>
      </c>
      <c r="S109" s="306">
        <f>E3</f>
        <v>332.87470605850893</v>
      </c>
      <c r="T109" s="306">
        <f>F3</f>
        <v>0.83689999999999998</v>
      </c>
      <c r="U109" s="306">
        <f t="shared" ref="U109:U116" si="2">IF($F$102=$G$48,T109,G3)</f>
        <v>1.0043</v>
      </c>
    </row>
    <row r="110" spans="1:27">
      <c r="C110" s="300" t="str">
        <f>'4. Calcul Énergir et HQ'!F48</f>
        <v>Choisir…</v>
      </c>
      <c r="D110" s="300" t="str">
        <f>'4. Calcul Énergir et HQ'!W48</f>
        <v>Choisir…</v>
      </c>
      <c r="E110" s="300" t="str">
        <f>'4. Calcul Énergir et HQ'!AL48</f>
        <v>Choisir…</v>
      </c>
      <c r="F110" s="300">
        <f>'4. Calcul Énergir et HQ'!BD48</f>
        <v>0</v>
      </c>
      <c r="G110" s="300">
        <f>'4. Calcul Énergir et HQ'!BH48</f>
        <v>0</v>
      </c>
      <c r="H110" s="331" t="e">
        <f t="array" ref="H110">_xlfn.IFS(C110=$L$48,1,C110=0,0,E110=$I$3,$J$3,AND(E110=$I$4,$F$106=$J$2),$J$4,AND(E110=$I$4,$F$106=$K$2),$K$4,AND(E110=$I$5,$F$106=$J$2),$J$5,AND(E110=$I$5,$F$106=$K$2),$K$5,AND(E110=$I$6,$F$106=$J$2),$J$6,AND(E110=$I$6,$F$106=$K$2),$K$6,AND(E110=$I$7,$F$106=$J$2),$J$7,AND(E110=$I$7,$F$106=$K$2),$K$7,E110=0,0,$F$106=0,0)</f>
        <v>#N/A</v>
      </c>
      <c r="I110" s="308" t="e">
        <f t="array" ref="I110">_xlfn.IFS(AND(OR(C110=$L$48,C110=$L$51),D110=$N$109,$F$106=$O$109),$P$109,AND(OR(C110=$L$48,C110=$L$51),D110=$N$110,$F$106=$O$110),$P$110,AND(OR(C110=$L$48,C110=$L$51),D110=$N$111,$F$106=$O$111),$P$111,AND(OR(C110=$L$48,C110=$L$51),D110=$N$112,$F$106=$O$112),$P$112,AND(OR(C110=$L$48,C110=$L$51),D110=$N$113,$F$106=$O$113),$P$113,AND(OR(C110=$L$48,C110=$L$51),D110=$N$114,$F$106=$O$114),$P$114,AND(OR(C110=$L$48,C110=$L$51),D110=$N$115,$F$106=$O$115),$P$115,AND(OR(C110=$L$48,C110=$L$51),D110=$N$116,$F$106=$O$116),$P$116,AND(C110=$L$49,$F$106=$O$118),$V$118,AND(C110=$L$49,$F$106=$O$119),$V$119,AND(C110=$L$50,$F$106=$O$121),$Y$121,AND(C110=$L$50,$F$106=$O$122),$Y$122)</f>
        <v>#N/A</v>
      </c>
      <c r="J110" s="311" t="e">
        <f>IF(OR(C110=$L$49,C110=$L$50),TRUNC(G110*3.412*1000*I110*H110*F110,0),TRUNC(G110*I110*H110*F110,0))</f>
        <v>#N/A</v>
      </c>
      <c r="K110" s="306" t="e">
        <f t="array" ref="K110">_xlfn.IFS(AND(C110=$L$48,$F$103=$G$52),VLOOKUP(I110,$P$109:$R$116,3,0),AND(C110=$L$48,$F$103=$G$53),VLOOKUP(I110,$P$109:$R$116,2,0),AND(C110=$L$51,$F$103=$G$52),VLOOKUP(I110,$S$109:$U$116,3,0),AND(C110=$L$51,$F$103=$G$53),VLOOKUP(I110,$S$109:$U$116,2,0),AND(C110=$L$49,$F$103=$G$52),$X$118,AND(C110=$L$49,$F$103=$G$53),$W$118,AND(C110=$L$50,$F$103=$G$52),VLOOKUP(I110,$Y$121:$AA$122,3,0),AND(C110=$L$50,$F$103=$G$53),VLOOKUP(I110,$Y$121:$AA$122,2,0))</f>
        <v>#N/A</v>
      </c>
      <c r="L110" s="305" t="e">
        <f>TRUNC(J110*K110,2)</f>
        <v>#N/A</v>
      </c>
      <c r="M110" s="305" t="e">
        <f>IF(OR(C110=0,D110=0,E110=0,F110=0,G110=0,$F$103=0,$F$106=0,0),0,L110)</f>
        <v>#N/A</v>
      </c>
      <c r="N110" s="310" t="s">
        <v>4993</v>
      </c>
      <c r="O110" s="300" t="s">
        <v>4988</v>
      </c>
      <c r="P110" s="306">
        <f t="shared" si="0"/>
        <v>382.13365062203724</v>
      </c>
      <c r="Q110" s="306">
        <f t="shared" si="0"/>
        <v>0.97430000000000005</v>
      </c>
      <c r="R110" s="306">
        <f t="shared" si="1"/>
        <v>1.1691</v>
      </c>
      <c r="S110" s="306">
        <f>E4</f>
        <v>382.13365062203724</v>
      </c>
      <c r="T110" s="306">
        <f>F4</f>
        <v>0.72850000000000004</v>
      </c>
      <c r="U110" s="306">
        <f t="shared" si="2"/>
        <v>0.87019999999999997</v>
      </c>
    </row>
    <row r="111" spans="1:27">
      <c r="C111" s="300" t="str">
        <f>'4. Calcul Énergir et HQ'!F49</f>
        <v>Choisir…</v>
      </c>
      <c r="D111" s="300" t="str">
        <f>'4. Calcul Énergir et HQ'!W49</f>
        <v>Choisir…</v>
      </c>
      <c r="E111" s="300" t="str">
        <f>'4. Calcul Énergir et HQ'!AL49</f>
        <v>Choisir…</v>
      </c>
      <c r="F111" s="300">
        <f>'4. Calcul Énergir et HQ'!BD49</f>
        <v>0</v>
      </c>
      <c r="G111" s="300">
        <f>'4. Calcul Énergir et HQ'!BH49</f>
        <v>0</v>
      </c>
      <c r="H111" s="331" t="e">
        <f t="array" ref="H111">_xlfn.IFS(C111=$L$48,1,C111=0,0,E111=$I$3,$J$3,AND(E111=$I$4,$F$106=$J$2),$J$4,AND(E111=$I$4,$F$106=$K$2),$K$4,AND(E111=$I$5,$F$106=$J$2),$J$5,AND(E111=$I$5,$F$106=$K$2),$K$5,AND(E111=$I$6,$F$106=$J$2),$J$6,AND(E111=$I$6,$F$106=$K$2),$K$6,AND(E111=$I$7,$F$106=$J$2),$J$7,AND(E111=$I$7,$F$106=$K$2),$K$7,E111=0,0,$F$106=0,0)</f>
        <v>#N/A</v>
      </c>
      <c r="I111" s="308" t="e">
        <f t="array" ref="I111">_xlfn.IFS(AND(OR(C111=$L$48,C111=$L$51),D111=$N$109,$F$106=$O$109),$P$109,AND(OR(C111=$L$48,C111=$L$51),D111=$N$110,$F$106=$O$110),$P$110,AND(OR(C111=$L$48,C111=$L$51),D111=$N$111,$F$106=$O$111),$P$111,AND(OR(C111=$L$48,C111=$L$51),D111=$N$112,$F$106=$O$112),$P$112,AND(OR(C111=$L$48,C111=$L$51),D111=$N$113,$F$106=$O$113),$P$113,AND(OR(C111=$L$48,C111=$L$51),D111=$N$114,$F$106=$O$114),$P$114,AND(OR(C111=$L$48,C111=$L$51),D111=$N$115,$F$106=$O$115),$P$115,AND(OR(C111=$L$48,C111=$L$51),D111=$N$116,$F$106=$O$116),$P$116,AND(C111=$L$49,$F$106=$O$118),$V$118,AND(C111=$L$49,$F$106=$O$119),$V$119,AND(C111=$L$50,$F$106=$O$121),$Y$121,AND(C111=$L$50,$F$106=$O$122),$Y$122)</f>
        <v>#N/A</v>
      </c>
      <c r="J111" s="311" t="e">
        <f>IF(OR(C111=$L$49,C111=$L$50),TRUNC(G111*3.412*1000*I111*H111*F111,0),TRUNC(G111*I111*H111*F111,0))</f>
        <v>#N/A</v>
      </c>
      <c r="K111" s="306" t="e">
        <f t="array" ref="K111">_xlfn.IFS(AND(C111=$L$48,$F$103=$G$52),VLOOKUP(I111,$P$109:$R$116,3,0),AND(C111=$L$48,$F$103=$G$53),VLOOKUP(I111,$P$109:$R$116,2,0),AND(C111=$L$51,$F$103=$G$52),VLOOKUP(I111,$S$109:$U$116,3,0),AND(C111=$L$51,$F$103=$G$53),VLOOKUP(I111,$S$109:$U$116,2,0),AND(C111=$L$49,$F$103=$G$52),$X$118,AND(C111=$L$49,$F$103=$G$53),$W$118,AND(C111=$L$50,$F$103=$G$52),VLOOKUP(I111,$Y$121:$AA$122,3,0),AND(C111=$L$50,$F$103=$G$53),VLOOKUP(I111,$Y$121:$AA$122,2,0))</f>
        <v>#N/A</v>
      </c>
      <c r="L111" s="305" t="e">
        <f>TRUNC(J111*K111,2)</f>
        <v>#N/A</v>
      </c>
      <c r="M111" s="305" t="e">
        <f>IF(OR(C111=0,D111=0,E111=0,F111=0,G111=0,$F$103=0,$F$106=0,0),0,L111)</f>
        <v>#N/A</v>
      </c>
      <c r="N111" s="310" t="s">
        <v>4992</v>
      </c>
      <c r="O111" s="300" t="s">
        <v>4987</v>
      </c>
      <c r="P111" s="306">
        <f t="shared" si="0"/>
        <v>350.55119999999999</v>
      </c>
      <c r="Q111" s="306">
        <f t="shared" si="0"/>
        <v>1.1184000000000001</v>
      </c>
      <c r="R111" s="306">
        <f t="shared" si="1"/>
        <v>1.3422000000000001</v>
      </c>
      <c r="S111" s="306">
        <f>E9</f>
        <v>350.55119999999999</v>
      </c>
      <c r="T111" s="306">
        <f>F9</f>
        <v>0.83689999999999998</v>
      </c>
      <c r="U111" s="306">
        <f t="shared" si="2"/>
        <v>1.0043</v>
      </c>
    </row>
    <row r="112" spans="1:27">
      <c r="C112" s="300" t="str">
        <f>'4. Calcul Énergir et HQ'!F50</f>
        <v>Choisir…</v>
      </c>
      <c r="D112" s="300" t="str">
        <f>'4. Calcul Énergir et HQ'!W50</f>
        <v>Choisir…</v>
      </c>
      <c r="E112" s="300" t="str">
        <f>'4. Calcul Énergir et HQ'!AL50</f>
        <v>Choisir…</v>
      </c>
      <c r="F112" s="300">
        <f>'4. Calcul Énergir et HQ'!BD50</f>
        <v>0</v>
      </c>
      <c r="G112" s="300">
        <f>'4. Calcul Énergir et HQ'!BH50</f>
        <v>0</v>
      </c>
      <c r="H112" s="331" t="e">
        <f t="array" ref="H112">_xlfn.IFS(C112=$L$48,1,C112=0,0,E112=$I$3,$J$3,AND(E112=$I$4,$F$106=$J$2),$J$4,AND(E112=$I$4,$F$106=$K$2),$K$4,AND(E112=$I$5,$F$106=$J$2),$J$5,AND(E112=$I$5,$F$106=$K$2),$K$5,AND(E112=$I$6,$F$106=$J$2),$J$6,AND(E112=$I$6,$F$106=$K$2),$K$6,AND(E112=$I$7,$F$106=$J$2),$J$7,AND(E112=$I$7,$F$106=$K$2),$K$7,E112=0,0,$F$106=0,0)</f>
        <v>#N/A</v>
      </c>
      <c r="I112" s="308" t="e">
        <f t="array" ref="I112">_xlfn.IFS(AND(OR(C112=$L$48,C112=$L$51),D112=$N$109,$F$106=$O$109),$P$109,AND(OR(C112=$L$48,C112=$L$51),D112=$N$110,$F$106=$O$110),$P$110,AND(OR(C112=$L$48,C112=$L$51),D112=$N$111,$F$106=$O$111),$P$111,AND(OR(C112=$L$48,C112=$L$51),D112=$N$112,$F$106=$O$112),$P$112,AND(OR(C112=$L$48,C112=$L$51),D112=$N$113,$F$106=$O$113),$P$113,AND(OR(C112=$L$48,C112=$L$51),D112=$N$114,$F$106=$O$114),$P$114,AND(OR(C112=$L$48,C112=$L$51),D112=$N$115,$F$106=$O$115),$P$115,AND(OR(C112=$L$48,C112=$L$51),D112=$N$116,$F$106=$O$116),$P$116,AND(C112=$L$49,$F$106=$O$118),$V$118,AND(C112=$L$49,$F$106=$O$119),$V$119,AND(C112=$L$50,$F$106=$O$121),$Y$121,AND(C112=$L$50,$F$106=$O$122),$Y$122)</f>
        <v>#N/A</v>
      </c>
      <c r="J112" s="311" t="e">
        <f>IF(OR(C112=$L$49,C112=$L$50),TRUNC(G112*3.412*1000*I112*H112*F112,0),TRUNC(G112*I112*H112*F112,0))</f>
        <v>#N/A</v>
      </c>
      <c r="K112" s="306" t="e">
        <f t="array" ref="K112">_xlfn.IFS(AND(C112=$L$48,$F$103=$G$52),VLOOKUP(I112,$P$109:$R$116,3,0),AND(C112=$L$48,$F$103=$G$53),VLOOKUP(I112,$P$109:$R$116,2,0),AND(C112=$L$51,$F$103=$G$52),VLOOKUP(I112,$S$109:$U$116,3,0),AND(C112=$L$51,$F$103=$G$53),VLOOKUP(I112,$S$109:$U$116,2,0),AND(C112=$L$49,$F$103=$G$52),$X$118,AND(C112=$L$49,$F$103=$G$53),$W$118,AND(C112=$L$50,$F$103=$G$52),VLOOKUP(I112,$Y$121:$AA$122,3,0),AND(C112=$L$50,$F$103=$G$53),VLOOKUP(I112,$Y$121:$AA$122,2,0))</f>
        <v>#N/A</v>
      </c>
      <c r="L112" s="305" t="e">
        <f>TRUNC(J112*K112,2)</f>
        <v>#N/A</v>
      </c>
      <c r="M112" s="305" t="e">
        <f>IF(OR(C112=0,D112=0,E112=0,F112=0,G112=0,$F$103=0,$F$106=0,0),0,L112)</f>
        <v>#N/A</v>
      </c>
      <c r="N112" s="310" t="s">
        <v>4992</v>
      </c>
      <c r="O112" s="300" t="s">
        <v>4988</v>
      </c>
      <c r="P112" s="306">
        <f t="shared" si="0"/>
        <v>449.72919999999999</v>
      </c>
      <c r="Q112" s="306">
        <f t="shared" si="0"/>
        <v>0.97430000000000005</v>
      </c>
      <c r="R112" s="306">
        <f t="shared" si="1"/>
        <v>1.1691</v>
      </c>
      <c r="S112" s="306">
        <f>E10</f>
        <v>449.72919999999999</v>
      </c>
      <c r="T112" s="306">
        <f>F10</f>
        <v>0.72850000000000004</v>
      </c>
      <c r="U112" s="306">
        <f t="shared" si="2"/>
        <v>0.87019999999999997</v>
      </c>
    </row>
    <row r="113" spans="3:27">
      <c r="C113" s="300" t="str">
        <f>'4. Calcul Énergir et HQ'!F51</f>
        <v>Choisir…</v>
      </c>
      <c r="D113" s="300" t="str">
        <f>'4. Calcul Énergir et HQ'!W51</f>
        <v>Choisir…</v>
      </c>
      <c r="E113" s="300" t="str">
        <f>'4. Calcul Énergir et HQ'!AL51</f>
        <v>Choisir…</v>
      </c>
      <c r="F113" s="300">
        <f>'4. Calcul Énergir et HQ'!BD51</f>
        <v>0</v>
      </c>
      <c r="G113" s="300">
        <f>'4. Calcul Énergir et HQ'!BH51</f>
        <v>0</v>
      </c>
      <c r="H113" s="331" t="e">
        <f t="array" ref="H113">_xlfn.IFS(C113=$L$48,1,C113=0,0,E113=$I$3,$J$3,AND(E113=$I$4,$F$106=$J$2),$J$4,AND(E113=$I$4,$F$106=$K$2),$K$4,AND(E113=$I$5,$F$106=$J$2),$J$5,AND(E113=$I$5,$F$106=$K$2),$K$5,AND(E113=$I$6,$F$106=$J$2),$J$6,AND(E113=$I$6,$F$106=$K$2),$K$6,AND(E113=$I$7,$F$106=$J$2),$J$7,AND(E113=$I$7,$F$106=$K$2),$K$7,E113=0,0,$F$106=0,0)</f>
        <v>#N/A</v>
      </c>
      <c r="I113" s="308" t="e">
        <f t="array" ref="I113">_xlfn.IFS(AND(OR(C113=$L$48,C113=$L$51),D113=$N$109,$F$106=$O$109),$P$109,AND(OR(C113=$L$48,C113=$L$51),D113=$N$110,$F$106=$O$110),$P$110,AND(OR(C113=$L$48,C113=$L$51),D113=$N$111,$F$106=$O$111),$P$111,AND(OR(C113=$L$48,C113=$L$51),D113=$N$112,$F$106=$O$112),$P$112,AND(OR(C113=$L$48,C113=$L$51),D113=$N$113,$F$106=$O$113),$P$113,AND(OR(C113=$L$48,C113=$L$51),D113=$N$114,$F$106=$O$114),$P$114,AND(OR(C113=$L$48,C113=$L$51),D113=$N$115,$F$106=$O$115),$P$115,AND(OR(C113=$L$48,C113=$L$51),D113=$N$116,$F$106=$O$116),$P$116,AND(C113=$L$49,$F$106=$O$118),$V$118,AND(C113=$L$49,$F$106=$O$119),$V$119,AND(C113=$L$50,$F$106=$O$121),$Y$121,AND(C113=$L$50,$F$106=$O$122),$Y$122)</f>
        <v>#N/A</v>
      </c>
      <c r="J113" s="311" t="e">
        <f>IF(OR(C113=$L$49,C113=$L$50),TRUNC(G113*3.412*1000*I113*H113*F113,0),TRUNC(G113*I113*H113*F113,0))</f>
        <v>#N/A</v>
      </c>
      <c r="K113" s="306" t="e">
        <f t="array" ref="K113">_xlfn.IFS(AND(C113=$L$48,$F$103=$G$52),VLOOKUP(I113,$P$109:$R$116,3,0),AND(C113=$L$48,$F$103=$G$53),VLOOKUP(I113,$P$109:$R$116,2,0),AND(C113=$L$51,$F$103=$G$52),VLOOKUP(I113,$S$109:$U$116,3,0),AND(C113=$L$51,$F$103=$G$53),VLOOKUP(I113,$S$109:$U$116,2,0),AND(C113=$L$49,$F$103=$G$52),$X$118,AND(C113=$L$49,$F$103=$G$53),$W$118,AND(C113=$L$50,$F$103=$G$52),VLOOKUP(I113,$Y$121:$AA$122,3,0),AND(C113=$L$50,$F$103=$G$53),VLOOKUP(I113,$Y$121:$AA$122,2,0))</f>
        <v>#N/A</v>
      </c>
      <c r="L113" s="305" t="e">
        <f>TRUNC(J113*K113,2)</f>
        <v>#N/A</v>
      </c>
      <c r="M113" s="305" t="e">
        <f>IF(OR(C113=0,D113=0,E113=0,F113=0,G113=0,$F$103=0,$F$106=0,0),0,L113)</f>
        <v>#N/A</v>
      </c>
      <c r="N113" s="310" t="s">
        <v>4991</v>
      </c>
      <c r="O113" s="300" t="s">
        <v>4987</v>
      </c>
      <c r="P113" s="306">
        <f t="shared" si="0"/>
        <v>489.4785131812161</v>
      </c>
      <c r="Q113" s="306">
        <f t="shared" si="0"/>
        <v>1.1184000000000001</v>
      </c>
      <c r="R113" s="306">
        <f t="shared" si="1"/>
        <v>1.3422000000000001</v>
      </c>
      <c r="S113" s="306">
        <f>E7</f>
        <v>489.4785131812161</v>
      </c>
      <c r="T113" s="306">
        <f>F7</f>
        <v>0.83689999999999998</v>
      </c>
      <c r="U113" s="306">
        <f t="shared" si="2"/>
        <v>1.0043</v>
      </c>
    </row>
    <row r="114" spans="3:27">
      <c r="K114" s="306"/>
      <c r="L114" s="305"/>
      <c r="N114" s="310" t="s">
        <v>4991</v>
      </c>
      <c r="O114" s="300" t="s">
        <v>4988</v>
      </c>
      <c r="P114" s="306">
        <f t="shared" si="0"/>
        <v>562.319959445824</v>
      </c>
      <c r="Q114" s="306">
        <f t="shared" si="0"/>
        <v>0.97430000000000005</v>
      </c>
      <c r="R114" s="306">
        <f t="shared" si="1"/>
        <v>1.1691</v>
      </c>
      <c r="S114" s="306">
        <f>E8</f>
        <v>562.319959445824</v>
      </c>
      <c r="T114" s="306">
        <f>F8</f>
        <v>0.72850000000000004</v>
      </c>
      <c r="U114" s="306">
        <f t="shared" si="2"/>
        <v>0.87019999999999997</v>
      </c>
    </row>
    <row r="115" spans="3:27">
      <c r="C115" s="300" t="s">
        <v>5587</v>
      </c>
      <c r="D115" s="307">
        <f>SUM(Z133:Z137)</f>
        <v>0</v>
      </c>
      <c r="K115" s="306"/>
      <c r="L115" s="305"/>
      <c r="N115" s="310" t="s">
        <v>4990</v>
      </c>
      <c r="O115" s="300" t="s">
        <v>4987</v>
      </c>
      <c r="P115" s="306">
        <f t="shared" si="0"/>
        <v>538.26103838215056</v>
      </c>
      <c r="Q115" s="306">
        <f t="shared" si="0"/>
        <v>1.1184000000000001</v>
      </c>
      <c r="R115" s="306">
        <f t="shared" si="1"/>
        <v>1.3422000000000001</v>
      </c>
      <c r="S115" s="306">
        <f>E5</f>
        <v>538.26103838215056</v>
      </c>
      <c r="T115" s="306">
        <f>F5</f>
        <v>0.83689999999999998</v>
      </c>
      <c r="U115" s="306">
        <f t="shared" si="2"/>
        <v>1.0043</v>
      </c>
    </row>
    <row r="116" spans="3:27">
      <c r="C116" s="300" t="s">
        <v>5588</v>
      </c>
      <c r="D116" s="307">
        <f>SUM(Z167:Z171)</f>
        <v>0</v>
      </c>
      <c r="K116" s="306"/>
      <c r="L116" s="305"/>
      <c r="N116" s="310" t="s">
        <v>4990</v>
      </c>
      <c r="O116" s="300" t="s">
        <v>4988</v>
      </c>
      <c r="P116" s="306">
        <f t="shared" si="0"/>
        <v>617.78671552746516</v>
      </c>
      <c r="Q116" s="306">
        <f t="shared" si="0"/>
        <v>0.97430000000000005</v>
      </c>
      <c r="R116" s="306">
        <f t="shared" si="1"/>
        <v>1.1691</v>
      </c>
      <c r="S116" s="306">
        <f>E6</f>
        <v>617.78671552746516</v>
      </c>
      <c r="T116" s="306">
        <f>F6</f>
        <v>0.72850000000000004</v>
      </c>
      <c r="U116" s="306">
        <f t="shared" si="2"/>
        <v>0.87019999999999997</v>
      </c>
    </row>
    <row r="117" spans="3:27">
      <c r="C117" s="300" t="s">
        <v>5589</v>
      </c>
      <c r="D117" s="307">
        <f>SUM(Y200:Y204)</f>
        <v>0</v>
      </c>
      <c r="Q117" s="309"/>
      <c r="R117" s="308"/>
    </row>
    <row r="118" spans="3:27">
      <c r="C118" s="300" t="s">
        <v>5590</v>
      </c>
      <c r="D118" s="307">
        <f>SUM(Y225:Y229)</f>
        <v>0</v>
      </c>
      <c r="N118" s="310" t="str">
        <f>B28</f>
        <v>Thermopompe efficace</v>
      </c>
      <c r="O118" s="300" t="s">
        <v>4988</v>
      </c>
      <c r="Q118" s="309"/>
      <c r="R118" s="308"/>
      <c r="V118" s="306">
        <f>F28</f>
        <v>0.26600000000000001</v>
      </c>
      <c r="W118" s="306">
        <f>G28</f>
        <v>0.18796992481203006</v>
      </c>
      <c r="X118" s="306">
        <f>IF(F102=G48,W118,H28)</f>
        <v>0.22556390977443608</v>
      </c>
    </row>
    <row r="119" spans="3:27">
      <c r="C119" s="300" t="s">
        <v>5586</v>
      </c>
      <c r="D119" s="307">
        <f>'4. Calcul Énergir et HQ'!W77</f>
        <v>0</v>
      </c>
      <c r="N119" s="300" t="str">
        <f>N118</f>
        <v>Thermopompe efficace</v>
      </c>
      <c r="O119" s="300" t="s">
        <v>4987</v>
      </c>
      <c r="Q119" s="309"/>
      <c r="R119" s="308"/>
      <c r="V119" s="300">
        <v>0</v>
      </c>
    </row>
    <row r="121" spans="3:27">
      <c r="C121" s="300" t="s">
        <v>4989</v>
      </c>
      <c r="D121" s="307">
        <f>SUM(D115:D119)</f>
        <v>0</v>
      </c>
      <c r="N121" s="300" t="str">
        <f>I28</f>
        <v xml:space="preserve">Thermopompe à très haute efficacité </v>
      </c>
      <c r="O121" s="300" t="s">
        <v>4988</v>
      </c>
      <c r="Y121" s="306">
        <f>L28</f>
        <v>0.30399999999999999</v>
      </c>
      <c r="Z121" s="306">
        <f>M28</f>
        <v>0.46052631578947367</v>
      </c>
      <c r="AA121" s="306">
        <f>IF($F$102=$G$48,Z121,N28)</f>
        <v>0.55263157894736836</v>
      </c>
    </row>
    <row r="122" spans="3:27">
      <c r="C122" s="300" t="s">
        <v>5585</v>
      </c>
      <c r="N122" s="300" t="str">
        <f>I29</f>
        <v xml:space="preserve">Thermopompe à très haute efficacité </v>
      </c>
      <c r="O122" s="300" t="s">
        <v>4987</v>
      </c>
      <c r="S122" s="305"/>
      <c r="Y122" s="306">
        <f>L29</f>
        <v>0.26600000000000001</v>
      </c>
      <c r="Z122" s="306">
        <f>M29</f>
        <v>0.45112781954887216</v>
      </c>
      <c r="AA122" s="306">
        <f>IF($F$102=$G$48,Z122,N29)</f>
        <v>0.54135338345864659</v>
      </c>
    </row>
    <row r="125" spans="3:27">
      <c r="S125" s="305"/>
      <c r="W125" s="300" t="b">
        <f>EXACT(Q134,N139)</f>
        <v>1</v>
      </c>
    </row>
    <row r="126" spans="3:27">
      <c r="S126" s="305"/>
    </row>
    <row r="127" spans="3:27">
      <c r="S127" s="305"/>
    </row>
    <row r="128" spans="3:27">
      <c r="S128" s="305"/>
      <c r="V128" s="300" t="s">
        <v>4969</v>
      </c>
      <c r="W128" s="300" t="str">
        <f>IF(F102=G48,G53,F103)</f>
        <v>Choisir…</v>
      </c>
    </row>
    <row r="129" spans="14:28">
      <c r="V129" s="300" t="s">
        <v>4968</v>
      </c>
      <c r="W129" s="300" t="e">
        <f>F106</f>
        <v>#N/A</v>
      </c>
    </row>
    <row r="131" spans="14:28">
      <c r="O131" s="1549" t="s">
        <v>5566</v>
      </c>
      <c r="P131" s="1549"/>
      <c r="Q131" s="1549"/>
      <c r="R131" s="1549"/>
      <c r="S131" s="1549"/>
      <c r="T131" s="1549"/>
      <c r="U131" s="1549"/>
      <c r="V131" s="1549"/>
      <c r="W131" s="1549"/>
      <c r="X131" s="1549"/>
      <c r="Y131" s="1549"/>
      <c r="Z131" s="1549"/>
      <c r="AA131" s="1549"/>
      <c r="AB131" s="1549"/>
    </row>
    <row r="132" spans="14:28">
      <c r="N132" s="300" t="s">
        <v>173</v>
      </c>
      <c r="O132" s="300" t="str">
        <f>'4. Calcul Énergir et HQ'!F46</f>
        <v>Type de mesure</v>
      </c>
      <c r="P132" s="300" t="str">
        <f>'4. Calcul Énergir et HQ'!W46</f>
        <v>Type de compresseur</v>
      </c>
      <c r="Q132" s="300" t="str">
        <f>'4. Calcul Énergir et HQ'!AL46</f>
        <v>Bonification Microclimat</v>
      </c>
      <c r="R132" s="300" t="str">
        <f>'4. Calcul Énergir et HQ'!BD46</f>
        <v>Nombre</v>
      </c>
      <c r="S132" s="300" t="str">
        <f>'4. Calcul Énergir et HQ'!BH46</f>
        <v>Puissance
de chauffage
à 47 °F (kW)</v>
      </c>
      <c r="T132" s="304" t="s">
        <v>5583</v>
      </c>
      <c r="U132" s="304" t="s">
        <v>5584</v>
      </c>
      <c r="V132" s="314" t="s">
        <v>5002</v>
      </c>
      <c r="W132" s="314" t="s">
        <v>5001</v>
      </c>
      <c r="X132" s="314" t="s">
        <v>5000</v>
      </c>
      <c r="Y132" s="314" t="s">
        <v>4999</v>
      </c>
      <c r="Z132" s="300" t="s">
        <v>4998</v>
      </c>
      <c r="AA132" s="300" t="s">
        <v>5582</v>
      </c>
    </row>
    <row r="133" spans="14:28">
      <c r="N133" s="300" t="s">
        <v>5563</v>
      </c>
      <c r="O133" s="300" t="str">
        <f>'4. Calcul Énergir et HQ'!F47</f>
        <v>Choisir…</v>
      </c>
      <c r="P133" s="300" t="str">
        <f>'4. Calcul Énergir et HQ'!W47</f>
        <v>Choisir…</v>
      </c>
      <c r="Q133" s="300" t="str">
        <f>'4. Calcul Énergir et HQ'!AL47</f>
        <v>Choisir…</v>
      </c>
      <c r="R133" s="300">
        <f>'4. Calcul Énergir et HQ'!BD47</f>
        <v>0</v>
      </c>
      <c r="S133" s="300">
        <f>'4. Calcul Énergir et HQ'!BH47</f>
        <v>0</v>
      </c>
      <c r="T133" s="300">
        <f t="array" ref="T133">_xlfn.IFS(OR(Q133=$N$155,O133=$N$133),1,Q133=$N$139,0,$W$129=$O$154,VLOOKUP(Q133,$N$156:$O$159,2,FALSE),$W$129=$Q$154,VLOOKUP(Q133,$N$156:$Q$159,4,FALSE))</f>
        <v>0</v>
      </c>
      <c r="U133" s="300">
        <f t="array" ref="U133">_xlfn.IFS(OR(Q133=$N$155,O133=$N$133),1,Q133=$N$139,0,$W$129=$O$154,VLOOKUP(Q133,$N$156:$P$159,3,FALSE),$W$129=$Q$154,VLOOKUP(Q133,$N$156:$R$159,5,FALSE))</f>
        <v>0</v>
      </c>
      <c r="V133" s="300">
        <f t="array" ref="V133">_xlfn.IFS(P133=$N$139,0,P133=$N$146,VLOOKUP($W$129,$O$146:$P$147,2,FALSE),P133=$N$150,VLOOKUP($W$129,$O$150:$P$151,2,FALSE))</f>
        <v>0</v>
      </c>
      <c r="W133" s="300">
        <f>TRUNC((R133*S133*T133*V133),0)</f>
        <v>0</v>
      </c>
      <c r="X133" s="300">
        <f t="array" ref="X133">_xlfn.IFS(P133=$N$139,0,AND(P133=$N$146,$W$128=$Q$145),VLOOKUP($W$129,$O$146:$R$147,3,FALSE),AND(P133=$N$146,$W$128=$R$145),VLOOKUP($W$129,$O$146:$R$147,4,FALSE),AND(P133=$N$150,$W$128=$Q$145),VLOOKUP($W$129,$O$150:$R$151,3,FALSE),AND(P133=$N$150,$W$128=$R$145),VLOOKUP($W$129,$O$150:$R$151,4,FALSE))</f>
        <v>0</v>
      </c>
      <c r="Y133" s="410">
        <f>TRUNC((W133*X133*U133),2)</f>
        <v>0</v>
      </c>
      <c r="Z133" s="307">
        <f>Y133</f>
        <v>0</v>
      </c>
      <c r="AA133" s="300">
        <f>W133</f>
        <v>0</v>
      </c>
    </row>
    <row r="134" spans="14:28">
      <c r="N134" s="300" t="s">
        <v>5564</v>
      </c>
      <c r="O134" s="300" t="str">
        <f>'4. Calcul Énergir et HQ'!F48</f>
        <v>Choisir…</v>
      </c>
      <c r="P134" s="300" t="str">
        <f>'4. Calcul Énergir et HQ'!W48</f>
        <v>Choisir…</v>
      </c>
      <c r="Q134" s="300" t="str">
        <f>'4. Calcul Énergir et HQ'!AL48</f>
        <v>Choisir…</v>
      </c>
      <c r="R134" s="300">
        <f>'4. Calcul Énergir et HQ'!BD48</f>
        <v>0</v>
      </c>
      <c r="S134" s="300">
        <f>'4. Calcul Énergir et HQ'!BH48</f>
        <v>0</v>
      </c>
      <c r="T134" s="300">
        <f t="array" ref="T134">_xlfn.IFS(OR(Q134=$N$155,O134=$N$133),1,Q134=$N$139,0,$W$129=$O$154,VLOOKUP(Q134,$N$156:$O$159,2,FALSE),$W$129=$Q$154,VLOOKUP(Q134,$N$156:$Q$159,4,FALSE))</f>
        <v>0</v>
      </c>
      <c r="U134" s="300">
        <f t="array" ref="U134">_xlfn.IFS(OR(Q134=$N$155,O134=$N$133),1,Q134=$N$139,0,$W$129=$O$154,VLOOKUP(Q134,$N$156:$P$159,3,FALSE),$W$129=$Q$154,VLOOKUP(Q134,$N$156:$R$159,5,FALSE))</f>
        <v>0</v>
      </c>
      <c r="V134" s="300">
        <f t="array" ref="V134">_xlfn.IFS(P134=$N$139,0,P134=$N$146,VLOOKUP($W$129,$O$146:$P$147,2,FALSE),P134=$N$150,VLOOKUP($W$129,$O$150:$P$151,2,FALSE))</f>
        <v>0</v>
      </c>
      <c r="W134" s="300">
        <f>TRUNC((R134*S134*T134*V134),0)</f>
        <v>0</v>
      </c>
      <c r="X134" s="300">
        <f t="array" ref="X134">_xlfn.IFS(P134=$N$139,0,AND(P134=$N$146,$W$128=$Q$145),VLOOKUP($W$129,$O$146:$R$147,3,FALSE),AND(P134=$N$146,$W$128=$R$145),VLOOKUP($W$129,$O$146:$R$147,4,FALSE),AND(P134=$N$150,$W$128=$Q$145),VLOOKUP($W$129,$O$150:$R$151,3,FALSE),AND(P134=$N$150,$W$128=$R$145),VLOOKUP($W$129,$O$150:$R$151,4,FALSE))</f>
        <v>0</v>
      </c>
      <c r="Y134" s="410">
        <f>TRUNC((W134*X134*U134),2)</f>
        <v>0</v>
      </c>
      <c r="Z134" s="307">
        <f>Y134</f>
        <v>0</v>
      </c>
      <c r="AA134" s="300">
        <f>W134</f>
        <v>0</v>
      </c>
    </row>
    <row r="135" spans="14:28">
      <c r="O135" s="300" t="str">
        <f>'4. Calcul Énergir et HQ'!F49</f>
        <v>Choisir…</v>
      </c>
      <c r="P135" s="300" t="str">
        <f>'4. Calcul Énergir et HQ'!W49</f>
        <v>Choisir…</v>
      </c>
      <c r="Q135" s="300" t="str">
        <f>'4. Calcul Énergir et HQ'!AL49</f>
        <v>Choisir…</v>
      </c>
      <c r="R135" s="300">
        <f>'4. Calcul Énergir et HQ'!BD49</f>
        <v>0</v>
      </c>
      <c r="S135" s="300">
        <f>'4. Calcul Énergir et HQ'!BH49</f>
        <v>0</v>
      </c>
      <c r="T135" s="300">
        <f t="array" ref="T135">_xlfn.IFS(OR(Q135=$N$155,O135=$N$133),1,Q135=$N$139,0,$W$129=$O$154,VLOOKUP(Q135,$N$156:$O$159,2,FALSE),$W$129=$Q$154,VLOOKUP(Q135,$N$156:$Q$159,4,FALSE))</f>
        <v>0</v>
      </c>
      <c r="U135" s="300">
        <f t="array" ref="U135">_xlfn.IFS(OR(Q135=$N$155,O135=$N$133),1,Q135=$N$139,0,$W$129=$O$154,VLOOKUP(Q135,$N$156:$P$159,3,FALSE),$W$129=$Q$154,VLOOKUP(Q135,$N$156:$R$159,5,FALSE))</f>
        <v>0</v>
      </c>
      <c r="V135" s="300">
        <f t="array" ref="V135">_xlfn.IFS(P135=$N$139,0,P135=$N$146,VLOOKUP($W$129,$O$146:$P$147,2,FALSE),P135=$N$150,VLOOKUP($W$129,$O$150:$P$151,2,FALSE))</f>
        <v>0</v>
      </c>
      <c r="W135" s="300">
        <f>TRUNC((R135*S135*T135*V135),0)</f>
        <v>0</v>
      </c>
      <c r="X135" s="300">
        <f t="array" ref="X135">_xlfn.IFS(P135=$N$139,0,AND(P135=$N$146,$W$128=$Q$145),VLOOKUP($W$129,$O$146:$R$147,3,FALSE),AND(P135=$N$146,$W$128=$R$145),VLOOKUP($W$129,$O$146:$R$147,4,FALSE),AND(P135=$N$150,$W$128=$Q$145),VLOOKUP($W$129,$O$150:$R$151,3,FALSE),AND(P135=$N$150,$W$128=$R$145),VLOOKUP($W$129,$O$150:$R$151,4,FALSE))</f>
        <v>0</v>
      </c>
      <c r="Y135" s="410">
        <f>TRUNC((W135*X135*U135),2)</f>
        <v>0</v>
      </c>
      <c r="Z135" s="307">
        <f>Y135</f>
        <v>0</v>
      </c>
      <c r="AA135" s="300">
        <f>W135</f>
        <v>0</v>
      </c>
    </row>
    <row r="136" spans="14:28">
      <c r="O136" s="300" t="str">
        <f>'4. Calcul Énergir et HQ'!F50</f>
        <v>Choisir…</v>
      </c>
      <c r="P136" s="300" t="str">
        <f>'4. Calcul Énergir et HQ'!W50</f>
        <v>Choisir…</v>
      </c>
      <c r="Q136" s="300" t="str">
        <f>'4. Calcul Énergir et HQ'!AL50</f>
        <v>Choisir…</v>
      </c>
      <c r="R136" s="300">
        <f>'4. Calcul Énergir et HQ'!BD50</f>
        <v>0</v>
      </c>
      <c r="S136" s="300">
        <f>'4. Calcul Énergir et HQ'!BH50</f>
        <v>0</v>
      </c>
      <c r="T136" s="300">
        <f t="array" ref="T136">_xlfn.IFS(OR(Q136=$N$155,O136=$N$133),1,Q136=$N$139,0,$W$129=$O$154,VLOOKUP(Q136,$N$156:$O$159,2,FALSE),$W$129=$Q$154,VLOOKUP(Q136,$N$156:$Q$159,4,FALSE))</f>
        <v>0</v>
      </c>
      <c r="U136" s="300">
        <f t="array" ref="U136">_xlfn.IFS(OR(Q136=$N$155,O136=$N$133),1,Q136=$N$139,0,$W$129=$O$154,VLOOKUP(Q136,$N$156:$P$159,3,FALSE),$W$129=$Q$154,VLOOKUP(Q136,$N$156:$R$159,5,FALSE))</f>
        <v>0</v>
      </c>
      <c r="V136" s="300">
        <f t="array" ref="V136">_xlfn.IFS(P136=$N$139,0,P136=$N$146,VLOOKUP($W$129,$O$146:$P$147,2,FALSE),P136=$N$150,VLOOKUP($W$129,$O$150:$P$151,2,FALSE))</f>
        <v>0</v>
      </c>
      <c r="W136" s="300">
        <f>TRUNC((R136*S136*T136*V136),0)</f>
        <v>0</v>
      </c>
      <c r="X136" s="300">
        <f t="array" ref="X136">_xlfn.IFS(P136=$N$139,0,AND(P136=$N$146,$W$128=$Q$145),VLOOKUP($W$129,$O$146:$R$147,3,FALSE),AND(P136=$N$146,$W$128=$R$145),VLOOKUP($W$129,$O$146:$R$147,4,FALSE),AND(P136=$N$150,$W$128=$Q$145),VLOOKUP($W$129,$O$150:$R$151,3,FALSE),AND(P136=$N$150,$W$128=$R$145),VLOOKUP($W$129,$O$150:$R$151,4,FALSE))</f>
        <v>0</v>
      </c>
      <c r="Y136" s="410">
        <f>TRUNC((W136*X136*U136),2)</f>
        <v>0</v>
      </c>
      <c r="Z136" s="307">
        <f>Y136</f>
        <v>0</v>
      </c>
      <c r="AA136" s="300">
        <f>W136</f>
        <v>0</v>
      </c>
    </row>
    <row r="137" spans="14:28">
      <c r="N137" s="300" t="s">
        <v>4993</v>
      </c>
      <c r="O137" s="300" t="str">
        <f>'4. Calcul Énergir et HQ'!F51</f>
        <v>Choisir…</v>
      </c>
      <c r="P137" s="300" t="str">
        <f>'4. Calcul Énergir et HQ'!W51</f>
        <v>Choisir…</v>
      </c>
      <c r="Q137" s="300" t="str">
        <f>'4. Calcul Énergir et HQ'!AL51</f>
        <v>Choisir…</v>
      </c>
      <c r="R137" s="300">
        <f>'4. Calcul Énergir et HQ'!BD51</f>
        <v>0</v>
      </c>
      <c r="S137" s="300">
        <f>'4. Calcul Énergir et HQ'!BH51</f>
        <v>0</v>
      </c>
      <c r="T137" s="300">
        <f t="array" ref="T137">_xlfn.IFS(OR(Q137=$N$155,O137=$N$133),1,Q137=$N$139,0,$W$129=$O$154,VLOOKUP(Q137,$N$156:$O$159,2,FALSE),$W$129=$Q$154,VLOOKUP(Q137,$N$156:$Q$159,4,FALSE))</f>
        <v>0</v>
      </c>
      <c r="U137" s="300">
        <f t="array" ref="U137">_xlfn.IFS(OR(Q137=$N$155,O137=$N$133),1,Q137=$N$139,0,$W$129=$O$154,VLOOKUP(Q137,$N$156:$P$159,3,FALSE),$W$129=$Q$154,VLOOKUP(Q137,$N$156:$R$159,5,FALSE))</f>
        <v>0</v>
      </c>
      <c r="V137" s="300">
        <f t="array" ref="V137">_xlfn.IFS(P137=$N$139,0,P137=$N$146,VLOOKUP($W$129,$O$146:$P$147,2,FALSE),P137=$N$150,VLOOKUP($W$129,$O$150:$P$151,2,FALSE))</f>
        <v>0</v>
      </c>
      <c r="W137" s="300">
        <f>TRUNC((R137*S137*T137*V137),0)</f>
        <v>0</v>
      </c>
      <c r="X137" s="300">
        <f t="array" ref="X137">_xlfn.IFS(P137=$N$139,0,AND(P137=$N$146,$W$128=$Q$145),VLOOKUP($W$129,$O$146:$R$147,3,FALSE),AND(P137=$N$146,$W$128=$R$145),VLOOKUP($W$129,$O$146:$R$147,4,FALSE),AND(P137=$N$150,$W$128=$Q$145),VLOOKUP($W$129,$O$150:$R$151,3,FALSE),AND(P137=$N$150,$W$128=$R$145),VLOOKUP($W$129,$O$150:$R$151,4,FALSE))</f>
        <v>0</v>
      </c>
      <c r="Y137" s="410">
        <f>TRUNC((W137*X137*U137),2)</f>
        <v>0</v>
      </c>
      <c r="Z137" s="307">
        <f>Y137</f>
        <v>0</v>
      </c>
      <c r="AA137" s="300">
        <f>W137</f>
        <v>0</v>
      </c>
    </row>
    <row r="138" spans="14:28">
      <c r="N138" s="300" t="s">
        <v>4991</v>
      </c>
    </row>
    <row r="139" spans="14:28">
      <c r="N139" s="300" t="s">
        <v>173</v>
      </c>
    </row>
    <row r="144" spans="14:28">
      <c r="N144"/>
      <c r="O144"/>
      <c r="P144"/>
      <c r="Q144" s="1318" t="s">
        <v>5022</v>
      </c>
      <c r="R144" s="1318"/>
    </row>
    <row r="145" spans="14:18">
      <c r="N145" t="s">
        <v>4997</v>
      </c>
      <c r="O145" t="s">
        <v>441</v>
      </c>
      <c r="P145" s="14" t="s">
        <v>5002</v>
      </c>
      <c r="Q145" s="14" t="str">
        <f>G53</f>
        <v>Autre Tarif</v>
      </c>
      <c r="R145" s="300" t="s">
        <v>4994</v>
      </c>
    </row>
    <row r="146" spans="14:18">
      <c r="N146" t="s">
        <v>4993</v>
      </c>
      <c r="O146" t="s">
        <v>4987</v>
      </c>
      <c r="P146" s="515">
        <v>482.90133607907893</v>
      </c>
      <c r="Q146">
        <v>0.1723145019</v>
      </c>
      <c r="R146">
        <v>0.2067468636</v>
      </c>
    </row>
    <row r="147" spans="14:18">
      <c r="N147" t="s">
        <v>4993</v>
      </c>
      <c r="O147" t="s">
        <v>4988</v>
      </c>
      <c r="P147" s="515">
        <v>554.36128695738944</v>
      </c>
      <c r="Q147">
        <v>0.148876065</v>
      </c>
      <c r="R147">
        <v>0.17865127800000002</v>
      </c>
    </row>
    <row r="148" spans="14:18">
      <c r="N148"/>
      <c r="O148"/>
      <c r="P148" s="515"/>
      <c r="Q148"/>
      <c r="R148"/>
    </row>
    <row r="149" spans="14:18">
      <c r="N149"/>
      <c r="O149"/>
      <c r="P149" s="515"/>
      <c r="Q149"/>
      <c r="R149"/>
    </row>
    <row r="150" spans="14:18">
      <c r="N150" s="300" t="s">
        <v>4991</v>
      </c>
      <c r="O150" t="s">
        <v>4987</v>
      </c>
      <c r="P150" s="515">
        <v>710.1064147042855</v>
      </c>
      <c r="Q150" s="515">
        <v>0.94669587343859996</v>
      </c>
      <c r="R150" s="515">
        <v>1.1358672686183999</v>
      </c>
    </row>
    <row r="151" spans="14:18">
      <c r="N151" s="300" t="s">
        <v>4991</v>
      </c>
      <c r="O151" t="s">
        <v>4988</v>
      </c>
      <c r="P151" s="515">
        <v>815.74263375779856</v>
      </c>
      <c r="Q151" s="515">
        <v>0.8478343025684999</v>
      </c>
      <c r="R151" s="515">
        <v>1.0174011630822</v>
      </c>
    </row>
    <row r="154" spans="14:18">
      <c r="O154" s="1551" t="s">
        <v>4988</v>
      </c>
      <c r="P154" s="1551"/>
      <c r="Q154" s="1552" t="s">
        <v>4987</v>
      </c>
      <c r="R154" s="1552"/>
    </row>
    <row r="155" spans="14:18">
      <c r="N155" s="519" t="s">
        <v>5044</v>
      </c>
      <c r="O155" s="520" t="s">
        <v>5567</v>
      </c>
      <c r="P155" s="517" t="s">
        <v>5568</v>
      </c>
      <c r="Q155" s="520" t="s">
        <v>5567</v>
      </c>
      <c r="R155" s="520" t="s">
        <v>5568</v>
      </c>
    </row>
    <row r="156" spans="14:18">
      <c r="N156" s="519" t="s">
        <v>5043</v>
      </c>
      <c r="O156" s="521">
        <v>1.0649999999999999</v>
      </c>
      <c r="P156" s="518">
        <v>1.032</v>
      </c>
      <c r="Q156" s="519">
        <v>1.0669999999999999</v>
      </c>
      <c r="R156" s="519">
        <v>1.0256000000000001</v>
      </c>
    </row>
    <row r="157" spans="14:18">
      <c r="N157" s="519" t="s">
        <v>5042</v>
      </c>
      <c r="O157" s="519">
        <v>1.1339999999999999</v>
      </c>
      <c r="P157" s="516">
        <v>1.1180000000000001</v>
      </c>
      <c r="Q157" s="519">
        <v>1.1399999999999999</v>
      </c>
      <c r="R157" s="519">
        <v>1.0909</v>
      </c>
    </row>
    <row r="158" spans="14:18">
      <c r="N158" s="519" t="s">
        <v>5041</v>
      </c>
      <c r="O158" s="519">
        <v>1.1519999999999999</v>
      </c>
      <c r="P158" s="516">
        <v>1.0640499999999999</v>
      </c>
      <c r="Q158" s="519">
        <v>1.159</v>
      </c>
      <c r="R158" s="519">
        <v>1.0461499999999999</v>
      </c>
    </row>
    <row r="159" spans="14:18">
      <c r="N159" s="519" t="s">
        <v>5499</v>
      </c>
      <c r="O159" s="519">
        <v>1.171</v>
      </c>
      <c r="P159" s="516">
        <v>1.1499999999999999</v>
      </c>
      <c r="Q159" s="519">
        <v>1.179</v>
      </c>
      <c r="R159" s="519">
        <v>1.1165</v>
      </c>
    </row>
    <row r="161" spans="14:28">
      <c r="T161" s="300" t="s">
        <v>4969</v>
      </c>
      <c r="U161" s="300" t="str">
        <f>W128</f>
        <v>Choisir…</v>
      </c>
    </row>
    <row r="162" spans="14:28">
      <c r="T162" s="300" t="s">
        <v>4968</v>
      </c>
      <c r="U162" s="300" t="e">
        <f>W129</f>
        <v>#N/A</v>
      </c>
    </row>
    <row r="165" spans="14:28">
      <c r="O165" s="1549" t="s">
        <v>5591</v>
      </c>
      <c r="P165" s="1549"/>
      <c r="Q165" s="1549"/>
      <c r="R165" s="1549"/>
      <c r="S165" s="1549"/>
      <c r="T165" s="1549"/>
      <c r="U165" s="1549"/>
      <c r="V165" s="1549"/>
      <c r="W165" s="1549"/>
      <c r="X165" s="1549"/>
      <c r="Y165" s="1549"/>
      <c r="Z165" s="1549"/>
      <c r="AA165" s="1549"/>
      <c r="AB165" s="1549"/>
    </row>
    <row r="166" spans="14:28">
      <c r="O166" s="300" t="str">
        <f>'4. Calcul Énergir et HQ'!F54</f>
        <v>Type de boucle d'eau</v>
      </c>
      <c r="P166" s="300" t="str">
        <f>'4. Calcul Énergir et HQ'!W54</f>
        <v>Type de compresseur</v>
      </c>
      <c r="Q166" s="300" t="str">
        <f>'4. Calcul Énergir et HQ'!AL54</f>
        <v>Bonification Microclimat</v>
      </c>
      <c r="R166" s="300" t="str">
        <f>'4. Calcul Énergir et HQ'!BD54</f>
        <v>Nombre</v>
      </c>
      <c r="S166" s="300" t="str">
        <f>'4. Calcul Énergir et HQ'!BH54</f>
        <v>Puissance
de chauffage
à 47 °F (kW)</v>
      </c>
      <c r="T166" s="300" t="str">
        <f t="shared" ref="T166:AA166" si="3">T132</f>
        <v>Bonif microclimat A</v>
      </c>
      <c r="U166" s="300" t="str">
        <f t="shared" si="3"/>
        <v>Bonif microclimat B</v>
      </c>
      <c r="V166" s="300" t="str">
        <f t="shared" si="3"/>
        <v>Facteur M</v>
      </c>
      <c r="W166" s="300" t="str">
        <f t="shared" si="3"/>
        <v>Produit facteur M</v>
      </c>
      <c r="X166" s="300" t="str">
        <f t="shared" si="3"/>
        <v>Bonif Tarif</v>
      </c>
      <c r="Y166" s="300" t="str">
        <f t="shared" si="3"/>
        <v>$HQ</v>
      </c>
      <c r="Z166" s="300" t="str">
        <f t="shared" si="3"/>
        <v>Aide HQ</v>
      </c>
      <c r="AA166" s="300" t="str">
        <f t="shared" si="3"/>
        <v>kWh (HQ)</v>
      </c>
    </row>
    <row r="167" spans="14:28">
      <c r="O167" s="300" t="str">
        <f>'4. Calcul Énergir et HQ'!F55</f>
        <v>Choisir…</v>
      </c>
      <c r="P167" s="300" t="str">
        <f>'4. Calcul Énergir et HQ'!W55</f>
        <v>Choisir…</v>
      </c>
      <c r="Q167" s="300" t="str">
        <f>'4. Calcul Énergir et HQ'!AL55</f>
        <v>Choisir…</v>
      </c>
      <c r="R167" s="300">
        <f>'4. Calcul Énergir et HQ'!BD55</f>
        <v>0</v>
      </c>
      <c r="S167" s="300">
        <f>'4. Calcul Énergir et HQ'!BH55</f>
        <v>0</v>
      </c>
      <c r="T167" s="300">
        <f t="array" ref="T167">_xlfn.IFS(Q167=$N$169,0,Q167=$N$155,1,$U$162=$O$154,VLOOKUP(Q167,$N$156:$R$159,2,FALSE),$U$162=$Q$154,(VLOOKUP(Q167,$N$156:$R$159,4,FALSE)))</f>
        <v>0</v>
      </c>
      <c r="U167" s="300">
        <f t="array" ref="U167">_xlfn.IFS(Q167=$N$169,0,Q167=$N$155,1,$U$162=$O$154,VLOOKUP(Q167,$N$156:$R$159,3,FALSE),$U$162=$Q$154,(VLOOKUP(Q167,$N$156:$R$159,5,FALSE)))</f>
        <v>0</v>
      </c>
      <c r="V167" s="300">
        <f t="array" ref="V167">IFERROR(INDEX($R$178:$R$195,MATCH(1,(IF($O$178:$O$195&lt;&gt;"",  $O$178:$O$195,LOOKUP(ROW($O$178:$O$195),ROW($O$178:$O$195)/($O$178:$O$195&lt;&gt;""),$O$178:$O$195))=O167)*($P$178:$P$195=P167)*($Q$178:$Q$195=$U$162),0)),0)</f>
        <v>0</v>
      </c>
      <c r="W167" s="300">
        <f>TRUNC((R167*S167*T167*V167),0)</f>
        <v>0</v>
      </c>
      <c r="X167" s="300">
        <f>IFERROR(INDEX(IF($U$161=$S$177,$S$178:$S$195,$T$178:$T$195),MATCH(V167,$R$178:$R$195,0)),0)</f>
        <v>0</v>
      </c>
      <c r="Y167" s="410">
        <f>TRUNC((W167*X167*U167),2)</f>
        <v>0</v>
      </c>
      <c r="Z167" s="410">
        <f>Y167</f>
        <v>0</v>
      </c>
      <c r="AA167" s="300">
        <f>W167</f>
        <v>0</v>
      </c>
    </row>
    <row r="168" spans="14:28">
      <c r="O168" s="300" t="str">
        <f>'4. Calcul Énergir et HQ'!F56</f>
        <v>Choisir…</v>
      </c>
      <c r="P168" s="300" t="str">
        <f>'4. Calcul Énergir et HQ'!W56</f>
        <v>Choisir…</v>
      </c>
      <c r="Q168" s="300" t="str">
        <f>'4. Calcul Énergir et HQ'!AL56</f>
        <v>Choisir…</v>
      </c>
      <c r="R168" s="300">
        <f>'4. Calcul Énergir et HQ'!BD56</f>
        <v>0</v>
      </c>
      <c r="S168" s="300">
        <f>'4. Calcul Énergir et HQ'!BH56</f>
        <v>0</v>
      </c>
      <c r="T168" s="300">
        <f t="array" ref="T168">_xlfn.IFS(Q168=$N$169,0,Q168=$N$155,1,$U$162=$O$154,VLOOKUP(Q168,$N$156:$R$159,2,FALSE),$U$162=$Q$154,(VLOOKUP(Q168,$N$156:$R$159,4,FALSE)))</f>
        <v>0</v>
      </c>
      <c r="U168" s="300">
        <f t="array" ref="U168">_xlfn.IFS(Q168=$N$169,0,Q168=$N$155,1,$U$162=$O$154,VLOOKUP(Q168,$N$156:$R$159,3,FALSE),$U$162=$Q$154,(VLOOKUP(Q168,$N$156:$R$159,5,FALSE)))</f>
        <v>0</v>
      </c>
      <c r="V168" s="300">
        <f t="array" ref="V168">IFERROR(INDEX($R$178:$R$195,MATCH(1,(IF($O$178:$O$195&lt;&gt;"",  $O$178:$O$195,LOOKUP(ROW($O$178:$O$195),ROW($O$178:$O$195)/($O$178:$O$195&lt;&gt;""),$O$178:$O$195))=O168)*($P$178:$P$195=P168)*($Q$178:$Q$195=$U$162),0)),0)</f>
        <v>0</v>
      </c>
      <c r="W168" s="300">
        <f>TRUNC((R168*S168*T168*V168),0)</f>
        <v>0</v>
      </c>
      <c r="X168" s="300">
        <f>IFERROR(INDEX(IF($U$161=$S$177,$S$178:$S$195,$T$178:$T$195),MATCH(V168,$R$178:$R$195,0)),0)</f>
        <v>0</v>
      </c>
      <c r="Y168" s="410">
        <f>TRUNC((W168*X168*U168),2)</f>
        <v>0</v>
      </c>
      <c r="Z168" s="410">
        <f>Y168</f>
        <v>0</v>
      </c>
      <c r="AA168" s="300">
        <f>W168</f>
        <v>0</v>
      </c>
    </row>
    <row r="169" spans="14:28">
      <c r="N169" s="300" t="s">
        <v>173</v>
      </c>
      <c r="O169" s="300" t="str">
        <f>'4. Calcul Énergir et HQ'!F57</f>
        <v>Choisir…</v>
      </c>
      <c r="P169" s="300" t="str">
        <f>'4. Calcul Énergir et HQ'!W57</f>
        <v>Choisir…</v>
      </c>
      <c r="Q169" s="300" t="str">
        <f>'4. Calcul Énergir et HQ'!AL57</f>
        <v>Choisir…</v>
      </c>
      <c r="R169" s="300">
        <f>'4. Calcul Énergir et HQ'!BD57</f>
        <v>0</v>
      </c>
      <c r="S169" s="300">
        <f>'4. Calcul Énergir et HQ'!BH57</f>
        <v>0</v>
      </c>
      <c r="T169" s="300">
        <f t="array" ref="T169">_xlfn.IFS(Q169=$N$169,0,Q169=$N$155,1,$U$162=$O$154,VLOOKUP(Q169,$N$156:$R$159,2,FALSE),$U$162=$Q$154,(VLOOKUP(Q169,$N$156:$R$159,4,FALSE)))</f>
        <v>0</v>
      </c>
      <c r="U169" s="300">
        <f t="array" ref="U169">_xlfn.IFS(Q169=$N$169,0,Q169=$N$155,1,$U$162=$O$154,VLOOKUP(Q169,$N$156:$R$159,3,FALSE),$U$162=$Q$154,(VLOOKUP(Q169,$N$156:$R$159,5,FALSE)))</f>
        <v>0</v>
      </c>
      <c r="V169" s="300">
        <f t="array" ref="V169">IFERROR(INDEX($R$178:$R$195,MATCH(1,(IF($O$178:$O$195&lt;&gt;"",  $O$178:$O$195,LOOKUP(ROW($O$178:$O$195),ROW($O$178:$O$195)/($O$178:$O$195&lt;&gt;""),$O$178:$O$195))=O169)*($P$178:$P$195=P169)*($Q$178:$Q$195=$U$162),0)),0)</f>
        <v>0</v>
      </c>
      <c r="W169" s="300">
        <f>TRUNC((R169*S169*T169*V169),0)</f>
        <v>0</v>
      </c>
      <c r="X169" s="300">
        <f>IFERROR(INDEX(IF($U$161=$S$177,$S$178:$S$195,$T$178:$T$195),MATCH(V169,$R$178:$R$195,0)),0)</f>
        <v>0</v>
      </c>
      <c r="Y169" s="410">
        <f>TRUNC((W169*X169*U169),2)</f>
        <v>0</v>
      </c>
      <c r="Z169" s="410">
        <f>Y169</f>
        <v>0</v>
      </c>
      <c r="AA169" s="300">
        <f>W169</f>
        <v>0</v>
      </c>
    </row>
    <row r="170" spans="14:28">
      <c r="N170" s="300" t="s">
        <v>5571</v>
      </c>
      <c r="O170" s="300" t="str">
        <f>'4. Calcul Énergir et HQ'!F58</f>
        <v>Choisir…</v>
      </c>
      <c r="P170" s="300" t="str">
        <f>'4. Calcul Énergir et HQ'!W58</f>
        <v>Choisir…</v>
      </c>
      <c r="Q170" s="300" t="str">
        <f>'4. Calcul Énergir et HQ'!AL58</f>
        <v>Choisir…</v>
      </c>
      <c r="R170" s="300">
        <f>'4. Calcul Énergir et HQ'!BD58</f>
        <v>0</v>
      </c>
      <c r="S170" s="300">
        <f>'4. Calcul Énergir et HQ'!BH58</f>
        <v>0</v>
      </c>
      <c r="T170" s="300">
        <f t="array" ref="T170">_xlfn.IFS(Q170=$N$169,0,Q170=$N$155,1,$U$162=$O$154,VLOOKUP(Q170,$N$156:$R$159,2,FALSE),$U$162=$Q$154,(VLOOKUP(Q170,$N$156:$R$159,4,FALSE)))</f>
        <v>0</v>
      </c>
      <c r="U170" s="300">
        <f t="array" ref="U170">_xlfn.IFS(Q170=$N$169,0,Q170=$N$155,1,$U$162=$O$154,VLOOKUP(Q170,$N$156:$R$159,3,FALSE),$U$162=$Q$154,(VLOOKUP(Q170,$N$156:$R$159,5,FALSE)))</f>
        <v>0</v>
      </c>
      <c r="V170" s="300">
        <f t="array" ref="V170">IFERROR(INDEX($R$178:$R$195,MATCH(1,(IF($O$178:$O$195&lt;&gt;"",  $O$178:$O$195,LOOKUP(ROW($O$178:$O$195),ROW($O$178:$O$195)/($O$178:$O$195&lt;&gt;""),$O$178:$O$195))=O170)*($P$178:$P$195=P170)*($Q$178:$Q$195=$U$162),0)),0)</f>
        <v>0</v>
      </c>
      <c r="W170" s="300">
        <f>TRUNC((R170*S170*T170*V170),0)</f>
        <v>0</v>
      </c>
      <c r="X170" s="300">
        <f>IFERROR(INDEX(IF($U$161=$S$177,$S$178:$S$195,$T$178:$T$195),MATCH(V170,$R$178:$R$195,0)),0)</f>
        <v>0</v>
      </c>
      <c r="Y170" s="410">
        <f>TRUNC((W170*X170*U170),2)</f>
        <v>0</v>
      </c>
      <c r="Z170" s="410">
        <f>Y170</f>
        <v>0</v>
      </c>
      <c r="AA170" s="300">
        <f>W170</f>
        <v>0</v>
      </c>
    </row>
    <row r="171" spans="14:28">
      <c r="N171" s="300" t="s">
        <v>5573</v>
      </c>
      <c r="O171" s="300" t="str">
        <f>'4. Calcul Énergir et HQ'!F59</f>
        <v>Choisir…</v>
      </c>
      <c r="P171" s="300" t="str">
        <f>'4. Calcul Énergir et HQ'!W59</f>
        <v>Choisir…</v>
      </c>
      <c r="Q171" s="300" t="str">
        <f>'4. Calcul Énergir et HQ'!AL59</f>
        <v>Choisir…</v>
      </c>
      <c r="R171" s="300">
        <f>'4. Calcul Énergir et HQ'!BD59</f>
        <v>0</v>
      </c>
      <c r="S171" s="300">
        <f>'4. Calcul Énergir et HQ'!BH59</f>
        <v>0</v>
      </c>
      <c r="T171" s="300">
        <f t="array" ref="T171">_xlfn.IFS(Q171=$N$169,0,Q171=$N$155,1,$U$162=$O$154,VLOOKUP(Q171,$N$156:$R$159,2,FALSE),$U$162=$Q$154,(VLOOKUP(Q171,$N$156:$R$159,4,FALSE)))</f>
        <v>0</v>
      </c>
      <c r="U171" s="300">
        <f t="array" ref="U171">_xlfn.IFS(Q171=$N$169,0,Q171=$N$155,1,$U$162=$O$154,VLOOKUP(Q171,$N$156:$R$159,3,FALSE),$U$162=$Q$154,(VLOOKUP(Q171,$N$156:$R$159,5,FALSE)))</f>
        <v>0</v>
      </c>
      <c r="V171" s="300">
        <f t="array" ref="V171">IFERROR(INDEX($R$178:$R$195,MATCH(1,(IF($O$178:$O$195&lt;&gt;"",  $O$178:$O$195,LOOKUP(ROW($O$178:$O$195),ROW($O$178:$O$195)/($O$178:$O$195&lt;&gt;""),$O$178:$O$195))=O171)*($P$178:$P$195=P171)*($Q$178:$Q$195=$U$162),0)),0)</f>
        <v>0</v>
      </c>
      <c r="W171" s="300">
        <f>TRUNC((R171*S171*T171*V171),0)</f>
        <v>0</v>
      </c>
      <c r="X171" s="300">
        <f>IFERROR(INDEX(IF($U$161=$S$177,$S$178:$S$195,$T$178:$T$195),MATCH(V171,$R$178:$R$195,0)),0)</f>
        <v>0</v>
      </c>
      <c r="Y171" s="410">
        <f>TRUNC((W171*X171*U171),2)</f>
        <v>0</v>
      </c>
      <c r="Z171" s="410">
        <f>Y171</f>
        <v>0</v>
      </c>
      <c r="AA171" s="300">
        <f>W171</f>
        <v>0</v>
      </c>
    </row>
    <row r="172" spans="14:28">
      <c r="N172" s="300" t="s">
        <v>5572</v>
      </c>
    </row>
    <row r="176" spans="14:28">
      <c r="N176" s="300" t="s">
        <v>173</v>
      </c>
      <c r="O176" s="300" t="s">
        <v>5592</v>
      </c>
      <c r="P176" s="300" t="s">
        <v>4951</v>
      </c>
      <c r="Q176" s="300" t="s">
        <v>441</v>
      </c>
      <c r="R176" s="300" t="s">
        <v>5593</v>
      </c>
    </row>
    <row r="177" spans="14:20">
      <c r="N177" s="300" t="s">
        <v>5575</v>
      </c>
      <c r="R177" s="300" t="s">
        <v>5002</v>
      </c>
      <c r="S177" s="300" t="s">
        <v>5022</v>
      </c>
      <c r="T177" s="300" t="s">
        <v>4994</v>
      </c>
    </row>
    <row r="178" spans="14:20">
      <c r="N178" s="300" t="s">
        <v>5576</v>
      </c>
      <c r="O178" s="300" t="str">
        <f>N170</f>
        <v>Boucle d'eau mitigée</v>
      </c>
      <c r="P178" s="300" t="s">
        <v>4993</v>
      </c>
      <c r="Q178" s="300" t="s">
        <v>4987</v>
      </c>
      <c r="R178" s="300">
        <v>332.87470605850899</v>
      </c>
      <c r="S178" s="300">
        <v>0.39960000000000001</v>
      </c>
      <c r="T178" s="300">
        <v>0.47949999999999998</v>
      </c>
    </row>
    <row r="179" spans="14:20">
      <c r="P179" s="300" t="s">
        <v>4991</v>
      </c>
      <c r="Q179" s="300" t="s">
        <v>4987</v>
      </c>
      <c r="R179" s="300">
        <v>489.49225525903699</v>
      </c>
      <c r="S179" s="300">
        <v>0.91939968000000005</v>
      </c>
      <c r="T179" s="300">
        <v>1.1032336</v>
      </c>
    </row>
    <row r="180" spans="14:20">
      <c r="P180" s="300" t="s">
        <v>4993</v>
      </c>
      <c r="Q180" s="300" t="s">
        <v>4988</v>
      </c>
      <c r="R180" s="300">
        <v>382.13365062203701</v>
      </c>
      <c r="S180" s="300">
        <v>0.3926</v>
      </c>
      <c r="T180" s="300">
        <v>0.47110000000000002</v>
      </c>
    </row>
    <row r="181" spans="14:20">
      <c r="N181" s="300" t="s">
        <v>173</v>
      </c>
      <c r="P181" s="300" t="s">
        <v>4991</v>
      </c>
      <c r="Q181" s="300" t="s">
        <v>4988</v>
      </c>
      <c r="R181" s="300">
        <v>562.309666890328</v>
      </c>
      <c r="S181" s="300">
        <v>0.91931216000000004</v>
      </c>
      <c r="T181" s="300">
        <v>1.10312776</v>
      </c>
    </row>
    <row r="182" spans="14:20">
      <c r="N182" s="300" t="s">
        <v>5579</v>
      </c>
    </row>
    <row r="183" spans="14:20">
      <c r="N183" s="300" t="s">
        <v>5580</v>
      </c>
      <c r="O183" s="300" t="str">
        <f>N172</f>
        <v>Boucle d'eau chaude basse température (inférieur à 130F)</v>
      </c>
      <c r="P183" s="300" t="s">
        <v>4993</v>
      </c>
      <c r="Q183" s="300" t="s">
        <v>4987</v>
      </c>
      <c r="R183" s="300">
        <v>286.26010991999999</v>
      </c>
      <c r="S183" s="300">
        <v>0.46447949999999999</v>
      </c>
      <c r="T183" s="300">
        <v>0.55738650000000001</v>
      </c>
    </row>
    <row r="184" spans="14:20">
      <c r="N184" s="300" t="s">
        <v>5581</v>
      </c>
      <c r="P184" s="300" t="s">
        <v>4991</v>
      </c>
      <c r="Q184" s="300" t="s">
        <v>4987</v>
      </c>
      <c r="R184" s="300">
        <v>420.94188096000005</v>
      </c>
      <c r="S184" s="300">
        <v>0.97398421999999996</v>
      </c>
      <c r="T184" s="300">
        <v>1.1688043400000001</v>
      </c>
    </row>
    <row r="185" spans="14:20">
      <c r="P185" s="300" t="s">
        <v>4992</v>
      </c>
      <c r="Q185" s="300" t="s">
        <v>4987</v>
      </c>
      <c r="R185" s="300">
        <f>1*350.5512</f>
        <v>350.55119999999999</v>
      </c>
      <c r="S185" s="300">
        <f>0.8369</f>
        <v>0.83689999999999998</v>
      </c>
      <c r="T185" s="300">
        <v>1.0043</v>
      </c>
    </row>
    <row r="186" spans="14:20">
      <c r="P186" s="300" t="s">
        <v>4990</v>
      </c>
      <c r="Q186" s="300" t="s">
        <v>4987</v>
      </c>
      <c r="R186" s="300">
        <f>1.5355*350.5512</f>
        <v>538.27136760000008</v>
      </c>
      <c r="S186" s="300">
        <f>0.8369*1.4815</f>
        <v>1.2398673499999999</v>
      </c>
      <c r="T186" s="300">
        <f>1.0043*1.4815</f>
        <v>1.48787045</v>
      </c>
    </row>
    <row r="187" spans="14:20">
      <c r="P187" s="300" t="s">
        <v>4993</v>
      </c>
      <c r="Q187" s="300" t="s">
        <v>4988</v>
      </c>
      <c r="R187" s="300">
        <v>328.61712643999999</v>
      </c>
      <c r="S187" s="300">
        <v>0.45648828000000002</v>
      </c>
      <c r="T187" s="300">
        <v>0.54779847000000004</v>
      </c>
    </row>
    <row r="188" spans="14:20">
      <c r="P188" s="300" t="s">
        <v>4991</v>
      </c>
      <c r="Q188" s="300" t="s">
        <v>4988</v>
      </c>
      <c r="R188" s="300">
        <v>483.59380875999994</v>
      </c>
      <c r="S188" s="300">
        <v>0.84778476000000003</v>
      </c>
      <c r="T188" s="300">
        <v>1.0173649899999999</v>
      </c>
    </row>
    <row r="189" spans="14:20">
      <c r="P189" s="300" t="s">
        <v>4992</v>
      </c>
      <c r="Q189" s="300" t="s">
        <v>4988</v>
      </c>
      <c r="R189" s="300">
        <f>1*449.7292</f>
        <v>449.72919999999999</v>
      </c>
      <c r="S189" s="300">
        <v>0.72840000000000005</v>
      </c>
      <c r="T189" s="300">
        <v>0.87409999999999999</v>
      </c>
    </row>
    <row r="190" spans="14:20">
      <c r="P190" s="300" t="s">
        <v>4990</v>
      </c>
      <c r="Q190" s="300" t="s">
        <v>4988</v>
      </c>
      <c r="R190" s="300">
        <f>1.3737*449.7292</f>
        <v>617.79300203999992</v>
      </c>
      <c r="S190" s="300">
        <f>1.7024*0.7284</f>
        <v>1.24002816</v>
      </c>
      <c r="T190" s="300">
        <f>0.8741*1.7024</f>
        <v>1.4880678399999998</v>
      </c>
    </row>
    <row r="192" spans="14:20">
      <c r="O192" s="300" t="str">
        <f>N171</f>
        <v>Boucle d'eau chaude haute température (supérieur ou égale à 130F)</v>
      </c>
      <c r="P192" s="300" t="s">
        <v>4993</v>
      </c>
      <c r="Q192" s="300" t="s">
        <v>4987</v>
      </c>
      <c r="R192" s="300">
        <v>173.09484715042501</v>
      </c>
      <c r="S192" s="300">
        <v>0.76829999999999998</v>
      </c>
      <c r="T192" s="300">
        <v>0.92200000000000004</v>
      </c>
    </row>
    <row r="193" spans="15:28">
      <c r="P193" s="300" t="s">
        <v>4991</v>
      </c>
      <c r="Q193" s="300" t="s">
        <v>4987</v>
      </c>
      <c r="R193" s="300">
        <v>254.53597273469899</v>
      </c>
      <c r="S193" s="300">
        <v>1.2400362</v>
      </c>
      <c r="T193" s="300">
        <v>1.488108</v>
      </c>
    </row>
    <row r="194" spans="15:28">
      <c r="P194" s="300" t="s">
        <v>4993</v>
      </c>
      <c r="Q194" s="300" t="s">
        <v>4988</v>
      </c>
      <c r="R194" s="300">
        <v>198.709498323459</v>
      </c>
      <c r="S194" s="300">
        <v>0.75480000000000003</v>
      </c>
      <c r="T194" s="300">
        <v>0.90580000000000005</v>
      </c>
    </row>
    <row r="195" spans="15:28">
      <c r="P195" s="300" t="s">
        <v>4991</v>
      </c>
      <c r="Q195" s="300" t="s">
        <v>4988</v>
      </c>
      <c r="R195" s="300">
        <v>292.40102678297001</v>
      </c>
      <c r="S195" s="300">
        <v>1.2399854400000001</v>
      </c>
      <c r="T195" s="300">
        <v>1.4880482399999999</v>
      </c>
    </row>
    <row r="198" spans="15:28">
      <c r="O198" s="1549" t="s">
        <v>5596</v>
      </c>
      <c r="P198" s="1549"/>
      <c r="Q198" s="1549"/>
      <c r="R198" s="1549"/>
      <c r="S198" s="1549"/>
      <c r="T198" s="1549"/>
      <c r="U198" s="1549"/>
      <c r="V198" s="1549"/>
      <c r="W198" s="1549"/>
      <c r="X198" s="1549"/>
      <c r="Y198" s="1549"/>
      <c r="Z198" s="1549"/>
      <c r="AA198" s="1549"/>
      <c r="AB198" s="1549"/>
    </row>
    <row r="199" spans="15:28">
      <c r="O199" s="300" t="str">
        <f>'4. Calcul Énergir et HQ'!F62</f>
        <v>Option de chauffage</v>
      </c>
      <c r="P199" s="300" t="str">
        <f>'4. Calcul Énergir et HQ'!W62</f>
        <v>Bonification Microclimat</v>
      </c>
      <c r="Q199" s="300" t="str">
        <f>'4. Calcul Énergir et HQ'!AO62</f>
        <v>Nombre</v>
      </c>
      <c r="R199" s="300" t="str">
        <f>'4. Calcul Énergir et HQ'!AS62</f>
        <v>Puissance
de chauffage
à 47 °F (kW)</v>
      </c>
      <c r="S199" s="300" t="str">
        <f>T166</f>
        <v>Bonif microclimat A</v>
      </c>
      <c r="T199" s="300" t="str">
        <f t="shared" ref="T199:Z199" si="4">U166</f>
        <v>Bonif microclimat B</v>
      </c>
      <c r="U199" s="300" t="str">
        <f t="shared" si="4"/>
        <v>Facteur M</v>
      </c>
      <c r="V199" s="300" t="str">
        <f t="shared" si="4"/>
        <v>Produit facteur M</v>
      </c>
      <c r="W199" s="300" t="str">
        <f t="shared" si="4"/>
        <v>Bonif Tarif</v>
      </c>
      <c r="X199" s="300" t="str">
        <f t="shared" si="4"/>
        <v>$HQ</v>
      </c>
      <c r="Y199" s="300" t="str">
        <f>Z166</f>
        <v>Aide HQ</v>
      </c>
      <c r="Z199" s="300" t="str">
        <f t="shared" si="4"/>
        <v>kWh (HQ)</v>
      </c>
    </row>
    <row r="200" spans="15:28">
      <c r="O200" s="300" t="str">
        <f>'4. Calcul Énergir et HQ'!F63</f>
        <v>Choisir…</v>
      </c>
      <c r="P200" s="300" t="str">
        <f>'4. Calcul Énergir et HQ'!W63</f>
        <v>Choisir…</v>
      </c>
      <c r="Q200" s="300">
        <f>'4. Calcul Énergir et HQ'!AO63</f>
        <v>0</v>
      </c>
      <c r="R200" s="300">
        <f>'4. Calcul Énergir et HQ'!AS63</f>
        <v>0</v>
      </c>
      <c r="S200" s="300">
        <f t="array" ref="S200">_xlfn.IFS(P200=$N$169,0,P200=$N$155,1,$U$162=$O$154,VLOOKUP(P200,$N$156:$R$159,2,FALSE),$U$162=$Q$154,(VLOOKUP(P200,$N$156:$R$159,4,FALSE)))</f>
        <v>0</v>
      </c>
      <c r="T200" s="300">
        <f t="array" ref="T200">_xlfn.IFS(P200=$N$169,0,P200=$N$155,1,$U$162=$O$154,VLOOKUP(P200,$N$156:$R$159,3,FALSE),$U$162=$Q$154,(VLOOKUP(P200,$N$156:$R$159,5,FALSE)))</f>
        <v>0</v>
      </c>
      <c r="U200" s="300">
        <f t="array" ref="U200">IFERROR(INDEX($Q$211:$Q$215,MATCH(1,($O$211:$O$215=O200)*($P$211:$P$215=$U$162),0)),0)</f>
        <v>0</v>
      </c>
      <c r="V200" s="300">
        <f>TRUNC((Q200*R200*S200*U200),0)</f>
        <v>0</v>
      </c>
      <c r="W200" s="300">
        <f>IFERROR(INDEX(IF($U$161=$R$209,$R$211:$R$215,$S$211:$S$215),MATCH(U200,$Q$211:$Q$215,0)),0)</f>
        <v>0</v>
      </c>
      <c r="X200" s="410">
        <f>TRUNC((V200*W200*T200),2)</f>
        <v>0</v>
      </c>
      <c r="Y200" s="410">
        <f>X200</f>
        <v>0</v>
      </c>
      <c r="Z200" s="300">
        <f>V200</f>
        <v>0</v>
      </c>
    </row>
    <row r="201" spans="15:28">
      <c r="O201" s="300" t="str">
        <f>'4. Calcul Énergir et HQ'!F64</f>
        <v>Choisir…</v>
      </c>
      <c r="P201" s="300" t="str">
        <f>'4. Calcul Énergir et HQ'!W64</f>
        <v>Choisir…</v>
      </c>
      <c r="Q201" s="300">
        <f>'4. Calcul Énergir et HQ'!AO64</f>
        <v>0</v>
      </c>
      <c r="R201" s="300">
        <f>'4. Calcul Énergir et HQ'!AS64</f>
        <v>0</v>
      </c>
      <c r="S201" s="300">
        <f t="array" ref="S201">_xlfn.IFS(P201=$N$169,0,P201=$N$155,1,$U$162=$O$154,VLOOKUP(P201,$N$156:$R$159,2,FALSE),$U$162=$Q$154,(VLOOKUP(P201,$N$156:$R$159,4,FALSE)))</f>
        <v>0</v>
      </c>
      <c r="T201" s="300">
        <f t="array" ref="T201">_xlfn.IFS(P201=$N$169,0,P201=$N$155,1,$U$162=$O$154,VLOOKUP(P201,$N$156:$R$159,3,FALSE),$U$162=$Q$154,(VLOOKUP(P201,$N$156:$R$159,5,FALSE)))</f>
        <v>0</v>
      </c>
      <c r="U201" s="300">
        <f t="array" ref="U201">IFERROR(INDEX($Q$211:$Q$215,MATCH(1,($O$211:$O$215=O201)*($P$211:$P$215=$U$162),0)),0)</f>
        <v>0</v>
      </c>
      <c r="V201" s="300">
        <f>TRUNC((Q201*R201*S201*U201),0)</f>
        <v>0</v>
      </c>
      <c r="W201" s="300">
        <f>IFERROR(INDEX(IF($U$161=$R$209,$R$211:$R$215,$S$211:$S$215),MATCH(U201,$Q$211:$Q$215,0)),0)</f>
        <v>0</v>
      </c>
      <c r="X201" s="410">
        <f>TRUNC((V201*W201*T201),2)</f>
        <v>0</v>
      </c>
      <c r="Y201" s="410">
        <f>X201</f>
        <v>0</v>
      </c>
      <c r="Z201" s="300">
        <f>V201</f>
        <v>0</v>
      </c>
    </row>
    <row r="202" spans="15:28">
      <c r="O202" s="300" t="str">
        <f>'4. Calcul Énergir et HQ'!F65</f>
        <v>Choisir…</v>
      </c>
      <c r="P202" s="300" t="str">
        <f>'4. Calcul Énergir et HQ'!W65</f>
        <v>Choisir…</v>
      </c>
      <c r="Q202" s="300">
        <f>'4. Calcul Énergir et HQ'!AO65</f>
        <v>0</v>
      </c>
      <c r="R202" s="300">
        <f>'4. Calcul Énergir et HQ'!AS65</f>
        <v>0</v>
      </c>
      <c r="S202" s="300">
        <f t="array" ref="S202">_xlfn.IFS(P202=$N$169,0,P202=$N$155,1,$U$162=$O$154,VLOOKUP(P202,$N$156:$R$159,2,FALSE),$U$162=$Q$154,(VLOOKUP(P202,$N$156:$R$159,4,FALSE)))</f>
        <v>0</v>
      </c>
      <c r="T202" s="300">
        <f t="array" ref="T202">_xlfn.IFS(P202=$N$169,0,P202=$N$155,1,$U$162=$O$154,VLOOKUP(P202,$N$156:$R$159,3,FALSE),$U$162=$Q$154,(VLOOKUP(P202,$N$156:$R$159,5,FALSE)))</f>
        <v>0</v>
      </c>
      <c r="U202" s="300">
        <f t="array" ref="U202">IFERROR(INDEX($Q$211:$Q$215,MATCH(1,($O$211:$O$215=O202)*($P$211:$P$215=$U$162),0)),0)</f>
        <v>0</v>
      </c>
      <c r="V202" s="300">
        <f>TRUNC((Q202*R202*S202*U202),0)</f>
        <v>0</v>
      </c>
      <c r="W202" s="300">
        <f>IFERROR(INDEX(IF($U$161=$R$209,$R$211:$R$215,$S$211:$S$215),MATCH(U202,$Q$211:$Q$215,0)),0)</f>
        <v>0</v>
      </c>
      <c r="X202" s="410">
        <f>TRUNC((V202*W202*T202),2)</f>
        <v>0</v>
      </c>
      <c r="Y202" s="410">
        <f>X202</f>
        <v>0</v>
      </c>
      <c r="Z202" s="300">
        <f>V202</f>
        <v>0</v>
      </c>
    </row>
    <row r="203" spans="15:28">
      <c r="O203" s="300" t="str">
        <f>'4. Calcul Énergir et HQ'!F66</f>
        <v>Choisir…</v>
      </c>
      <c r="P203" s="300" t="str">
        <f>'4. Calcul Énergir et HQ'!W66</f>
        <v>Choisir…</v>
      </c>
      <c r="Q203" s="300">
        <f>'4. Calcul Énergir et HQ'!AO66</f>
        <v>0</v>
      </c>
      <c r="R203" s="300">
        <f>'4. Calcul Énergir et HQ'!AS66</f>
        <v>0</v>
      </c>
      <c r="S203" s="300">
        <f t="array" ref="S203">_xlfn.IFS(P203=$N$169,0,P203=$N$155,1,$U$162=$O$154,VLOOKUP(P203,$N$156:$R$159,2,FALSE),$U$162=$Q$154,(VLOOKUP(P203,$N$156:$R$159,4,FALSE)))</f>
        <v>0</v>
      </c>
      <c r="T203" s="300">
        <f t="array" ref="T203">_xlfn.IFS(P203=$N$169,0,P203=$N$155,1,$U$162=$O$154,VLOOKUP(P203,$N$156:$R$159,3,FALSE),$U$162=$Q$154,(VLOOKUP(P203,$N$156:$R$159,5,FALSE)))</f>
        <v>0</v>
      </c>
      <c r="U203" s="300">
        <f t="array" ref="U203">IFERROR(INDEX($Q$211:$Q$215,MATCH(1,($O$211:$O$215=O203)*($P$211:$P$215=$U$162),0)),0)</f>
        <v>0</v>
      </c>
      <c r="V203" s="300">
        <f>TRUNC((Q203*R203*S203*U203),0)</f>
        <v>0</v>
      </c>
      <c r="W203" s="300">
        <f>IFERROR(INDEX(IF($U$161=$R$209,$R$211:$R$215,$S$211:$S$215),MATCH(U203,$Q$211:$Q$215,0)),0)</f>
        <v>0</v>
      </c>
      <c r="X203" s="410">
        <f>TRUNC((V203*W203*T203),2)</f>
        <v>0</v>
      </c>
      <c r="Y203" s="410">
        <f>X203</f>
        <v>0</v>
      </c>
      <c r="Z203" s="300">
        <f>V203</f>
        <v>0</v>
      </c>
    </row>
    <row r="204" spans="15:28">
      <c r="O204" s="300" t="str">
        <f>'4. Calcul Énergir et HQ'!F67</f>
        <v>Choisir…</v>
      </c>
      <c r="P204" s="300" t="str">
        <f>'4. Calcul Énergir et HQ'!W67</f>
        <v>Choisir…</v>
      </c>
      <c r="Q204" s="300">
        <f>'4. Calcul Énergir et HQ'!AO67</f>
        <v>0</v>
      </c>
      <c r="R204" s="300">
        <f>'4. Calcul Énergir et HQ'!AS67</f>
        <v>0</v>
      </c>
      <c r="S204" s="300">
        <f t="array" ref="S204">_xlfn.IFS(P204=$N$169,0,P204=$N$155,1,$U$162=$O$154,VLOOKUP(P204,$N$156:$R$159,2,FALSE),$U$162=$Q$154,(VLOOKUP(P204,$N$156:$R$159,4,FALSE)))</f>
        <v>0</v>
      </c>
      <c r="T204" s="300">
        <f t="array" ref="T204">_xlfn.IFS(P204=$N$169,0,P204=$N$155,1,$U$162=$O$154,VLOOKUP(P204,$N$156:$R$159,3,FALSE),$U$162=$Q$154,(VLOOKUP(P204,$N$156:$R$159,5,FALSE)))</f>
        <v>0</v>
      </c>
      <c r="U204" s="300">
        <f t="array" ref="U204">IFERROR(INDEX($Q$211:$Q$215,MATCH(1,($O$211:$O$215=O204)*($P$211:$P$215=$U$162),0)),0)</f>
        <v>0</v>
      </c>
      <c r="V204" s="300">
        <f>TRUNC((Q204*R204*S204*U204),0)</f>
        <v>0</v>
      </c>
      <c r="W204" s="300">
        <f>IFERROR(INDEX(IF($U$161=$R$209,$R$211:$R$215,$S$211:$S$215),MATCH(U204,$Q$211:$Q$215,0)),0)</f>
        <v>0</v>
      </c>
      <c r="X204" s="410">
        <f>TRUNC((V204*W204*T204),2)</f>
        <v>0</v>
      </c>
      <c r="Y204" s="410">
        <f>X204</f>
        <v>0</v>
      </c>
      <c r="Z204" s="300">
        <f>V204</f>
        <v>0</v>
      </c>
    </row>
    <row r="209" spans="15:28">
      <c r="O209" s="300" t="str">
        <f>O199</f>
        <v>Option de chauffage</v>
      </c>
      <c r="P209" s="300" t="str">
        <f>Q176</f>
        <v>Nature</v>
      </c>
      <c r="Q209" s="300" t="str">
        <f>R177</f>
        <v>Facteur M</v>
      </c>
      <c r="R209" s="300" t="str">
        <f>S177</f>
        <v>Autre Tarif</v>
      </c>
      <c r="S209" s="300" t="str">
        <f>T177</f>
        <v>Tarif G</v>
      </c>
    </row>
    <row r="211" spans="15:28">
      <c r="O211" s="300" t="str">
        <f>N177</f>
        <v>Sans boite de récupération de chaleur</v>
      </c>
      <c r="P211" s="300" t="s">
        <v>4987</v>
      </c>
      <c r="Q211" s="300">
        <f>538.261*0.9094</f>
        <v>489.49455339999997</v>
      </c>
      <c r="R211" s="300">
        <f>AA217*AB213</f>
        <v>0.32683689999999999</v>
      </c>
      <c r="S211" s="300">
        <f>AB217*AB213</f>
        <v>0.39221210000000006</v>
      </c>
      <c r="Y211" s="1549" t="s">
        <v>4988</v>
      </c>
      <c r="Z211" s="1549"/>
      <c r="AA211" s="1549" t="s">
        <v>4987</v>
      </c>
      <c r="AB211" s="1549"/>
    </row>
    <row r="212" spans="15:28">
      <c r="O212" s="300" t="str">
        <f>N177</f>
        <v>Sans boite de récupération de chaleur</v>
      </c>
      <c r="P212" s="300" t="s">
        <v>4988</v>
      </c>
      <c r="Q212" s="300">
        <f>617.7867*0.9102</f>
        <v>562.30945434</v>
      </c>
      <c r="R212" s="300">
        <f>AA218*Z213</f>
        <v>0.31115942000000002</v>
      </c>
      <c r="S212" s="300">
        <f>AB218*Z213</f>
        <v>0.37339874000000001</v>
      </c>
      <c r="Y212" s="300" t="s">
        <v>5567</v>
      </c>
      <c r="Z212" s="300" t="s">
        <v>5568</v>
      </c>
      <c r="AA212" s="300" t="s">
        <v>5567</v>
      </c>
      <c r="AB212" s="300" t="s">
        <v>5568</v>
      </c>
    </row>
    <row r="213" spans="15:28">
      <c r="X213" s="300" t="s">
        <v>5597</v>
      </c>
      <c r="Y213" s="300">
        <v>0.91020000000000001</v>
      </c>
      <c r="Z213" s="300">
        <v>0.37180000000000002</v>
      </c>
      <c r="AA213" s="300">
        <v>0.90939999999999999</v>
      </c>
      <c r="AB213" s="300">
        <v>0.39100000000000001</v>
      </c>
    </row>
    <row r="214" spans="15:28">
      <c r="O214" s="300" t="str">
        <f>N178</f>
        <v>Avec boite de récupération de chaleur</v>
      </c>
      <c r="P214" s="300" t="s">
        <v>4987</v>
      </c>
      <c r="Q214" s="300">
        <f>538.261*1</f>
        <v>538.26099999999997</v>
      </c>
      <c r="R214" s="300">
        <f>AA217</f>
        <v>0.83589999999999998</v>
      </c>
      <c r="S214" s="300">
        <f>AB217</f>
        <v>1.0031000000000001</v>
      </c>
      <c r="X214" s="300" t="s">
        <v>5598</v>
      </c>
      <c r="Y214" s="300">
        <v>1</v>
      </c>
      <c r="Z214" s="300">
        <v>1</v>
      </c>
      <c r="AA214" s="300">
        <v>1</v>
      </c>
      <c r="AB214" s="300">
        <v>1</v>
      </c>
    </row>
    <row r="215" spans="15:28">
      <c r="O215" s="300" t="str">
        <f>N178</f>
        <v>Avec boite de récupération de chaleur</v>
      </c>
      <c r="P215" s="300" t="s">
        <v>4988</v>
      </c>
      <c r="Q215" s="300">
        <f>617.7867</f>
        <v>617.7867</v>
      </c>
      <c r="R215" s="300">
        <f>AA218</f>
        <v>0.83689999999999998</v>
      </c>
      <c r="S215" s="300">
        <f>AB218</f>
        <v>1.0043</v>
      </c>
    </row>
    <row r="216" spans="15:28">
      <c r="X216" s="300" t="s">
        <v>5038</v>
      </c>
      <c r="Y216" s="300" t="s">
        <v>5037</v>
      </c>
      <c r="Z216" s="300" t="s">
        <v>5048</v>
      </c>
      <c r="AA216" s="300" t="s">
        <v>5047</v>
      </c>
      <c r="AB216" s="300" t="s">
        <v>5599</v>
      </c>
    </row>
    <row r="217" spans="15:28">
      <c r="X217" s="300" t="s">
        <v>5027</v>
      </c>
      <c r="Z217" s="300">
        <v>538.26103838215056</v>
      </c>
      <c r="AA217" s="300">
        <v>0.83589999999999998</v>
      </c>
      <c r="AB217" s="300">
        <v>1.0031000000000001</v>
      </c>
    </row>
    <row r="218" spans="15:28">
      <c r="Y218" s="300" t="s">
        <v>5027</v>
      </c>
      <c r="Z218" s="300">
        <v>617.78671552746516</v>
      </c>
      <c r="AA218" s="300">
        <v>0.83689999999999998</v>
      </c>
      <c r="AB218" s="300">
        <v>1.0043</v>
      </c>
    </row>
    <row r="223" spans="15:28">
      <c r="O223" s="1549" t="s">
        <v>5600</v>
      </c>
      <c r="P223" s="1549"/>
      <c r="Q223" s="1549"/>
      <c r="R223" s="1549"/>
      <c r="S223" s="1549"/>
      <c r="T223" s="1549"/>
      <c r="U223" s="1549"/>
      <c r="V223" s="1549"/>
      <c r="W223" s="1549"/>
      <c r="X223" s="1549"/>
      <c r="Y223" s="1549"/>
      <c r="Z223" s="1549"/>
      <c r="AA223" s="1549"/>
      <c r="AB223" s="1549"/>
    </row>
    <row r="224" spans="15:28">
      <c r="O224" s="300" t="str">
        <f>'4. Calcul Énergir et HQ'!F70</f>
        <v>Type d'unité bibloc</v>
      </c>
      <c r="P224" s="300" t="str">
        <f>'4. Calcul Énergir et HQ'!W70</f>
        <v>Bonification Microclimat</v>
      </c>
      <c r="Q224" s="300" t="str">
        <f>'4. Calcul Énergir et HQ'!AO70</f>
        <v>Nombre</v>
      </c>
      <c r="R224" s="300" t="str">
        <f>'4. Calcul Énergir et HQ'!AS70</f>
        <v>Puissance
de chauffage
à 47 °F (kW)</v>
      </c>
      <c r="S224" s="300" t="str">
        <f>S199</f>
        <v>Bonif microclimat A</v>
      </c>
      <c r="T224" s="300" t="str">
        <f t="shared" ref="T224:Z224" si="5">T199</f>
        <v>Bonif microclimat B</v>
      </c>
      <c r="U224" s="300" t="str">
        <f t="shared" si="5"/>
        <v>Facteur M</v>
      </c>
      <c r="V224" s="300" t="str">
        <f t="shared" si="5"/>
        <v>Produit facteur M</v>
      </c>
      <c r="W224" s="300" t="str">
        <f t="shared" si="5"/>
        <v>Bonif Tarif</v>
      </c>
      <c r="X224" s="300" t="str">
        <f t="shared" si="5"/>
        <v>$HQ</v>
      </c>
      <c r="Y224" s="300" t="str">
        <f t="shared" si="5"/>
        <v>Aide HQ</v>
      </c>
      <c r="Z224" s="300" t="str">
        <f t="shared" si="5"/>
        <v>kWh (HQ)</v>
      </c>
    </row>
    <row r="225" spans="15:26">
      <c r="O225" s="300" t="str">
        <f>'4. Calcul Énergir et HQ'!F71</f>
        <v>Choisir…</v>
      </c>
      <c r="P225" s="300" t="str">
        <f>'4. Calcul Énergir et HQ'!W71</f>
        <v>Choisir…</v>
      </c>
      <c r="Q225" s="300">
        <f>'4. Calcul Énergir et HQ'!AO71</f>
        <v>0</v>
      </c>
      <c r="R225" s="300">
        <f>'4. Calcul Énergir et HQ'!AS71</f>
        <v>0</v>
      </c>
      <c r="S225" s="300">
        <f>IFERROR(IF(O225="Choisir…",0,IF(P225="Non applicable",1,INDEX(IF($U$162="BE",$O$156:$O$159,$Q$156:$Q$159),MATCH(P225,$N$156:$N$159,0)))),0)</f>
        <v>0</v>
      </c>
      <c r="T225" s="300">
        <f>IFERROR(IF(O225="Choisir…",0,IF(P225="Non applicable",1,INDEX(IF($U$162="BE",$P$156:$P$159,$R$156:$R$159),MATCH(P225,$N$156:$N$159,0)))),0)</f>
        <v>0</v>
      </c>
      <c r="U225" s="300">
        <f t="array" ref="U225">IFERROR(INDEX($Q$234:$Q$239,MATCH(1,($O$234:$O$239=O225)*($P$234:$P$239=$U$162),0)),0)</f>
        <v>0</v>
      </c>
      <c r="V225" s="300">
        <f>TRUNC((Q225*R225*S225*U225),0)</f>
        <v>0</v>
      </c>
      <c r="W225" s="300">
        <f>IFERROR(INDEX(IF($U$161=$R$233,$R$234:$R$239,$S$234:$S$239),MATCH(U225,$Q$234:$Q$239,0)),0)</f>
        <v>0</v>
      </c>
      <c r="X225" s="410">
        <f>TRUNC((V225*W225*T225),2)</f>
        <v>0</v>
      </c>
      <c r="Y225" s="410">
        <f>X225</f>
        <v>0</v>
      </c>
      <c r="Z225" s="300">
        <f>V225</f>
        <v>0</v>
      </c>
    </row>
    <row r="226" spans="15:26">
      <c r="O226" s="300" t="str">
        <f>'4. Calcul Énergir et HQ'!F72</f>
        <v>Choisir…</v>
      </c>
      <c r="P226" s="300" t="str">
        <f>'4. Calcul Énergir et HQ'!W72</f>
        <v>Choisir…</v>
      </c>
      <c r="Q226" s="300">
        <f>'4. Calcul Énergir et HQ'!AO72</f>
        <v>0</v>
      </c>
      <c r="R226" s="300">
        <f>'4. Calcul Énergir et HQ'!AS72</f>
        <v>0</v>
      </c>
      <c r="S226" s="300">
        <f>IFERROR(IF(O226="Choisir…",0,IF(P226="Non applicable",1,INDEX(IF($U$162="BE",$O$156:$O$159,$Q$156:$Q$159),MATCH(P226,$N$156:$N$159,0)))),0)</f>
        <v>0</v>
      </c>
      <c r="T226" s="300">
        <f>IFERROR(IF(O226="Choisir…",0,IF(P226="Non applicable",1,INDEX(IF($U$162="BE",$P$156:$P$159,$R$156:$R$159),MATCH(P226,$N$156:$N$159,0)))),0)</f>
        <v>0</v>
      </c>
      <c r="U226" s="300">
        <f t="array" ref="U226">IFERROR(INDEX($Q$234:$Q$239,MATCH(1,($O$234:$O$239=O226)*($P$234:$P$239=$U$162),0)),0)</f>
        <v>0</v>
      </c>
      <c r="V226" s="300">
        <f>TRUNC((Q226*R226*S226*U226),0)</f>
        <v>0</v>
      </c>
      <c r="W226" s="300">
        <f>IFERROR(INDEX(IF($U$161=$R$233,$R$234:$R$239,$S$234:$S$239),MATCH(U226,$Q$234:$Q$239,0)),0)</f>
        <v>0</v>
      </c>
      <c r="X226" s="410">
        <f>TRUNC((V226*W226*T226),2)</f>
        <v>0</v>
      </c>
      <c r="Y226" s="410">
        <f>X226</f>
        <v>0</v>
      </c>
      <c r="Z226" s="300">
        <f>V226</f>
        <v>0</v>
      </c>
    </row>
    <row r="227" spans="15:26">
      <c r="O227" s="300" t="str">
        <f>'4. Calcul Énergir et HQ'!F73</f>
        <v>Choisir…</v>
      </c>
      <c r="P227" s="300" t="str">
        <f>'4. Calcul Énergir et HQ'!W73</f>
        <v>Choisir…</v>
      </c>
      <c r="Q227" s="300">
        <f>'4. Calcul Énergir et HQ'!AO73</f>
        <v>0</v>
      </c>
      <c r="R227" s="300">
        <f>'4. Calcul Énergir et HQ'!AS73</f>
        <v>0</v>
      </c>
      <c r="S227" s="300">
        <f>IFERROR(IF(O227="Choisir…",0,IF(P227="Non applicable",1,INDEX(IF($U$162="BE",$O$156:$O$159,$Q$156:$Q$159),MATCH(P227,$N$156:$N$159,0)))),0)</f>
        <v>0</v>
      </c>
      <c r="T227" s="300">
        <f>IFERROR(IF(O227="Choisir…",0,IF(P227="Non applicable",1,INDEX(IF($U$162="BE",$P$156:$P$159,$R$156:$R$159),MATCH(P227,$N$156:$N$159,0)))),0)</f>
        <v>0</v>
      </c>
      <c r="U227" s="300">
        <f t="array" ref="U227">IFERROR(INDEX($Q$234:$Q$239,MATCH(1,($O$234:$O$239=O227)*($P$234:$P$239=$U$162),0)),0)</f>
        <v>0</v>
      </c>
      <c r="V227" s="300">
        <f>TRUNC((Q227*R227*S227*U227),0)</f>
        <v>0</v>
      </c>
      <c r="W227" s="300">
        <f>IFERROR(INDEX(IF($U$161=$R$233,$R$234:$R$239,$S$234:$S$239),MATCH(U227,$Q$234:$Q$239,0)),0)</f>
        <v>0</v>
      </c>
      <c r="X227" s="410">
        <f>TRUNC((V227*W227*T227),2)</f>
        <v>0</v>
      </c>
      <c r="Y227" s="410">
        <f>X227</f>
        <v>0</v>
      </c>
      <c r="Z227" s="300">
        <f>V227</f>
        <v>0</v>
      </c>
    </row>
    <row r="228" spans="15:26">
      <c r="O228" s="300" t="str">
        <f>'4. Calcul Énergir et HQ'!F74</f>
        <v>Choisir…</v>
      </c>
      <c r="P228" s="300" t="str">
        <f>'4. Calcul Énergir et HQ'!W74</f>
        <v>Choisir…</v>
      </c>
      <c r="Q228" s="300">
        <f>'4. Calcul Énergir et HQ'!AO74</f>
        <v>0</v>
      </c>
      <c r="R228" s="300">
        <f>'4. Calcul Énergir et HQ'!AS74</f>
        <v>0</v>
      </c>
      <c r="S228" s="300">
        <f>IFERROR(IF(O228="Choisir…",0,IF(P228="Non applicable",1,INDEX(IF($U$162="BE",$O$156:$O$159,$Q$156:$Q$159),MATCH(P228,$N$156:$N$159,0)))),0)</f>
        <v>0</v>
      </c>
      <c r="T228" s="300">
        <f>IFERROR(IF(O228="Choisir…",0,IF(P228="Non applicable",1,INDEX(IF($U$162="BE",$P$156:$P$159,$R$156:$R$159),MATCH(P228,$N$156:$N$159,0)))),0)</f>
        <v>0</v>
      </c>
      <c r="U228" s="300">
        <f t="array" ref="U228">IFERROR(INDEX($Q$234:$Q$239,MATCH(1,($O$234:$O$239=O228)*($P$234:$P$239=$U$162),0)),0)</f>
        <v>0</v>
      </c>
      <c r="V228" s="300">
        <f>TRUNC((Q228*R228*S228*U228),0)</f>
        <v>0</v>
      </c>
      <c r="W228" s="300">
        <f>IFERROR(INDEX(IF($U$161=$R$233,$R$234:$R$239,$S$234:$S$239),MATCH(U228,$Q$234:$Q$239,0)),0)</f>
        <v>0</v>
      </c>
      <c r="X228" s="410">
        <f>TRUNC((V228*W228*T228),2)</f>
        <v>0</v>
      </c>
      <c r="Y228" s="410">
        <f>X228</f>
        <v>0</v>
      </c>
      <c r="Z228" s="300">
        <f>V228</f>
        <v>0</v>
      </c>
    </row>
    <row r="229" spans="15:26">
      <c r="O229" s="300" t="str">
        <f>'4. Calcul Énergir et HQ'!F75</f>
        <v>Choisir…</v>
      </c>
      <c r="P229" s="300" t="str">
        <f>'4. Calcul Énergir et HQ'!W75</f>
        <v>Choisir…</v>
      </c>
      <c r="Q229" s="300">
        <f>'4. Calcul Énergir et HQ'!AO75</f>
        <v>0</v>
      </c>
      <c r="R229" s="300">
        <f>'4. Calcul Énergir et HQ'!AS75</f>
        <v>0</v>
      </c>
      <c r="S229" s="300">
        <f>IFERROR(IF(O229="Choisir…",0,IF(P229="Non applicable",1,INDEX(IF($U$162="BE",$O$156:$O$159,$Q$156:$Q$159),MATCH(P229,$N$156:$N$159,0)))),0)</f>
        <v>0</v>
      </c>
      <c r="T229" s="300">
        <f>IFERROR(IF(O229="Choisir…",0,IF(P229="Non applicable",1,INDEX(IF($U$162="BE",$P$156:$P$159,$R$156:$R$159),MATCH(P229,$N$156:$N$159,0)))),0)</f>
        <v>0</v>
      </c>
      <c r="U229" s="300">
        <f t="array" ref="U229">IFERROR(INDEX($Q$234:$Q$239,MATCH(1,($O$234:$O$239=O229)*($P$234:$P$239=$U$162),0)),0)</f>
        <v>0</v>
      </c>
      <c r="V229" s="300">
        <f>TRUNC((Q229*R229*S229*U229),0)</f>
        <v>0</v>
      </c>
      <c r="W229" s="300">
        <f>IFERROR(INDEX(IF($U$161=$R$233,$R$234:$R$239,$S$234:$S$239),MATCH(U229,$Q$234:$Q$239,0)),0)</f>
        <v>0</v>
      </c>
      <c r="X229" s="410">
        <f>TRUNC((V229*W229*T229),2)</f>
        <v>0</v>
      </c>
      <c r="Y229" s="410">
        <f>X229</f>
        <v>0</v>
      </c>
      <c r="Z229" s="300">
        <f>V229</f>
        <v>0</v>
      </c>
    </row>
    <row r="233" spans="15:26">
      <c r="O233" s="300" t="str">
        <f>O224</f>
        <v>Type d'unité bibloc</v>
      </c>
      <c r="P233" s="300" t="str">
        <f>P209</f>
        <v>Nature</v>
      </c>
      <c r="Q233" s="300" t="str">
        <f>Q209</f>
        <v>Facteur M</v>
      </c>
      <c r="R233" s="300" t="str">
        <f>R209</f>
        <v>Autre Tarif</v>
      </c>
      <c r="S233" s="300" t="s">
        <v>4994</v>
      </c>
    </row>
    <row r="234" spans="15:26">
      <c r="O234" s="300" t="str">
        <f>N184</f>
        <v>Unité bibloc certifié AHRI</v>
      </c>
      <c r="P234" s="300" t="s">
        <v>4987</v>
      </c>
      <c r="Q234" s="300">
        <v>332.87470610000003</v>
      </c>
      <c r="R234" s="300">
        <v>0.39950000000000002</v>
      </c>
      <c r="S234" s="300">
        <v>0.47939999999999999</v>
      </c>
    </row>
    <row r="235" spans="15:26">
      <c r="O235" s="300" t="str">
        <f>N184</f>
        <v>Unité bibloc certifié AHRI</v>
      </c>
      <c r="P235" s="300" t="s">
        <v>4988</v>
      </c>
      <c r="Q235" s="300">
        <v>382.13365060000001</v>
      </c>
      <c r="R235" s="300">
        <v>0.3926</v>
      </c>
      <c r="S235" s="300">
        <v>0.47110000000000002</v>
      </c>
    </row>
    <row r="236" spans="15:26">
      <c r="O236" s="300" t="str">
        <f>N182</f>
        <v>Unité bibloc certifié ENERGY STAR</v>
      </c>
      <c r="P236" s="300" t="s">
        <v>4987</v>
      </c>
      <c r="Q236" s="300">
        <v>411.159740124</v>
      </c>
      <c r="R236" s="300">
        <v>0.3891</v>
      </c>
      <c r="S236" s="300">
        <v>0.46689999999999998</v>
      </c>
    </row>
    <row r="237" spans="15:26">
      <c r="O237" s="300" t="str">
        <f>N182</f>
        <v>Unité bibloc certifié ENERGY STAR</v>
      </c>
      <c r="P237" s="300" t="s">
        <v>4988</v>
      </c>
      <c r="Q237" s="300">
        <v>472.20742837200004</v>
      </c>
      <c r="R237" s="300">
        <v>0.37059999999999998</v>
      </c>
      <c r="S237" s="300">
        <v>0.44469999999999998</v>
      </c>
    </row>
    <row r="238" spans="15:26">
      <c r="O238" s="300" t="str">
        <f>N183</f>
        <v>Unité bibloc certifié ENERGY STAR climat froid</v>
      </c>
      <c r="P238" s="300" t="s">
        <v>4987</v>
      </c>
      <c r="Q238" s="300">
        <v>489.45842871999997</v>
      </c>
      <c r="R238" s="300">
        <v>0.37790000000000001</v>
      </c>
      <c r="S238" s="300">
        <v>0.45350000000000001</v>
      </c>
    </row>
    <row r="239" spans="15:26">
      <c r="O239" s="300" t="str">
        <f>N183</f>
        <v>Unité bibloc certifié ENERGY STAR climat froid</v>
      </c>
      <c r="P239" s="300" t="s">
        <v>4988</v>
      </c>
      <c r="Q239" s="300">
        <v>562.29688689199997</v>
      </c>
      <c r="R239" s="300">
        <v>0.35570000000000002</v>
      </c>
      <c r="S239" s="300">
        <v>0.42680000000000001</v>
      </c>
    </row>
  </sheetData>
  <mergeCells count="21">
    <mergeCell ref="B26:E26"/>
    <mergeCell ref="I26:M26"/>
    <mergeCell ref="Y211:Z211"/>
    <mergeCell ref="AA211:AB211"/>
    <mergeCell ref="B1:K1"/>
    <mergeCell ref="A12:G12"/>
    <mergeCell ref="C77:H77"/>
    <mergeCell ref="B75:I76"/>
    <mergeCell ref="B80:B83"/>
    <mergeCell ref="O223:AB223"/>
    <mergeCell ref="A99:L100"/>
    <mergeCell ref="O198:AB198"/>
    <mergeCell ref="O165:AB165"/>
    <mergeCell ref="O154:P154"/>
    <mergeCell ref="Q154:R154"/>
    <mergeCell ref="Y107:AA107"/>
    <mergeCell ref="S107:U107"/>
    <mergeCell ref="V107:X107"/>
    <mergeCell ref="P107:R107"/>
    <mergeCell ref="O131:AB131"/>
    <mergeCell ref="Q144:R14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2DDD-12D2-404D-ABA8-63488DA628BE}">
  <sheetPr codeName="Feuil7">
    <tabColor rgb="FF00B0F0"/>
  </sheetPr>
  <dimension ref="A2:AR669"/>
  <sheetViews>
    <sheetView showGridLines="0" workbookViewId="0">
      <selection activeCell="C44" sqref="C44:F44"/>
    </sheetView>
  </sheetViews>
  <sheetFormatPr baseColWidth="10" defaultColWidth="12.54296875" defaultRowHeight="12.5"/>
  <cols>
    <col min="1" max="2" width="3" customWidth="1"/>
    <col min="3" max="3" width="29.1796875" customWidth="1"/>
    <col min="4" max="4" width="29.26953125" customWidth="1"/>
    <col min="5" max="5" width="14.26953125" customWidth="1"/>
    <col min="6" max="6" width="15.453125" customWidth="1"/>
    <col min="7" max="7" width="8" customWidth="1"/>
    <col min="8" max="8" width="21.81640625" customWidth="1"/>
    <col min="9" max="9" width="29.1796875" customWidth="1"/>
    <col min="10" max="10" width="16.7265625" customWidth="1"/>
    <col min="11" max="12" width="15.54296875" customWidth="1"/>
    <col min="13" max="13" width="3" customWidth="1"/>
    <col min="14" max="14" width="3.54296875" customWidth="1"/>
    <col min="15" max="16" width="12.54296875" style="476"/>
    <col min="17" max="17" width="13.7265625" style="476" bestFit="1" customWidth="1"/>
    <col min="18" max="42" width="12.54296875" style="476"/>
  </cols>
  <sheetData>
    <row r="2" spans="1:17" ht="26">
      <c r="B2" s="417" t="s">
        <v>5595</v>
      </c>
      <c r="C2" s="254"/>
      <c r="D2" s="757"/>
      <c r="E2" s="758"/>
      <c r="F2" s="758"/>
      <c r="G2" s="758"/>
      <c r="H2" s="758"/>
      <c r="I2" s="758"/>
      <c r="J2" s="758"/>
      <c r="K2" s="758"/>
      <c r="L2" s="758"/>
      <c r="M2" s="758"/>
      <c r="N2" s="758"/>
      <c r="O2" s="759"/>
      <c r="P2" s="759"/>
      <c r="Q2" s="759"/>
    </row>
    <row r="3" spans="1:17" ht="14">
      <c r="B3" s="760" t="s">
        <v>5524</v>
      </c>
      <c r="E3" s="761"/>
      <c r="F3" s="761"/>
      <c r="G3" s="761"/>
      <c r="H3" s="761"/>
      <c r="I3" s="761"/>
      <c r="J3" s="761"/>
      <c r="K3" s="761"/>
      <c r="L3" s="761"/>
    </row>
    <row r="4" spans="1:17" ht="18.5">
      <c r="B4" s="762"/>
      <c r="E4" s="761"/>
      <c r="F4" s="761"/>
      <c r="G4" s="761"/>
      <c r="H4" s="761"/>
      <c r="I4" s="761"/>
      <c r="J4" s="761"/>
      <c r="K4" s="761"/>
      <c r="L4" s="761"/>
    </row>
    <row r="5" spans="1:17" ht="18.5">
      <c r="B5" s="762"/>
      <c r="E5" s="761"/>
      <c r="F5" s="761"/>
      <c r="G5" s="761"/>
      <c r="H5" s="761"/>
      <c r="I5" s="761"/>
      <c r="J5" s="761"/>
      <c r="K5" s="761"/>
      <c r="L5" s="761"/>
    </row>
    <row r="6" spans="1:17" ht="48.75" customHeight="1">
      <c r="B6" s="762"/>
      <c r="C6" s="1569" t="s">
        <v>5594</v>
      </c>
      <c r="D6" s="1569"/>
      <c r="E6" s="1569"/>
      <c r="F6" s="1569"/>
      <c r="G6" s="1569"/>
      <c r="H6" s="1569"/>
      <c r="I6" s="1569"/>
      <c r="J6" s="1569"/>
      <c r="K6" s="761"/>
      <c r="L6" s="761"/>
    </row>
    <row r="7" spans="1:17" ht="14.5">
      <c r="A7" s="763"/>
      <c r="I7" s="764"/>
      <c r="M7" s="607"/>
    </row>
    <row r="8" spans="1:17" ht="14.15" customHeight="1">
      <c r="A8" s="763"/>
      <c r="B8" s="765"/>
      <c r="C8" s="766" t="s">
        <v>5544</v>
      </c>
      <c r="D8" s="765"/>
      <c r="E8" s="765"/>
      <c r="F8" s="765"/>
      <c r="G8" s="765"/>
      <c r="H8" s="765"/>
      <c r="I8" s="765"/>
      <c r="J8" s="765"/>
      <c r="K8" s="765"/>
      <c r="L8" s="765"/>
      <c r="M8" s="765"/>
    </row>
    <row r="9" spans="1:17" ht="6.65" customHeight="1" thickBot="1">
      <c r="A9" s="763"/>
      <c r="B9" s="767"/>
      <c r="C9" s="767"/>
      <c r="D9" s="767"/>
      <c r="E9" s="767"/>
      <c r="F9" s="767"/>
      <c r="G9" s="767"/>
      <c r="H9" s="767"/>
      <c r="I9" s="767"/>
      <c r="J9" s="767"/>
      <c r="K9" s="767"/>
      <c r="L9" s="767"/>
      <c r="M9" s="767"/>
    </row>
    <row r="10" spans="1:17" ht="28.4" customHeight="1">
      <c r="A10" s="763"/>
      <c r="B10" s="767"/>
      <c r="C10" s="1570" t="s">
        <v>5545</v>
      </c>
      <c r="D10" s="1572" t="s">
        <v>5546</v>
      </c>
      <c r="E10" s="1572" t="s">
        <v>5547</v>
      </c>
      <c r="F10" s="1572" t="s">
        <v>5548</v>
      </c>
      <c r="G10" s="1574" t="s">
        <v>98</v>
      </c>
      <c r="H10" s="1570"/>
      <c r="I10" s="1572" t="s">
        <v>5549</v>
      </c>
      <c r="J10" s="768" t="s">
        <v>5550</v>
      </c>
      <c r="K10" s="768" t="s">
        <v>5551</v>
      </c>
      <c r="L10" s="769" t="s">
        <v>5552</v>
      </c>
      <c r="M10" s="610"/>
    </row>
    <row r="11" spans="1:17" ht="13.5" thickBot="1">
      <c r="A11" s="763"/>
      <c r="B11" s="767"/>
      <c r="C11" s="1571"/>
      <c r="D11" s="1573"/>
      <c r="E11" s="1573"/>
      <c r="F11" s="1573"/>
      <c r="G11" s="1575"/>
      <c r="H11" s="1576"/>
      <c r="I11" s="1573"/>
      <c r="J11" s="770" t="s">
        <v>5553</v>
      </c>
      <c r="K11" s="770" t="s">
        <v>5554</v>
      </c>
      <c r="L11" s="771" t="s">
        <v>5555</v>
      </c>
      <c r="M11" s="610"/>
    </row>
    <row r="12" spans="1:17" ht="13">
      <c r="A12" s="763"/>
      <c r="B12" s="767"/>
      <c r="C12" s="495"/>
      <c r="D12" s="528"/>
      <c r="E12" s="496"/>
      <c r="F12" s="497"/>
      <c r="G12" s="1567"/>
      <c r="H12" s="1568"/>
      <c r="I12" s="496"/>
      <c r="J12" s="496"/>
      <c r="K12" s="498"/>
      <c r="L12" s="499">
        <f t="shared" ref="L12:L19" si="0">J12*K12</f>
        <v>0</v>
      </c>
      <c r="M12" s="767"/>
    </row>
    <row r="13" spans="1:17" ht="13">
      <c r="A13" s="763"/>
      <c r="B13" s="767"/>
      <c r="C13" s="500"/>
      <c r="D13" s="526"/>
      <c r="E13" s="501"/>
      <c r="F13" s="502"/>
      <c r="G13" s="1554"/>
      <c r="H13" s="1555"/>
      <c r="I13" s="501"/>
      <c r="J13" s="501"/>
      <c r="K13" s="503"/>
      <c r="L13" s="504">
        <f t="shared" si="0"/>
        <v>0</v>
      </c>
      <c r="M13" s="767"/>
    </row>
    <row r="14" spans="1:17" ht="13">
      <c r="A14" s="763"/>
      <c r="B14" s="767"/>
      <c r="C14" s="500"/>
      <c r="D14" s="526"/>
      <c r="E14" s="501"/>
      <c r="F14" s="502"/>
      <c r="G14" s="1554"/>
      <c r="H14" s="1555"/>
      <c r="I14" s="501"/>
      <c r="J14" s="501"/>
      <c r="K14" s="503"/>
      <c r="L14" s="504">
        <f t="shared" si="0"/>
        <v>0</v>
      </c>
      <c r="M14" s="767"/>
    </row>
    <row r="15" spans="1:17" ht="13">
      <c r="A15" s="763"/>
      <c r="B15" s="767"/>
      <c r="C15" s="500"/>
      <c r="D15" s="526"/>
      <c r="E15" s="501"/>
      <c r="F15" s="502"/>
      <c r="G15" s="1554"/>
      <c r="H15" s="1555"/>
      <c r="I15" s="501"/>
      <c r="J15" s="501"/>
      <c r="K15" s="503"/>
      <c r="L15" s="504">
        <f t="shared" si="0"/>
        <v>0</v>
      </c>
      <c r="M15" s="767"/>
    </row>
    <row r="16" spans="1:17" ht="13">
      <c r="A16" s="763"/>
      <c r="B16" s="767"/>
      <c r="C16" s="500"/>
      <c r="D16" s="526"/>
      <c r="E16" s="501"/>
      <c r="F16" s="502"/>
      <c r="G16" s="1554"/>
      <c r="H16" s="1555"/>
      <c r="I16" s="501"/>
      <c r="J16" s="501"/>
      <c r="K16" s="503"/>
      <c r="L16" s="504">
        <f t="shared" si="0"/>
        <v>0</v>
      </c>
      <c r="M16" s="767"/>
    </row>
    <row r="17" spans="1:14" ht="13">
      <c r="A17" s="763"/>
      <c r="B17" s="767"/>
      <c r="C17" s="500"/>
      <c r="D17" s="526"/>
      <c r="E17" s="501"/>
      <c r="F17" s="502"/>
      <c r="G17" s="1554"/>
      <c r="H17" s="1555"/>
      <c r="I17" s="501"/>
      <c r="J17" s="501"/>
      <c r="K17" s="503"/>
      <c r="L17" s="504">
        <f t="shared" si="0"/>
        <v>0</v>
      </c>
      <c r="M17" s="767"/>
    </row>
    <row r="18" spans="1:14" ht="13">
      <c r="A18" s="763"/>
      <c r="B18" s="767"/>
      <c r="C18" s="500"/>
      <c r="D18" s="526"/>
      <c r="E18" s="501"/>
      <c r="F18" s="502"/>
      <c r="G18" s="1554"/>
      <c r="H18" s="1555"/>
      <c r="I18" s="501"/>
      <c r="J18" s="501"/>
      <c r="K18" s="503"/>
      <c r="L18" s="504">
        <f t="shared" si="0"/>
        <v>0</v>
      </c>
      <c r="M18" s="767"/>
    </row>
    <row r="19" spans="1:14" ht="13.5" thickBot="1">
      <c r="A19" s="763"/>
      <c r="B19" s="767"/>
      <c r="C19" s="505"/>
      <c r="D19" s="527"/>
      <c r="E19" s="506"/>
      <c r="F19" s="507"/>
      <c r="G19" s="1562"/>
      <c r="H19" s="1563"/>
      <c r="I19" s="506"/>
      <c r="J19" s="506"/>
      <c r="K19" s="508"/>
      <c r="L19" s="509">
        <f t="shared" si="0"/>
        <v>0</v>
      </c>
      <c r="M19" s="767"/>
    </row>
    <row r="20" spans="1:14" ht="13.5" thickBot="1">
      <c r="A20" s="763"/>
      <c r="B20" s="767"/>
      <c r="C20" s="767"/>
      <c r="D20" s="772"/>
      <c r="E20" s="773"/>
      <c r="F20" s="773"/>
      <c r="G20" s="773"/>
      <c r="H20" s="773"/>
      <c r="I20" s="773"/>
      <c r="J20" s="773"/>
      <c r="K20" s="774" t="s">
        <v>859</v>
      </c>
      <c r="L20" s="775">
        <f>SUM(L12:L19)</f>
        <v>0</v>
      </c>
      <c r="M20" s="610"/>
    </row>
    <row r="21" spans="1:14" ht="14.15" customHeight="1">
      <c r="A21" s="763"/>
      <c r="B21" s="767"/>
      <c r="C21" s="767"/>
      <c r="D21" s="772"/>
      <c r="E21" s="773"/>
      <c r="F21" s="773"/>
      <c r="G21" s="773"/>
      <c r="H21" s="773"/>
      <c r="I21" s="773"/>
      <c r="J21" s="773"/>
      <c r="K21" s="774" t="s">
        <v>5556</v>
      </c>
      <c r="L21" s="510"/>
      <c r="M21" s="610"/>
    </row>
    <row r="22" spans="1:14" ht="14.15" customHeight="1">
      <c r="A22" s="763"/>
      <c r="B22" s="767"/>
      <c r="C22" s="767"/>
      <c r="D22" s="772"/>
      <c r="E22" s="773"/>
      <c r="F22" s="773"/>
      <c r="G22" s="773"/>
      <c r="H22" s="773"/>
      <c r="I22" s="773"/>
      <c r="J22" s="773"/>
      <c r="K22" s="774" t="s">
        <v>5557</v>
      </c>
      <c r="L22" s="511"/>
      <c r="M22" s="610"/>
    </row>
    <row r="23" spans="1:14" ht="6.65" customHeight="1">
      <c r="A23" s="763"/>
      <c r="B23" s="776"/>
      <c r="C23" s="777"/>
      <c r="D23" s="778"/>
      <c r="E23" s="779"/>
      <c r="F23" s="779"/>
      <c r="G23" s="779"/>
      <c r="H23" s="779"/>
      <c r="I23" s="779"/>
      <c r="J23" s="779"/>
      <c r="K23" s="779"/>
      <c r="L23" s="779"/>
      <c r="M23" s="776"/>
      <c r="N23" s="776"/>
    </row>
    <row r="24" spans="1:14" ht="6.65" customHeight="1">
      <c r="B24" s="778"/>
      <c r="C24" s="778"/>
      <c r="D24" s="778"/>
      <c r="E24" s="778"/>
      <c r="F24" s="778"/>
      <c r="G24" s="778"/>
      <c r="H24" s="778"/>
      <c r="I24" s="778"/>
      <c r="J24" s="778"/>
      <c r="K24" s="778"/>
      <c r="L24" s="778"/>
      <c r="M24" s="776"/>
    </row>
    <row r="25" spans="1:14" ht="6.65" customHeight="1">
      <c r="B25" s="780"/>
      <c r="C25" s="780"/>
      <c r="D25" s="780"/>
      <c r="E25" s="780"/>
      <c r="F25" s="780"/>
      <c r="G25" s="780"/>
      <c r="H25" s="778"/>
      <c r="I25" s="778"/>
      <c r="J25" s="778"/>
      <c r="K25" s="778"/>
      <c r="L25" s="778"/>
      <c r="M25" s="776"/>
    </row>
    <row r="26" spans="1:14" ht="13">
      <c r="B26" s="610"/>
      <c r="C26" s="781" t="s">
        <v>5558</v>
      </c>
      <c r="D26" s="780"/>
      <c r="E26" s="780"/>
      <c r="F26" s="780"/>
      <c r="G26" s="780"/>
      <c r="H26" s="778"/>
      <c r="I26" s="776"/>
    </row>
    <row r="27" spans="1:14" ht="13">
      <c r="B27" s="610"/>
      <c r="C27" s="1564" t="s">
        <v>5559</v>
      </c>
      <c r="D27" s="1564"/>
      <c r="E27" s="1564"/>
      <c r="F27" s="1564"/>
      <c r="G27" s="780"/>
      <c r="H27" s="778"/>
      <c r="I27" s="778"/>
      <c r="J27" s="782"/>
      <c r="K27" s="782"/>
      <c r="L27" s="782"/>
      <c r="M27" s="776"/>
    </row>
    <row r="28" spans="1:14" ht="23.9" customHeight="1">
      <c r="B28" s="610"/>
      <c r="C28" s="1564"/>
      <c r="D28" s="1564"/>
      <c r="E28" s="1564"/>
      <c r="F28" s="1564"/>
      <c r="G28" s="780"/>
      <c r="H28" s="778"/>
      <c r="I28" s="783"/>
      <c r="J28" s="782"/>
      <c r="K28" s="782"/>
      <c r="L28" s="782"/>
      <c r="M28" s="776"/>
    </row>
    <row r="29" spans="1:14" ht="7.4" customHeight="1">
      <c r="B29" s="610"/>
      <c r="C29" s="610"/>
      <c r="D29" s="784"/>
      <c r="E29" s="784"/>
      <c r="F29" s="784"/>
      <c r="G29" s="780"/>
      <c r="H29" s="778"/>
      <c r="I29" s="783"/>
      <c r="J29" s="782"/>
      <c r="K29" s="782"/>
      <c r="L29" s="782"/>
      <c r="M29" s="785"/>
    </row>
    <row r="30" spans="1:14" ht="13">
      <c r="B30" s="610"/>
      <c r="C30" s="786" t="s">
        <v>5648</v>
      </c>
      <c r="D30" s="787"/>
      <c r="E30" s="787"/>
      <c r="F30" s="787"/>
      <c r="G30" s="780"/>
      <c r="H30" s="778"/>
      <c r="I30" s="783"/>
      <c r="J30" s="782"/>
      <c r="K30" s="782"/>
      <c r="L30" s="782"/>
      <c r="M30" s="778"/>
    </row>
    <row r="31" spans="1:14" ht="7.4" customHeight="1" thickBot="1">
      <c r="B31" s="610"/>
      <c r="C31" s="788"/>
      <c r="D31" s="784"/>
      <c r="E31" s="784"/>
      <c r="F31" s="784"/>
      <c r="G31" s="780"/>
      <c r="H31" s="778"/>
      <c r="I31" s="783"/>
      <c r="J31" s="782"/>
      <c r="K31" s="782"/>
      <c r="L31" s="782"/>
      <c r="M31" s="778"/>
    </row>
    <row r="32" spans="1:14" ht="13.5" thickBot="1">
      <c r="B32" s="610"/>
      <c r="C32" s="1556"/>
      <c r="D32" s="1557"/>
      <c r="E32" s="1557"/>
      <c r="F32" s="1558"/>
      <c r="G32" s="780"/>
      <c r="H32" s="778"/>
      <c r="I32" s="783"/>
      <c r="J32" s="782"/>
      <c r="K32" s="782"/>
      <c r="L32" s="782"/>
      <c r="M32" s="778"/>
    </row>
    <row r="33" spans="2:42" ht="7.4" customHeight="1">
      <c r="B33" s="610"/>
      <c r="C33" s="789"/>
      <c r="D33" s="780"/>
      <c r="E33" s="780"/>
      <c r="F33" s="780"/>
      <c r="G33" s="780"/>
      <c r="H33" s="778"/>
      <c r="I33" s="783"/>
      <c r="J33" s="782"/>
      <c r="K33" s="782"/>
      <c r="L33" s="782"/>
      <c r="M33" s="778"/>
    </row>
    <row r="34" spans="2:42" ht="13">
      <c r="B34" s="610"/>
      <c r="C34" s="790" t="s">
        <v>5649</v>
      </c>
      <c r="D34" s="780"/>
      <c r="E34" s="780"/>
      <c r="F34" s="790" t="s">
        <v>5620</v>
      </c>
      <c r="G34" s="780"/>
      <c r="H34" s="778"/>
      <c r="I34" s="783"/>
      <c r="J34" s="782"/>
      <c r="K34" s="782"/>
      <c r="L34" s="782"/>
      <c r="M34" s="785"/>
    </row>
    <row r="35" spans="2:42" ht="7.4" customHeight="1" thickBot="1">
      <c r="B35" s="610"/>
      <c r="C35" s="789"/>
      <c r="D35" s="780"/>
      <c r="E35" s="780"/>
      <c r="F35" s="780"/>
      <c r="G35" s="780"/>
      <c r="H35" s="778"/>
      <c r="I35" s="783"/>
      <c r="J35" s="782"/>
      <c r="K35" s="782"/>
      <c r="L35" s="782"/>
      <c r="M35" s="778"/>
    </row>
    <row r="36" spans="2:42" ht="13.5" thickBot="1">
      <c r="B36" s="610"/>
      <c r="C36" s="1556"/>
      <c r="D36" s="1558"/>
      <c r="E36" s="780"/>
      <c r="F36" s="512"/>
      <c r="G36" s="780"/>
      <c r="H36" s="778"/>
      <c r="I36" s="783"/>
      <c r="J36" s="782"/>
      <c r="K36" s="782"/>
      <c r="L36" s="782"/>
      <c r="M36" s="778"/>
    </row>
    <row r="37" spans="2:42" ht="7.4" customHeight="1">
      <c r="B37" s="610"/>
      <c r="C37" s="789"/>
      <c r="D37" s="780"/>
      <c r="E37" s="780"/>
      <c r="F37" s="1565" t="s">
        <v>5560</v>
      </c>
      <c r="G37" s="780"/>
      <c r="H37" s="778"/>
      <c r="I37" s="783"/>
      <c r="J37" s="782"/>
      <c r="K37" s="782"/>
      <c r="L37" s="782"/>
      <c r="M37" s="785"/>
    </row>
    <row r="38" spans="2:42" ht="13">
      <c r="B38" s="610"/>
      <c r="C38" s="790" t="s">
        <v>5650</v>
      </c>
      <c r="D38" s="780"/>
      <c r="E38" s="780"/>
      <c r="F38" s="1566"/>
      <c r="G38" s="780"/>
      <c r="H38" s="778"/>
      <c r="I38" s="783"/>
      <c r="J38" s="782"/>
      <c r="K38" s="782"/>
      <c r="L38" s="782"/>
      <c r="M38" s="778"/>
    </row>
    <row r="39" spans="2:42" ht="7.4" customHeight="1" thickBot="1">
      <c r="B39" s="610"/>
      <c r="C39" s="789"/>
      <c r="D39" s="780"/>
      <c r="E39" s="780"/>
      <c r="F39" s="780"/>
      <c r="G39" s="780"/>
      <c r="H39" s="778"/>
      <c r="I39" s="783"/>
      <c r="J39" s="782"/>
      <c r="K39" s="782"/>
      <c r="L39" s="782"/>
      <c r="M39" s="778"/>
      <c r="S39" s="791"/>
    </row>
    <row r="40" spans="2:42" ht="13.5" thickBot="1">
      <c r="B40" s="610"/>
      <c r="C40" s="1556"/>
      <c r="D40" s="1557"/>
      <c r="E40" s="1557"/>
      <c r="F40" s="1558"/>
      <c r="G40" s="780"/>
      <c r="H40" s="778"/>
      <c r="I40" s="783"/>
      <c r="J40" s="782"/>
      <c r="K40" s="782"/>
      <c r="L40" s="782"/>
      <c r="M40" s="778"/>
    </row>
    <row r="41" spans="2:42" ht="7.4" customHeight="1">
      <c r="B41" s="610"/>
      <c r="C41" s="789"/>
      <c r="D41" s="780"/>
      <c r="E41" s="780"/>
      <c r="F41" s="780"/>
      <c r="G41" s="780"/>
      <c r="H41" s="778"/>
      <c r="I41" s="783"/>
      <c r="J41" s="782"/>
      <c r="K41" s="782"/>
      <c r="L41" s="782"/>
      <c r="M41" s="778"/>
    </row>
    <row r="42" spans="2:42" ht="13">
      <c r="B42" s="610"/>
      <c r="C42" s="790" t="s">
        <v>5651</v>
      </c>
      <c r="D42" s="784"/>
      <c r="E42" s="784"/>
      <c r="F42" s="784"/>
      <c r="G42" s="780"/>
      <c r="H42" s="778"/>
      <c r="I42" s="783"/>
      <c r="J42" s="782"/>
      <c r="K42" s="782"/>
      <c r="L42" s="782"/>
      <c r="M42" s="785"/>
    </row>
    <row r="43" spans="2:42" ht="7.4" customHeight="1" thickBot="1">
      <c r="B43" s="610"/>
      <c r="C43" s="789"/>
      <c r="D43" s="780"/>
      <c r="E43" s="780"/>
      <c r="F43" s="780"/>
      <c r="G43" s="780"/>
      <c r="H43" s="778"/>
      <c r="I43" s="778"/>
      <c r="J43" s="778"/>
      <c r="K43" s="778"/>
      <c r="L43" s="778"/>
      <c r="M43" s="776"/>
    </row>
    <row r="44" spans="2:42" ht="13.5" thickBot="1">
      <c r="B44" s="610"/>
      <c r="C44" s="1559"/>
      <c r="D44" s="1560"/>
      <c r="E44" s="1560"/>
      <c r="F44" s="1561"/>
      <c r="G44" s="780"/>
      <c r="H44" s="778"/>
      <c r="I44" s="513"/>
      <c r="J44" s="513"/>
      <c r="K44" s="514"/>
      <c r="L44" s="514"/>
      <c r="M44" s="776"/>
    </row>
    <row r="45" spans="2:42" ht="10.4" customHeight="1">
      <c r="B45" s="610"/>
      <c r="C45" s="789"/>
      <c r="D45" s="780"/>
      <c r="E45" s="780"/>
      <c r="F45" s="780"/>
      <c r="G45" s="780"/>
      <c r="H45" s="778"/>
      <c r="I45" s="778"/>
      <c r="J45" s="778"/>
      <c r="K45" s="778"/>
      <c r="L45" s="778"/>
      <c r="M45" s="776"/>
    </row>
    <row r="46" spans="2:42">
      <c r="D46" s="792"/>
      <c r="E46" s="792"/>
      <c r="F46" s="792"/>
      <c r="G46" s="792"/>
      <c r="H46" s="792"/>
      <c r="I46" s="792"/>
      <c r="J46" s="792"/>
      <c r="K46" s="792"/>
      <c r="L46" s="792"/>
    </row>
    <row r="47" spans="2:42">
      <c r="D47" s="792"/>
      <c r="E47" s="792"/>
      <c r="F47" s="792"/>
      <c r="G47" s="792"/>
      <c r="H47" s="792"/>
      <c r="I47" s="792"/>
      <c r="J47" s="792"/>
      <c r="K47" s="792"/>
      <c r="L47" s="792"/>
      <c r="M47" s="792"/>
      <c r="N47" s="792"/>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8"/>
      <c r="AL47" s="598"/>
      <c r="AM47" s="598"/>
      <c r="AN47" s="598"/>
      <c r="AO47" s="598"/>
      <c r="AP47" s="598"/>
    </row>
    <row r="48" spans="2:42" ht="18.5">
      <c r="B48" s="862" t="s">
        <v>5656</v>
      </c>
      <c r="C48" s="862"/>
      <c r="D48" s="862"/>
      <c r="E48" s="862"/>
      <c r="F48" s="862"/>
      <c r="G48" s="862"/>
      <c r="H48" s="862"/>
      <c r="I48" s="862"/>
      <c r="J48" s="795"/>
      <c r="K48" s="795"/>
      <c r="L48" s="795"/>
      <c r="M48" s="795"/>
      <c r="N48" s="795"/>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8"/>
      <c r="AL48" s="598"/>
      <c r="AM48" s="598"/>
      <c r="AN48" s="598"/>
      <c r="AO48" s="598"/>
      <c r="AP48" s="598"/>
    </row>
    <row r="49" spans="2:44" ht="13">
      <c r="B49" s="676"/>
      <c r="C49" s="676"/>
      <c r="D49" s="676"/>
      <c r="E49" s="676"/>
      <c r="F49" s="676"/>
      <c r="G49" s="676"/>
      <c r="H49" s="676"/>
      <c r="I49" s="676"/>
      <c r="J49" s="676"/>
      <c r="K49" s="676"/>
    </row>
    <row r="50" spans="2:44" ht="27" customHeight="1">
      <c r="B50" s="863" t="s">
        <v>5616</v>
      </c>
      <c r="C50" s="863"/>
      <c r="D50" s="863"/>
      <c r="E50" s="863"/>
      <c r="F50" s="863"/>
      <c r="G50" s="863"/>
      <c r="H50" s="863"/>
      <c r="I50" s="863"/>
      <c r="J50" s="793"/>
      <c r="K50" s="793"/>
      <c r="L50" s="793"/>
      <c r="M50" s="793"/>
      <c r="N50" s="793"/>
      <c r="O50" s="599"/>
      <c r="P50" s="599"/>
      <c r="Q50" s="599"/>
      <c r="R50" s="599"/>
      <c r="S50" s="599"/>
      <c r="T50" s="599"/>
      <c r="U50" s="599"/>
      <c r="V50" s="599"/>
      <c r="W50" s="599"/>
      <c r="X50" s="599"/>
      <c r="Y50" s="599"/>
      <c r="Z50" s="599"/>
      <c r="AA50" s="599"/>
      <c r="AB50" s="599"/>
      <c r="AC50" s="599"/>
      <c r="AD50" s="599"/>
      <c r="AE50" s="599"/>
      <c r="AF50" s="599"/>
      <c r="AG50" s="599"/>
      <c r="AH50" s="599"/>
      <c r="AI50" s="599"/>
      <c r="AJ50" s="599"/>
      <c r="AK50" s="599"/>
      <c r="AL50" s="599"/>
      <c r="AM50" s="599"/>
      <c r="AN50" s="599"/>
      <c r="AO50" s="599"/>
      <c r="AP50" s="599"/>
      <c r="AQ50" s="793"/>
      <c r="AR50" s="793"/>
    </row>
    <row r="52" spans="2:44" s="476" customFormat="1"/>
    <row r="53" spans="2:44" s="476" customFormat="1"/>
    <row r="54" spans="2:44" s="476" customFormat="1"/>
    <row r="55" spans="2:44" s="476" customFormat="1"/>
    <row r="56" spans="2:44" s="476" customFormat="1"/>
    <row r="57" spans="2:44" s="476" customFormat="1"/>
    <row r="58" spans="2:44" s="476" customFormat="1"/>
    <row r="59" spans="2:44" s="476" customFormat="1"/>
    <row r="60" spans="2:44" s="476" customFormat="1"/>
    <row r="61" spans="2:44" s="476" customFormat="1"/>
    <row r="62" spans="2:44" s="476" customFormat="1"/>
    <row r="63" spans="2:44" s="476" customFormat="1"/>
    <row r="64" spans="2:44" s="476" customFormat="1"/>
    <row r="65" s="476" customFormat="1"/>
    <row r="66" s="476" customFormat="1"/>
    <row r="67" s="476" customFormat="1"/>
    <row r="68" s="476" customFormat="1"/>
    <row r="69" s="476" customFormat="1"/>
    <row r="70" s="476" customFormat="1"/>
    <row r="71" s="476" customFormat="1"/>
    <row r="72" s="476" customFormat="1"/>
    <row r="73" s="476" customFormat="1"/>
    <row r="74" s="476" customFormat="1"/>
    <row r="75" s="476" customFormat="1"/>
    <row r="76" s="476" customFormat="1"/>
    <row r="77" s="476" customFormat="1"/>
    <row r="78" s="476" customFormat="1"/>
    <row r="79" s="476" customFormat="1"/>
    <row r="80" s="476" customFormat="1"/>
    <row r="81" s="476" customFormat="1"/>
    <row r="82" s="476" customFormat="1"/>
    <row r="83" s="476" customFormat="1"/>
    <row r="84" s="476" customFormat="1"/>
    <row r="85" s="476" customFormat="1"/>
    <row r="86" s="476" customFormat="1"/>
    <row r="87" s="476" customFormat="1"/>
    <row r="88" s="476" customFormat="1"/>
    <row r="89" s="476" customFormat="1"/>
    <row r="90" s="476" customFormat="1"/>
    <row r="91" s="476" customFormat="1"/>
    <row r="92" s="476" customFormat="1"/>
    <row r="93" s="476" customFormat="1"/>
    <row r="94" s="476" customFormat="1"/>
    <row r="95" s="476" customFormat="1"/>
    <row r="96" s="476" customFormat="1"/>
    <row r="97" s="476" customFormat="1"/>
    <row r="98" s="476" customFormat="1"/>
    <row r="99" s="476" customFormat="1"/>
    <row r="100" s="476" customFormat="1"/>
    <row r="101" s="476" customFormat="1"/>
    <row r="102" s="476" customFormat="1"/>
    <row r="103" s="476" customFormat="1"/>
    <row r="104" s="476" customFormat="1"/>
    <row r="105" s="476" customFormat="1"/>
    <row r="106" s="476" customFormat="1"/>
    <row r="107" s="476" customFormat="1"/>
    <row r="108" s="476" customFormat="1"/>
    <row r="109" s="476" customFormat="1"/>
    <row r="110" s="476" customFormat="1"/>
    <row r="111" s="476" customFormat="1"/>
    <row r="112" s="476" customFormat="1"/>
    <row r="113" s="476" customFormat="1"/>
    <row r="114" s="476" customFormat="1"/>
    <row r="115" s="476" customFormat="1"/>
    <row r="116" s="476" customFormat="1"/>
    <row r="117" s="476" customFormat="1"/>
    <row r="118" s="476" customFormat="1"/>
    <row r="119" s="476" customFormat="1"/>
    <row r="120" s="476" customFormat="1"/>
    <row r="121" s="476" customFormat="1"/>
    <row r="122" s="476" customFormat="1"/>
    <row r="123" s="476" customFormat="1"/>
    <row r="124" s="476" customFormat="1"/>
    <row r="125" s="476" customFormat="1"/>
    <row r="126" s="476" customFormat="1"/>
    <row r="127" s="476" customFormat="1"/>
    <row r="128" s="476" customFormat="1"/>
    <row r="129" s="476" customFormat="1"/>
    <row r="130" s="476" customFormat="1"/>
    <row r="131" s="476" customFormat="1"/>
    <row r="132" s="476" customFormat="1"/>
    <row r="133" s="476" customFormat="1"/>
    <row r="134" s="476" customFormat="1"/>
    <row r="135" s="476" customFormat="1"/>
    <row r="136" s="476" customFormat="1"/>
    <row r="137" s="476" customFormat="1"/>
    <row r="138" s="476" customFormat="1"/>
    <row r="139" s="476" customFormat="1"/>
    <row r="140" s="476" customFormat="1"/>
    <row r="141" s="476" customFormat="1"/>
    <row r="142" s="476" customFormat="1"/>
    <row r="143" s="476" customFormat="1"/>
    <row r="144" s="476" customFormat="1"/>
    <row r="145" s="476" customFormat="1"/>
    <row r="146" s="476" customFormat="1"/>
    <row r="147" s="476" customFormat="1"/>
    <row r="148" s="476" customFormat="1"/>
    <row r="149" s="476" customFormat="1"/>
    <row r="150" s="476" customFormat="1"/>
    <row r="151" s="476" customFormat="1"/>
    <row r="152" s="476" customFormat="1"/>
    <row r="153" s="476" customFormat="1"/>
    <row r="154" s="476" customFormat="1"/>
    <row r="155" s="476" customFormat="1"/>
    <row r="156" s="476" customFormat="1"/>
    <row r="157" s="476" customFormat="1"/>
    <row r="158" s="476" customFormat="1"/>
    <row r="159" s="476" customFormat="1"/>
    <row r="160" s="476" customFormat="1"/>
    <row r="161" s="476" customFormat="1"/>
    <row r="162" s="476" customFormat="1"/>
    <row r="163" s="476" customFormat="1"/>
    <row r="164" s="476" customFormat="1"/>
    <row r="165" s="476" customFormat="1"/>
    <row r="166" s="476" customFormat="1"/>
    <row r="167" s="476" customFormat="1"/>
    <row r="168" s="476" customFormat="1"/>
    <row r="169" s="476" customFormat="1"/>
    <row r="170" s="476" customFormat="1"/>
    <row r="171" s="476" customFormat="1"/>
    <row r="172" s="476" customFormat="1"/>
    <row r="173" s="476" customFormat="1"/>
    <row r="174" s="476" customFormat="1"/>
    <row r="175" s="476" customFormat="1"/>
    <row r="176" s="476" customFormat="1"/>
    <row r="177" s="476" customFormat="1"/>
    <row r="178" s="476" customFormat="1"/>
    <row r="179" s="476" customFormat="1"/>
    <row r="180" s="476" customFormat="1"/>
    <row r="181" s="476" customFormat="1"/>
    <row r="182" s="476" customFormat="1"/>
    <row r="183" s="476" customFormat="1"/>
    <row r="184" s="476" customFormat="1"/>
    <row r="185" s="476" customFormat="1"/>
    <row r="186" s="476" customFormat="1"/>
    <row r="187" s="476" customFormat="1"/>
    <row r="188" s="476" customFormat="1"/>
    <row r="189" s="476" customFormat="1"/>
    <row r="190" s="476" customFormat="1"/>
    <row r="191" s="476" customFormat="1"/>
    <row r="192" s="476" customFormat="1"/>
    <row r="193" s="476" customFormat="1"/>
    <row r="194" s="476" customFormat="1"/>
    <row r="195" s="476" customFormat="1"/>
    <row r="196" s="476" customFormat="1"/>
    <row r="197" s="476" customFormat="1"/>
    <row r="198" s="476" customFormat="1"/>
    <row r="199" s="476" customFormat="1"/>
    <row r="200" s="476" customFormat="1"/>
    <row r="201" s="476" customFormat="1"/>
    <row r="202" s="476" customFormat="1"/>
    <row r="203" s="476" customFormat="1"/>
    <row r="204" s="476" customFormat="1"/>
    <row r="205" s="476" customFormat="1"/>
    <row r="206" s="476" customFormat="1"/>
    <row r="207" s="476" customFormat="1"/>
    <row r="208" s="476" customFormat="1"/>
    <row r="209" s="476" customFormat="1"/>
    <row r="210" s="476" customFormat="1"/>
    <row r="211" s="476" customFormat="1"/>
    <row r="212" s="476" customFormat="1"/>
    <row r="213" s="476" customFormat="1"/>
    <row r="214" s="476" customFormat="1"/>
    <row r="215" s="476" customFormat="1"/>
    <row r="216" s="476" customFormat="1"/>
    <row r="217" s="476" customFormat="1"/>
    <row r="218" s="476" customFormat="1"/>
    <row r="219" s="476" customFormat="1"/>
    <row r="220" s="476" customFormat="1"/>
    <row r="221" s="476" customFormat="1"/>
    <row r="222" s="476" customFormat="1"/>
    <row r="223" s="476" customFormat="1"/>
    <row r="224" s="476" customFormat="1"/>
    <row r="225" s="476" customFormat="1"/>
    <row r="226" s="476" customFormat="1"/>
    <row r="227" s="476" customFormat="1"/>
    <row r="228" s="476" customFormat="1"/>
    <row r="229" s="476" customFormat="1"/>
    <row r="230" s="476" customFormat="1"/>
    <row r="231" s="476" customFormat="1"/>
    <row r="232" s="476" customFormat="1"/>
    <row r="233" s="476" customFormat="1"/>
    <row r="234" s="476" customFormat="1"/>
    <row r="235" s="476" customFormat="1"/>
    <row r="236" s="476" customFormat="1"/>
    <row r="237" s="476" customFormat="1"/>
    <row r="238" s="476" customFormat="1"/>
    <row r="239" s="476" customFormat="1"/>
    <row r="240" s="476" customFormat="1"/>
    <row r="241" s="476" customFormat="1"/>
    <row r="242" s="476" customFormat="1"/>
    <row r="243" s="476" customFormat="1"/>
    <row r="244" s="476" customFormat="1"/>
    <row r="245" s="476" customFormat="1"/>
    <row r="246" s="476" customFormat="1"/>
    <row r="247" s="476" customFormat="1"/>
    <row r="248" s="476" customFormat="1"/>
    <row r="249" s="476" customFormat="1"/>
    <row r="250" s="476" customFormat="1"/>
    <row r="251" s="476" customFormat="1"/>
    <row r="252" s="476" customFormat="1"/>
    <row r="253" s="476" customFormat="1"/>
    <row r="254" s="476" customFormat="1"/>
    <row r="255" s="476" customFormat="1"/>
    <row r="256" s="476" customFormat="1"/>
    <row r="257" s="476" customFormat="1"/>
    <row r="258" s="476" customFormat="1"/>
    <row r="259" s="476" customFormat="1"/>
    <row r="260" s="476" customFormat="1"/>
    <row r="261" s="476" customFormat="1"/>
    <row r="262" s="476" customFormat="1"/>
    <row r="263" s="476" customFormat="1"/>
    <row r="264" s="476" customFormat="1"/>
    <row r="265" s="476" customFormat="1"/>
    <row r="266" s="476" customFormat="1"/>
    <row r="267" s="476" customFormat="1"/>
    <row r="268" s="476" customFormat="1"/>
    <row r="269" s="476" customFormat="1"/>
    <row r="270" s="476" customFormat="1"/>
    <row r="271" s="476" customFormat="1"/>
    <row r="272" s="476" customFormat="1"/>
    <row r="273" s="476" customFormat="1"/>
    <row r="274" s="476" customFormat="1"/>
    <row r="275" s="476" customFormat="1"/>
    <row r="276" s="476" customFormat="1"/>
    <row r="277" s="476" customFormat="1"/>
    <row r="278" s="476" customFormat="1"/>
    <row r="279" s="476" customFormat="1"/>
    <row r="280" s="476" customFormat="1"/>
    <row r="281" s="476" customFormat="1"/>
    <row r="282" s="476" customFormat="1"/>
    <row r="283" s="476" customFormat="1"/>
    <row r="284" s="476" customFormat="1"/>
    <row r="285" s="476" customFormat="1"/>
    <row r="286" s="476" customFormat="1"/>
    <row r="287" s="476" customFormat="1"/>
    <row r="288" s="476" customFormat="1"/>
    <row r="289" s="476" customFormat="1"/>
    <row r="290" s="476" customFormat="1"/>
    <row r="291" s="476" customFormat="1"/>
    <row r="292" s="476" customFormat="1"/>
    <row r="293" s="476" customFormat="1"/>
    <row r="294" s="476" customFormat="1"/>
    <row r="295" s="476" customFormat="1"/>
    <row r="296" s="476" customFormat="1"/>
    <row r="297" s="476" customFormat="1"/>
    <row r="298" s="476" customFormat="1"/>
    <row r="299" s="476" customFormat="1"/>
    <row r="300" s="476" customFormat="1"/>
    <row r="301" s="476" customFormat="1"/>
    <row r="302" s="476" customFormat="1"/>
    <row r="303" s="476" customFormat="1"/>
    <row r="304" s="476" customFormat="1"/>
    <row r="305" s="476" customFormat="1"/>
    <row r="306" s="476" customFormat="1"/>
    <row r="307" s="476" customFormat="1"/>
    <row r="308" s="476" customFormat="1"/>
    <row r="309" s="476" customFormat="1"/>
    <row r="310" s="476" customFormat="1"/>
    <row r="311" s="476" customFormat="1"/>
    <row r="312" s="476" customFormat="1"/>
    <row r="313" s="476" customFormat="1"/>
    <row r="314" s="476" customFormat="1"/>
    <row r="315" s="476" customFormat="1"/>
    <row r="316" s="476" customFormat="1"/>
    <row r="317" s="476" customFormat="1"/>
    <row r="318" s="476" customFormat="1"/>
    <row r="319" s="476" customFormat="1"/>
    <row r="320" s="476" customFormat="1"/>
    <row r="321" s="476" customFormat="1"/>
    <row r="322" s="476" customFormat="1"/>
    <row r="323" s="476" customFormat="1"/>
    <row r="324" s="476" customFormat="1"/>
    <row r="325" s="476" customFormat="1"/>
    <row r="326" s="476" customFormat="1"/>
    <row r="327" s="476" customFormat="1"/>
    <row r="328" s="476" customFormat="1"/>
    <row r="329" s="476" customFormat="1"/>
    <row r="330" s="476" customFormat="1"/>
    <row r="331" s="476" customFormat="1"/>
    <row r="332" s="476" customFormat="1"/>
    <row r="333" s="476" customFormat="1"/>
    <row r="334" s="476" customFormat="1"/>
    <row r="335" s="476" customFormat="1"/>
    <row r="336" s="476" customFormat="1"/>
    <row r="337" s="476" customFormat="1"/>
    <row r="338" s="476" customFormat="1"/>
    <row r="339" s="476" customFormat="1"/>
    <row r="340" s="476" customFormat="1"/>
    <row r="341" s="476" customFormat="1"/>
    <row r="342" s="476" customFormat="1"/>
    <row r="343" s="476" customFormat="1"/>
    <row r="344" s="476" customFormat="1"/>
    <row r="345" s="476" customFormat="1"/>
    <row r="346" s="476" customFormat="1"/>
    <row r="347" s="476" customFormat="1"/>
    <row r="348" s="476" customFormat="1"/>
    <row r="349" s="476" customFormat="1"/>
    <row r="350" s="476" customFormat="1"/>
    <row r="351" s="476" customFormat="1"/>
    <row r="352" s="476" customFormat="1"/>
    <row r="353" s="476" customFormat="1"/>
    <row r="354" s="476" customFormat="1"/>
    <row r="355" s="476" customFormat="1"/>
    <row r="356" s="476" customFormat="1"/>
    <row r="357" s="476" customFormat="1"/>
    <row r="358" s="476" customFormat="1"/>
    <row r="359" s="476" customFormat="1"/>
    <row r="360" s="476" customFormat="1"/>
    <row r="361" s="476" customFormat="1"/>
    <row r="362" s="476" customFormat="1"/>
    <row r="363" s="476" customFormat="1"/>
    <row r="364" s="476" customFormat="1"/>
    <row r="365" s="476" customFormat="1"/>
    <row r="366" s="476" customFormat="1"/>
    <row r="367" s="476" customFormat="1"/>
    <row r="368" s="476" customFormat="1"/>
    <row r="369" s="476" customFormat="1"/>
    <row r="370" s="476" customFormat="1"/>
    <row r="371" s="476" customFormat="1"/>
    <row r="372" s="476" customFormat="1"/>
    <row r="373" s="476" customFormat="1"/>
    <row r="374" s="476" customFormat="1"/>
    <row r="375" s="476" customFormat="1"/>
    <row r="376" s="476" customFormat="1"/>
    <row r="377" s="476" customFormat="1"/>
    <row r="378" s="476" customFormat="1"/>
    <row r="379" s="476" customFormat="1"/>
    <row r="380" s="476" customFormat="1"/>
    <row r="381" s="476" customFormat="1"/>
    <row r="382" s="476" customFormat="1"/>
    <row r="383" s="476" customFormat="1"/>
    <row r="384" s="476" customFormat="1"/>
    <row r="385" s="476" customFormat="1"/>
    <row r="386" s="476" customFormat="1"/>
    <row r="387" s="476" customFormat="1"/>
    <row r="388" s="476" customFormat="1"/>
    <row r="389" s="476" customFormat="1"/>
    <row r="390" s="476" customFormat="1"/>
    <row r="391" s="476" customFormat="1"/>
    <row r="392" s="476" customFormat="1"/>
    <row r="393" s="476" customFormat="1"/>
    <row r="394" s="476" customFormat="1"/>
    <row r="395" s="476" customFormat="1"/>
    <row r="396" s="476" customFormat="1"/>
    <row r="397" s="476" customFormat="1"/>
    <row r="398" s="476" customFormat="1"/>
    <row r="399" s="476" customFormat="1"/>
    <row r="400" s="476" customFormat="1"/>
    <row r="401" s="476" customFormat="1"/>
    <row r="402" s="476" customFormat="1"/>
    <row r="403" s="476" customFormat="1"/>
    <row r="404" s="476" customFormat="1"/>
    <row r="405" s="476" customFormat="1"/>
    <row r="406" s="476" customFormat="1"/>
    <row r="407" s="476" customFormat="1"/>
    <row r="408" s="476" customFormat="1"/>
    <row r="409" s="476" customFormat="1"/>
    <row r="410" s="476" customFormat="1"/>
    <row r="411" s="476" customFormat="1"/>
    <row r="412" s="476" customFormat="1"/>
    <row r="413" s="476" customFormat="1"/>
    <row r="414" s="476" customFormat="1"/>
    <row r="415" s="476" customFormat="1"/>
    <row r="416" s="476" customFormat="1"/>
    <row r="417" s="476" customFormat="1"/>
    <row r="418" s="476" customFormat="1"/>
    <row r="419" s="476" customFormat="1"/>
    <row r="420" s="476" customFormat="1"/>
    <row r="421" s="476" customFormat="1"/>
    <row r="422" s="476" customFormat="1"/>
    <row r="423" s="476" customFormat="1"/>
    <row r="424" s="476" customFormat="1"/>
    <row r="425" s="476" customFormat="1"/>
    <row r="426" s="476" customFormat="1"/>
    <row r="427" s="476" customFormat="1"/>
    <row r="428" s="476" customFormat="1"/>
    <row r="429" s="476" customFormat="1"/>
    <row r="430" s="476" customFormat="1"/>
    <row r="431" s="476" customFormat="1"/>
    <row r="432" s="476" customFormat="1"/>
    <row r="433" s="476" customFormat="1"/>
    <row r="434" s="476" customFormat="1"/>
    <row r="435" s="476" customFormat="1"/>
    <row r="436" s="476" customFormat="1"/>
    <row r="437" s="476" customFormat="1"/>
    <row r="438" s="476" customFormat="1"/>
    <row r="439" s="476" customFormat="1"/>
    <row r="440" s="476" customFormat="1"/>
    <row r="441" s="476" customFormat="1"/>
    <row r="442" s="476" customFormat="1"/>
    <row r="443" s="476" customFormat="1"/>
    <row r="444" s="476" customFormat="1"/>
    <row r="445" s="476" customFormat="1"/>
    <row r="446" s="476" customFormat="1"/>
    <row r="447" s="476" customFormat="1"/>
    <row r="448" s="476" customFormat="1"/>
    <row r="449" s="476" customFormat="1"/>
    <row r="450" s="476" customFormat="1"/>
    <row r="451" s="476" customFormat="1"/>
    <row r="452" s="476" customFormat="1"/>
    <row r="453" s="476" customFormat="1"/>
    <row r="454" s="476" customFormat="1"/>
    <row r="455" s="476" customFormat="1"/>
    <row r="456" s="476" customFormat="1"/>
    <row r="457" s="476" customFormat="1"/>
    <row r="458" s="476" customFormat="1"/>
    <row r="459" s="476" customFormat="1"/>
    <row r="460" s="476" customFormat="1"/>
    <row r="461" s="476" customFormat="1"/>
    <row r="462" s="476" customFormat="1"/>
    <row r="463" s="476" customFormat="1"/>
    <row r="464" s="476" customFormat="1"/>
    <row r="465" s="476" customFormat="1"/>
    <row r="466" s="476" customFormat="1"/>
    <row r="467" s="476" customFormat="1"/>
    <row r="468" s="476" customFormat="1"/>
    <row r="469" s="476" customFormat="1"/>
    <row r="470" s="476" customFormat="1"/>
    <row r="471" s="476" customFormat="1"/>
    <row r="472" s="476" customFormat="1"/>
    <row r="473" s="476" customFormat="1"/>
    <row r="474" s="476" customFormat="1"/>
    <row r="475" s="476" customFormat="1"/>
    <row r="476" s="476" customFormat="1"/>
    <row r="477" s="476" customFormat="1"/>
    <row r="478" s="476" customFormat="1"/>
    <row r="479" s="476" customFormat="1"/>
    <row r="480" s="476" customFormat="1"/>
    <row r="481" s="476" customFormat="1"/>
    <row r="482" s="476" customFormat="1"/>
    <row r="483" s="476" customFormat="1"/>
    <row r="484" s="476" customFormat="1"/>
    <row r="485" s="476" customFormat="1"/>
    <row r="486" s="476" customFormat="1"/>
    <row r="487" s="476" customFormat="1"/>
    <row r="488" s="476" customFormat="1"/>
    <row r="489" s="476" customFormat="1"/>
    <row r="490" s="476" customFormat="1"/>
    <row r="491" s="476" customFormat="1"/>
    <row r="492" s="476" customFormat="1"/>
    <row r="493" s="476" customFormat="1"/>
    <row r="494" s="476" customFormat="1"/>
    <row r="495" s="476" customFormat="1"/>
    <row r="496" s="476" customFormat="1"/>
    <row r="497" s="476" customFormat="1"/>
    <row r="498" s="476" customFormat="1"/>
    <row r="499" s="476" customFormat="1"/>
    <row r="500" s="476" customFormat="1"/>
    <row r="501" s="476" customFormat="1"/>
    <row r="502" s="476" customFormat="1"/>
    <row r="503" s="476" customFormat="1"/>
    <row r="504" s="476" customFormat="1"/>
    <row r="505" s="476" customFormat="1"/>
    <row r="506" s="476" customFormat="1"/>
    <row r="507" s="476" customFormat="1"/>
    <row r="508" s="476" customFormat="1"/>
    <row r="509" s="476" customFormat="1"/>
    <row r="510" s="476" customFormat="1"/>
    <row r="511" s="476" customFormat="1"/>
    <row r="512" s="476" customFormat="1"/>
    <row r="513" s="476" customFormat="1"/>
    <row r="514" s="476" customFormat="1"/>
    <row r="515" s="476" customFormat="1"/>
    <row r="516" s="476" customFormat="1"/>
    <row r="517" s="476" customFormat="1"/>
    <row r="518" s="476" customFormat="1"/>
    <row r="519" s="476" customFormat="1"/>
    <row r="520" s="476" customFormat="1"/>
    <row r="521" s="476" customFormat="1"/>
    <row r="522" s="476" customFormat="1"/>
    <row r="523" s="476" customFormat="1"/>
    <row r="524" s="476" customFormat="1"/>
    <row r="525" s="476" customFormat="1"/>
    <row r="526" s="476" customFormat="1"/>
    <row r="527" s="476" customFormat="1"/>
    <row r="528" s="476" customFormat="1"/>
    <row r="529" s="476" customFormat="1"/>
    <row r="530" s="476" customFormat="1"/>
    <row r="531" s="476" customFormat="1"/>
    <row r="532" s="476" customFormat="1"/>
    <row r="533" s="476" customFormat="1"/>
    <row r="534" s="476" customFormat="1"/>
    <row r="535" s="476" customFormat="1"/>
    <row r="536" s="476" customFormat="1"/>
    <row r="537" s="476" customFormat="1"/>
    <row r="538" s="476" customFormat="1"/>
    <row r="539" s="476" customFormat="1"/>
    <row r="540" s="476" customFormat="1"/>
    <row r="541" s="476" customFormat="1"/>
    <row r="542" s="476" customFormat="1"/>
    <row r="543" s="476" customFormat="1"/>
    <row r="544" s="476" customFormat="1"/>
    <row r="545" s="476" customFormat="1"/>
    <row r="546" s="476" customFormat="1"/>
    <row r="547" s="476" customFormat="1"/>
    <row r="548" s="476" customFormat="1"/>
    <row r="549" s="476" customFormat="1"/>
    <row r="550" s="476" customFormat="1"/>
    <row r="551" s="476" customFormat="1"/>
    <row r="552" s="476" customFormat="1"/>
    <row r="553" s="476" customFormat="1"/>
    <row r="554" s="476" customFormat="1"/>
    <row r="555" s="476" customFormat="1"/>
    <row r="556" s="476" customFormat="1"/>
    <row r="557" s="476" customFormat="1"/>
    <row r="558" s="476" customFormat="1"/>
    <row r="559" s="476" customFormat="1"/>
    <row r="560" s="476" customFormat="1"/>
    <row r="561" s="476" customFormat="1"/>
    <row r="562" s="476" customFormat="1"/>
    <row r="563" s="476" customFormat="1"/>
    <row r="564" s="476" customFormat="1"/>
    <row r="565" s="476" customFormat="1"/>
    <row r="566" s="476" customFormat="1"/>
    <row r="567" s="476" customFormat="1"/>
    <row r="568" s="476" customFormat="1"/>
    <row r="569" s="476" customFormat="1"/>
    <row r="570" s="476" customFormat="1"/>
    <row r="571" s="476" customFormat="1"/>
    <row r="572" s="476" customFormat="1"/>
    <row r="573" s="476" customFormat="1"/>
    <row r="574" s="476" customFormat="1"/>
    <row r="575" s="476" customFormat="1"/>
    <row r="576" s="476" customFormat="1"/>
    <row r="577" s="476" customFormat="1"/>
    <row r="578" s="476" customFormat="1"/>
    <row r="579" s="476" customFormat="1"/>
    <row r="580" s="476" customFormat="1"/>
    <row r="581" s="476" customFormat="1"/>
    <row r="582" s="476" customFormat="1"/>
    <row r="583" s="476" customFormat="1"/>
    <row r="584" s="476" customFormat="1"/>
    <row r="585" s="476" customFormat="1"/>
    <row r="586" s="476" customFormat="1"/>
    <row r="587" s="476" customFormat="1"/>
    <row r="588" s="476" customFormat="1"/>
    <row r="589" s="476" customFormat="1"/>
    <row r="590" s="476" customFormat="1"/>
    <row r="591" s="476" customFormat="1"/>
    <row r="592" s="476" customFormat="1"/>
    <row r="593" s="476" customFormat="1"/>
    <row r="594" s="476" customFormat="1"/>
    <row r="595" s="476" customFormat="1"/>
    <row r="596" s="476" customFormat="1"/>
    <row r="597" s="476" customFormat="1"/>
    <row r="598" s="476" customFormat="1"/>
    <row r="599" s="476" customFormat="1"/>
    <row r="600" s="476" customFormat="1"/>
    <row r="601" s="476" customFormat="1"/>
    <row r="602" s="476" customFormat="1"/>
    <row r="603" s="476" customFormat="1"/>
    <row r="604" s="476" customFormat="1"/>
    <row r="605" s="476" customFormat="1"/>
    <row r="606" s="476" customFormat="1"/>
    <row r="607" s="476" customFormat="1"/>
    <row r="608" s="476" customFormat="1"/>
    <row r="609" s="476" customFormat="1"/>
    <row r="610" s="476" customFormat="1"/>
    <row r="611" s="476" customFormat="1"/>
    <row r="612" s="476" customFormat="1"/>
    <row r="613" s="476" customFormat="1"/>
    <row r="614" s="476" customFormat="1"/>
    <row r="615" s="476" customFormat="1"/>
    <row r="616" s="476" customFormat="1"/>
    <row r="617" s="476" customFormat="1"/>
    <row r="618" s="476" customFormat="1"/>
    <row r="619" s="476" customFormat="1"/>
    <row r="620" s="476" customFormat="1"/>
    <row r="621" s="476" customFormat="1"/>
    <row r="622" s="476" customFormat="1"/>
    <row r="623" s="476" customFormat="1"/>
    <row r="624" s="476" customFormat="1"/>
    <row r="625" s="476" customFormat="1"/>
    <row r="626" s="476" customFormat="1"/>
    <row r="627" s="476" customFormat="1"/>
    <row r="628" s="476" customFormat="1"/>
    <row r="629" s="476" customFormat="1"/>
    <row r="630" s="476" customFormat="1"/>
    <row r="631" s="476" customFormat="1"/>
    <row r="632" s="476" customFormat="1"/>
    <row r="633" s="476" customFormat="1"/>
    <row r="634" s="476" customFormat="1"/>
    <row r="635" s="476" customFormat="1"/>
    <row r="636" s="476" customFormat="1"/>
    <row r="637" s="476" customFormat="1"/>
    <row r="638" s="476" customFormat="1"/>
    <row r="639" s="476" customFormat="1"/>
    <row r="640" s="476" customFormat="1"/>
    <row r="641" s="476" customFormat="1"/>
    <row r="642" s="476" customFormat="1"/>
    <row r="643" s="476" customFormat="1"/>
    <row r="644" s="476" customFormat="1"/>
    <row r="645" s="476" customFormat="1"/>
    <row r="646" s="476" customFormat="1"/>
    <row r="647" s="476" customFormat="1"/>
    <row r="648" s="476" customFormat="1"/>
    <row r="649" s="476" customFormat="1"/>
    <row r="650" s="476" customFormat="1"/>
    <row r="651" s="476" customFormat="1"/>
    <row r="652" s="476" customFormat="1"/>
    <row r="653" s="476" customFormat="1"/>
    <row r="654" s="476" customFormat="1"/>
    <row r="655" s="476" customFormat="1"/>
    <row r="656" s="476" customFormat="1"/>
    <row r="657" s="476" customFormat="1"/>
    <row r="658" s="476" customFormat="1"/>
    <row r="659" s="476" customFormat="1"/>
    <row r="660" s="476" customFormat="1"/>
    <row r="661" s="476" customFormat="1"/>
    <row r="662" s="476" customFormat="1"/>
    <row r="663" s="476" customFormat="1"/>
    <row r="664" s="476" customFormat="1"/>
    <row r="665" s="476" customFormat="1"/>
    <row r="666" s="476" customFormat="1"/>
    <row r="667" s="476" customFormat="1"/>
    <row r="668" s="476" customFormat="1"/>
    <row r="669" s="476" customFormat="1"/>
  </sheetData>
  <sheetProtection password="B1AF" sheet="1"/>
  <mergeCells count="23">
    <mergeCell ref="C6:J6"/>
    <mergeCell ref="C10:C11"/>
    <mergeCell ref="D10:D11"/>
    <mergeCell ref="E10:E11"/>
    <mergeCell ref="F10:F11"/>
    <mergeCell ref="G10:H11"/>
    <mergeCell ref="I10:I11"/>
    <mergeCell ref="G12:H12"/>
    <mergeCell ref="G13:H13"/>
    <mergeCell ref="G14:H14"/>
    <mergeCell ref="G15:H15"/>
    <mergeCell ref="G16:H16"/>
    <mergeCell ref="G17:H17"/>
    <mergeCell ref="B50:I50"/>
    <mergeCell ref="C40:F40"/>
    <mergeCell ref="C44:F44"/>
    <mergeCell ref="G18:H18"/>
    <mergeCell ref="G19:H19"/>
    <mergeCell ref="C27:F28"/>
    <mergeCell ref="B48:I48"/>
    <mergeCell ref="C32:F32"/>
    <mergeCell ref="C36:D36"/>
    <mergeCell ref="F37:F38"/>
  </mergeCells>
  <hyperlinks>
    <hyperlink ref="B48:I48" r:id="rId1" display="Faire parvenir ce formulaire en format Excel à : ventescmj@energir.com" xr:uid="{1D6E27B4-109A-4724-BC85-4FFD6A8FE932}"/>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14021-7BA4-4A87-84B1-89506362B9DD}">
  <sheetPr codeName="Feuil10">
    <tabColor rgb="FF00B0F0"/>
  </sheetPr>
  <dimension ref="A1:G1320"/>
  <sheetViews>
    <sheetView workbookViewId="0"/>
  </sheetViews>
  <sheetFormatPr baseColWidth="10" defaultRowHeight="12.5"/>
  <cols>
    <col min="3" max="3" width="86" bestFit="1" customWidth="1"/>
    <col min="5" max="5" width="38.54296875" bestFit="1" customWidth="1"/>
  </cols>
  <sheetData>
    <row r="1" spans="1:7" ht="14.5">
      <c r="A1" s="300" t="s">
        <v>4850</v>
      </c>
      <c r="B1" s="300" t="s">
        <v>4851</v>
      </c>
      <c r="C1" s="300" t="s">
        <v>4852</v>
      </c>
      <c r="D1" s="300" t="s">
        <v>4853</v>
      </c>
      <c r="E1" s="300" t="s">
        <v>924</v>
      </c>
      <c r="F1" s="300" t="s">
        <v>4854</v>
      </c>
      <c r="G1" s="300" t="s">
        <v>925</v>
      </c>
    </row>
    <row r="2" spans="1:7" ht="14.5">
      <c r="A2" s="300" t="s">
        <v>926</v>
      </c>
      <c r="B2" s="300" t="s">
        <v>927</v>
      </c>
      <c r="C2" s="300" t="s">
        <v>415</v>
      </c>
      <c r="D2" s="300" t="s">
        <v>4855</v>
      </c>
      <c r="E2" s="300" t="s">
        <v>930</v>
      </c>
      <c r="F2" s="300" t="s">
        <v>4856</v>
      </c>
      <c r="G2" s="300" t="s">
        <v>449</v>
      </c>
    </row>
    <row r="3" spans="1:7" ht="14.5">
      <c r="A3" s="300" t="s">
        <v>926</v>
      </c>
      <c r="B3" s="300" t="s">
        <v>931</v>
      </c>
      <c r="C3" s="300" t="s">
        <v>932</v>
      </c>
      <c r="D3" s="300" t="s">
        <v>4855</v>
      </c>
      <c r="E3" s="300" t="s">
        <v>930</v>
      </c>
      <c r="F3" s="300" t="s">
        <v>4856</v>
      </c>
      <c r="G3" s="300" t="s">
        <v>449</v>
      </c>
    </row>
    <row r="4" spans="1:7" ht="14.5">
      <c r="A4" s="300" t="s">
        <v>926</v>
      </c>
      <c r="B4" s="300" t="s">
        <v>934</v>
      </c>
      <c r="C4" s="300" t="s">
        <v>935</v>
      </c>
      <c r="D4" s="300" t="s">
        <v>4855</v>
      </c>
      <c r="E4" s="300" t="s">
        <v>930</v>
      </c>
      <c r="F4" s="300" t="s">
        <v>4856</v>
      </c>
      <c r="G4" s="300" t="s">
        <v>449</v>
      </c>
    </row>
    <row r="5" spans="1:7" ht="14.5">
      <c r="A5" s="300" t="s">
        <v>926</v>
      </c>
      <c r="B5" s="300" t="s">
        <v>938</v>
      </c>
      <c r="C5" s="300" t="s">
        <v>939</v>
      </c>
      <c r="D5" s="300" t="s">
        <v>4855</v>
      </c>
      <c r="E5" s="300" t="s">
        <v>930</v>
      </c>
      <c r="F5" s="300" t="s">
        <v>4856</v>
      </c>
      <c r="G5" s="300" t="s">
        <v>449</v>
      </c>
    </row>
    <row r="6" spans="1:7" ht="14.5">
      <c r="A6" s="300" t="s">
        <v>926</v>
      </c>
      <c r="B6" s="300" t="s">
        <v>942</v>
      </c>
      <c r="C6" s="300" t="s">
        <v>943</v>
      </c>
      <c r="D6" s="300" t="s">
        <v>4855</v>
      </c>
      <c r="E6" s="300" t="s">
        <v>930</v>
      </c>
      <c r="F6" s="300" t="s">
        <v>4856</v>
      </c>
      <c r="G6" s="300" t="s">
        <v>449</v>
      </c>
    </row>
    <row r="7" spans="1:7" ht="14.5">
      <c r="A7" s="300" t="s">
        <v>926</v>
      </c>
      <c r="B7" s="300" t="s">
        <v>945</v>
      </c>
      <c r="C7" s="300" t="s">
        <v>946</v>
      </c>
      <c r="D7" s="300" t="s">
        <v>4855</v>
      </c>
      <c r="E7" s="300" t="s">
        <v>930</v>
      </c>
      <c r="F7" s="300" t="s">
        <v>4856</v>
      </c>
      <c r="G7" s="300" t="s">
        <v>449</v>
      </c>
    </row>
    <row r="8" spans="1:7" ht="14.5">
      <c r="A8" s="300" t="s">
        <v>926</v>
      </c>
      <c r="B8" s="300" t="s">
        <v>949</v>
      </c>
      <c r="C8" s="300" t="s">
        <v>950</v>
      </c>
      <c r="D8" s="300" t="s">
        <v>4855</v>
      </c>
      <c r="E8" s="300" t="s">
        <v>930</v>
      </c>
      <c r="F8" s="300" t="s">
        <v>4856</v>
      </c>
      <c r="G8" s="300" t="s">
        <v>449</v>
      </c>
    </row>
    <row r="9" spans="1:7" ht="14.5">
      <c r="A9" s="300" t="s">
        <v>926</v>
      </c>
      <c r="B9" s="300" t="s">
        <v>953</v>
      </c>
      <c r="C9" s="300" t="s">
        <v>954</v>
      </c>
      <c r="D9" s="300" t="s">
        <v>4855</v>
      </c>
      <c r="E9" s="300" t="s">
        <v>930</v>
      </c>
      <c r="F9" s="300" t="s">
        <v>4856</v>
      </c>
      <c r="G9" s="300" t="s">
        <v>449</v>
      </c>
    </row>
    <row r="10" spans="1:7" ht="14.5">
      <c r="A10" s="300" t="s">
        <v>926</v>
      </c>
      <c r="B10" s="300" t="s">
        <v>957</v>
      </c>
      <c r="C10" s="300" t="s">
        <v>958</v>
      </c>
      <c r="D10" s="300" t="s">
        <v>4855</v>
      </c>
      <c r="E10" s="300" t="s">
        <v>930</v>
      </c>
      <c r="F10" s="300" t="s">
        <v>4856</v>
      </c>
      <c r="G10" s="300" t="s">
        <v>449</v>
      </c>
    </row>
    <row r="11" spans="1:7" ht="14.5">
      <c r="A11" s="300" t="s">
        <v>926</v>
      </c>
      <c r="B11" s="300" t="s">
        <v>959</v>
      </c>
      <c r="C11" s="300" t="s">
        <v>960</v>
      </c>
      <c r="D11" s="300" t="s">
        <v>4855</v>
      </c>
      <c r="E11" s="300" t="s">
        <v>930</v>
      </c>
      <c r="F11" s="300" t="s">
        <v>4856</v>
      </c>
      <c r="G11" s="300" t="s">
        <v>449</v>
      </c>
    </row>
    <row r="12" spans="1:7" ht="14.5">
      <c r="A12" s="300" t="s">
        <v>926</v>
      </c>
      <c r="B12" s="300" t="s">
        <v>962</v>
      </c>
      <c r="C12" s="300" t="s">
        <v>963</v>
      </c>
      <c r="D12" s="300" t="s">
        <v>4855</v>
      </c>
      <c r="E12" s="300" t="s">
        <v>930</v>
      </c>
      <c r="F12" s="300" t="s">
        <v>4856</v>
      </c>
      <c r="G12" s="300" t="s">
        <v>449</v>
      </c>
    </row>
    <row r="13" spans="1:7" ht="14.5">
      <c r="A13" s="300" t="s">
        <v>926</v>
      </c>
      <c r="B13" s="300" t="s">
        <v>966</v>
      </c>
      <c r="C13" s="300" t="s">
        <v>967</v>
      </c>
      <c r="D13" s="300" t="s">
        <v>4855</v>
      </c>
      <c r="E13" s="300" t="s">
        <v>930</v>
      </c>
      <c r="F13" s="300" t="s">
        <v>4856</v>
      </c>
      <c r="G13" s="300" t="s">
        <v>449</v>
      </c>
    </row>
    <row r="14" spans="1:7" ht="14.5">
      <c r="A14" s="300" t="s">
        <v>926</v>
      </c>
      <c r="B14" s="300" t="s">
        <v>970</v>
      </c>
      <c r="C14" s="300" t="s">
        <v>971</v>
      </c>
      <c r="D14" s="300" t="s">
        <v>4855</v>
      </c>
      <c r="E14" s="300" t="s">
        <v>930</v>
      </c>
      <c r="F14" s="300" t="s">
        <v>4856</v>
      </c>
      <c r="G14" s="300" t="s">
        <v>449</v>
      </c>
    </row>
    <row r="15" spans="1:7" ht="14.5">
      <c r="A15" s="300" t="s">
        <v>926</v>
      </c>
      <c r="B15" s="300" t="s">
        <v>973</v>
      </c>
      <c r="C15" s="300" t="s">
        <v>974</v>
      </c>
      <c r="D15" s="300" t="s">
        <v>4855</v>
      </c>
      <c r="E15" s="300" t="s">
        <v>930</v>
      </c>
      <c r="F15" s="300" t="s">
        <v>4856</v>
      </c>
      <c r="G15" s="300" t="s">
        <v>449</v>
      </c>
    </row>
    <row r="16" spans="1:7" ht="14.5">
      <c r="A16" s="300" t="s">
        <v>926</v>
      </c>
      <c r="B16" s="300" t="s">
        <v>977</v>
      </c>
      <c r="C16" s="300" t="s">
        <v>978</v>
      </c>
      <c r="D16" s="300" t="s">
        <v>4855</v>
      </c>
      <c r="E16" s="300" t="s">
        <v>930</v>
      </c>
      <c r="F16" s="300" t="s">
        <v>4856</v>
      </c>
      <c r="G16" s="300" t="s">
        <v>449</v>
      </c>
    </row>
    <row r="17" spans="1:7" ht="14.5">
      <c r="A17" s="300" t="s">
        <v>926</v>
      </c>
      <c r="B17" s="300" t="s">
        <v>981</v>
      </c>
      <c r="C17" s="300" t="s">
        <v>982</v>
      </c>
      <c r="D17" s="300" t="s">
        <v>4855</v>
      </c>
      <c r="E17" s="300" t="s">
        <v>930</v>
      </c>
      <c r="F17" s="300" t="s">
        <v>4856</v>
      </c>
      <c r="G17" s="300" t="s">
        <v>449</v>
      </c>
    </row>
    <row r="18" spans="1:7" ht="14.5">
      <c r="A18" s="300" t="s">
        <v>926</v>
      </c>
      <c r="B18" s="300" t="s">
        <v>983</v>
      </c>
      <c r="C18" s="300" t="s">
        <v>984</v>
      </c>
      <c r="D18" s="300" t="s">
        <v>4855</v>
      </c>
      <c r="E18" s="300" t="s">
        <v>930</v>
      </c>
      <c r="F18" s="300" t="s">
        <v>4856</v>
      </c>
      <c r="G18" s="300" t="s">
        <v>449</v>
      </c>
    </row>
    <row r="19" spans="1:7" ht="14.5">
      <c r="A19" s="300" t="s">
        <v>926</v>
      </c>
      <c r="B19" s="300" t="s">
        <v>986</v>
      </c>
      <c r="C19" s="300" t="s">
        <v>987</v>
      </c>
      <c r="D19" s="300" t="s">
        <v>4855</v>
      </c>
      <c r="E19" s="300" t="s">
        <v>930</v>
      </c>
      <c r="F19" s="300" t="s">
        <v>4856</v>
      </c>
      <c r="G19" s="300" t="s">
        <v>449</v>
      </c>
    </row>
    <row r="20" spans="1:7" ht="14.5">
      <c r="A20" s="300" t="s">
        <v>926</v>
      </c>
      <c r="B20" s="300" t="s">
        <v>990</v>
      </c>
      <c r="C20" s="300" t="s">
        <v>991</v>
      </c>
      <c r="D20" s="300" t="s">
        <v>4855</v>
      </c>
      <c r="E20" s="300" t="s">
        <v>930</v>
      </c>
      <c r="F20" s="300" t="s">
        <v>4856</v>
      </c>
      <c r="G20" s="300" t="s">
        <v>449</v>
      </c>
    </row>
    <row r="21" spans="1:7" ht="14.5">
      <c r="A21" s="300" t="s">
        <v>926</v>
      </c>
      <c r="B21" s="300" t="s">
        <v>994</v>
      </c>
      <c r="C21" s="300" t="s">
        <v>995</v>
      </c>
      <c r="D21" s="300" t="s">
        <v>4855</v>
      </c>
      <c r="E21" s="300" t="s">
        <v>930</v>
      </c>
      <c r="F21" s="300" t="s">
        <v>4856</v>
      </c>
      <c r="G21" s="300" t="s">
        <v>449</v>
      </c>
    </row>
    <row r="22" spans="1:7" ht="14.5">
      <c r="A22" s="300" t="s">
        <v>926</v>
      </c>
      <c r="B22" s="300" t="s">
        <v>996</v>
      </c>
      <c r="C22" s="300" t="s">
        <v>997</v>
      </c>
      <c r="D22" s="300" t="s">
        <v>4855</v>
      </c>
      <c r="E22" s="300" t="s">
        <v>930</v>
      </c>
      <c r="F22" s="300" t="s">
        <v>4856</v>
      </c>
      <c r="G22" s="300" t="s">
        <v>449</v>
      </c>
    </row>
    <row r="23" spans="1:7" ht="14.5">
      <c r="A23" s="300" t="s">
        <v>926</v>
      </c>
      <c r="B23" s="300" t="s">
        <v>999</v>
      </c>
      <c r="C23" s="300" t="s">
        <v>1000</v>
      </c>
      <c r="D23" s="300" t="s">
        <v>4855</v>
      </c>
      <c r="E23" s="300" t="s">
        <v>930</v>
      </c>
      <c r="F23" s="300" t="s">
        <v>4856</v>
      </c>
      <c r="G23" s="300" t="s">
        <v>449</v>
      </c>
    </row>
    <row r="24" spans="1:7" ht="14.5">
      <c r="A24" s="300" t="s">
        <v>926</v>
      </c>
      <c r="B24" s="300" t="s">
        <v>1003</v>
      </c>
      <c r="C24" s="300" t="s">
        <v>1004</v>
      </c>
      <c r="D24" s="300" t="s">
        <v>4855</v>
      </c>
      <c r="E24" s="300" t="s">
        <v>930</v>
      </c>
      <c r="F24" s="300" t="s">
        <v>4856</v>
      </c>
      <c r="G24" s="300" t="s">
        <v>449</v>
      </c>
    </row>
    <row r="25" spans="1:7" ht="14.5">
      <c r="A25" s="300" t="s">
        <v>926</v>
      </c>
      <c r="B25" s="300" t="s">
        <v>1007</v>
      </c>
      <c r="C25" s="300" t="s">
        <v>1008</v>
      </c>
      <c r="D25" s="300" t="s">
        <v>4855</v>
      </c>
      <c r="E25" s="300" t="s">
        <v>930</v>
      </c>
      <c r="F25" s="300" t="s">
        <v>4856</v>
      </c>
      <c r="G25" s="300" t="s">
        <v>449</v>
      </c>
    </row>
    <row r="26" spans="1:7" ht="14.5">
      <c r="A26" s="300" t="s">
        <v>926</v>
      </c>
      <c r="B26" s="300" t="s">
        <v>1009</v>
      </c>
      <c r="C26" s="300" t="s">
        <v>1010</v>
      </c>
      <c r="D26" s="300" t="s">
        <v>4855</v>
      </c>
      <c r="E26" s="300" t="s">
        <v>930</v>
      </c>
      <c r="F26" s="300" t="s">
        <v>4856</v>
      </c>
      <c r="G26" s="300" t="s">
        <v>449</v>
      </c>
    </row>
    <row r="27" spans="1:7" ht="14.5">
      <c r="A27" s="300" t="s">
        <v>926</v>
      </c>
      <c r="B27" s="300" t="s">
        <v>1013</v>
      </c>
      <c r="C27" s="300" t="s">
        <v>1014</v>
      </c>
      <c r="D27" s="300" t="s">
        <v>4855</v>
      </c>
      <c r="E27" s="300" t="s">
        <v>930</v>
      </c>
      <c r="F27" s="300" t="s">
        <v>4856</v>
      </c>
      <c r="G27" s="300" t="s">
        <v>449</v>
      </c>
    </row>
    <row r="28" spans="1:7" ht="14.5">
      <c r="A28" s="300" t="s">
        <v>926</v>
      </c>
      <c r="B28" s="300" t="s">
        <v>1017</v>
      </c>
      <c r="C28" s="300" t="s">
        <v>1018</v>
      </c>
      <c r="D28" s="300" t="s">
        <v>4855</v>
      </c>
      <c r="E28" s="300" t="s">
        <v>930</v>
      </c>
      <c r="F28" s="300" t="s">
        <v>4856</v>
      </c>
      <c r="G28" s="300" t="s">
        <v>449</v>
      </c>
    </row>
    <row r="29" spans="1:7" ht="14.5">
      <c r="A29" s="300" t="s">
        <v>926</v>
      </c>
      <c r="B29" s="300" t="s">
        <v>1021</v>
      </c>
      <c r="C29" s="300" t="s">
        <v>1022</v>
      </c>
      <c r="D29" s="300" t="s">
        <v>4855</v>
      </c>
      <c r="E29" s="300" t="s">
        <v>930</v>
      </c>
      <c r="F29" s="300" t="s">
        <v>4856</v>
      </c>
      <c r="G29" s="300" t="s">
        <v>449</v>
      </c>
    </row>
    <row r="30" spans="1:7" ht="14.5">
      <c r="A30" s="300" t="s">
        <v>926</v>
      </c>
      <c r="B30" s="300" t="s">
        <v>1023</v>
      </c>
      <c r="C30" s="300" t="s">
        <v>1024</v>
      </c>
      <c r="D30" s="300" t="s">
        <v>4855</v>
      </c>
      <c r="E30" s="300" t="s">
        <v>930</v>
      </c>
      <c r="F30" s="300" t="s">
        <v>4856</v>
      </c>
      <c r="G30" s="300" t="s">
        <v>449</v>
      </c>
    </row>
    <row r="31" spans="1:7" ht="14.5">
      <c r="A31" s="300" t="s">
        <v>926</v>
      </c>
      <c r="B31" s="300" t="s">
        <v>1025</v>
      </c>
      <c r="C31" s="300" t="s">
        <v>1026</v>
      </c>
      <c r="D31" s="300" t="s">
        <v>4855</v>
      </c>
      <c r="E31" s="300" t="s">
        <v>930</v>
      </c>
      <c r="F31" s="300" t="s">
        <v>4856</v>
      </c>
      <c r="G31" s="300" t="s">
        <v>449</v>
      </c>
    </row>
    <row r="32" spans="1:7" ht="14.5">
      <c r="A32" s="300" t="s">
        <v>926</v>
      </c>
      <c r="B32" s="300" t="s">
        <v>1027</v>
      </c>
      <c r="C32" s="300" t="s">
        <v>1028</v>
      </c>
      <c r="D32" s="300" t="s">
        <v>4855</v>
      </c>
      <c r="E32" s="300" t="s">
        <v>930</v>
      </c>
      <c r="F32" s="300" t="s">
        <v>4856</v>
      </c>
      <c r="G32" s="300" t="s">
        <v>449</v>
      </c>
    </row>
    <row r="33" spans="1:7" ht="14.5">
      <c r="A33" s="300" t="s">
        <v>926</v>
      </c>
      <c r="B33" s="300" t="s">
        <v>1029</v>
      </c>
      <c r="C33" s="300" t="s">
        <v>1030</v>
      </c>
      <c r="D33" s="300" t="s">
        <v>4855</v>
      </c>
      <c r="E33" s="300" t="s">
        <v>930</v>
      </c>
      <c r="F33" s="300" t="s">
        <v>4856</v>
      </c>
      <c r="G33" s="300" t="s">
        <v>449</v>
      </c>
    </row>
    <row r="34" spans="1:7" ht="14.5">
      <c r="A34" s="300" t="s">
        <v>926</v>
      </c>
      <c r="B34" s="300" t="s">
        <v>1033</v>
      </c>
      <c r="C34" s="300" t="s">
        <v>1034</v>
      </c>
      <c r="D34" s="300" t="s">
        <v>4855</v>
      </c>
      <c r="E34" s="300" t="s">
        <v>930</v>
      </c>
      <c r="F34" s="300" t="s">
        <v>4856</v>
      </c>
      <c r="G34" s="300" t="s">
        <v>449</v>
      </c>
    </row>
    <row r="35" spans="1:7" ht="14.5">
      <c r="A35" s="300" t="s">
        <v>926</v>
      </c>
      <c r="B35" s="300" t="s">
        <v>1037</v>
      </c>
      <c r="C35" s="300" t="s">
        <v>1038</v>
      </c>
      <c r="D35" s="300" t="s">
        <v>4857</v>
      </c>
      <c r="E35" s="300" t="s">
        <v>1040</v>
      </c>
      <c r="F35" s="300" t="s">
        <v>4858</v>
      </c>
      <c r="G35" s="300" t="s">
        <v>446</v>
      </c>
    </row>
    <row r="36" spans="1:7" ht="14.5">
      <c r="A36" s="300" t="s">
        <v>926</v>
      </c>
      <c r="B36" s="300" t="s">
        <v>1041</v>
      </c>
      <c r="C36" s="300" t="s">
        <v>1042</v>
      </c>
      <c r="D36" s="300" t="s">
        <v>4855</v>
      </c>
      <c r="E36" s="300" t="s">
        <v>930</v>
      </c>
      <c r="F36" s="300" t="s">
        <v>4856</v>
      </c>
      <c r="G36" s="300" t="s">
        <v>449</v>
      </c>
    </row>
    <row r="37" spans="1:7" ht="14.5">
      <c r="A37" s="300" t="s">
        <v>926</v>
      </c>
      <c r="B37" s="300" t="s">
        <v>1043</v>
      </c>
      <c r="C37" s="300" t="s">
        <v>1044</v>
      </c>
      <c r="D37" s="300" t="s">
        <v>4855</v>
      </c>
      <c r="E37" s="300" t="s">
        <v>930</v>
      </c>
      <c r="F37" s="300" t="s">
        <v>4856</v>
      </c>
      <c r="G37" s="300" t="s">
        <v>449</v>
      </c>
    </row>
    <row r="38" spans="1:7" ht="14.5">
      <c r="A38" s="300" t="s">
        <v>926</v>
      </c>
      <c r="B38" s="300" t="s">
        <v>1045</v>
      </c>
      <c r="C38" s="300" t="s">
        <v>1046</v>
      </c>
      <c r="D38" s="300" t="s">
        <v>4855</v>
      </c>
      <c r="E38" s="300" t="s">
        <v>930</v>
      </c>
      <c r="F38" s="300" t="s">
        <v>4856</v>
      </c>
      <c r="G38" s="300" t="s">
        <v>449</v>
      </c>
    </row>
    <row r="39" spans="1:7" ht="14.5">
      <c r="A39" s="300" t="s">
        <v>926</v>
      </c>
      <c r="B39" s="300" t="s">
        <v>1047</v>
      </c>
      <c r="C39" s="300" t="s">
        <v>1048</v>
      </c>
      <c r="D39" s="300" t="s">
        <v>4855</v>
      </c>
      <c r="E39" s="300" t="s">
        <v>930</v>
      </c>
      <c r="F39" s="300" t="s">
        <v>4856</v>
      </c>
      <c r="G39" s="300" t="s">
        <v>449</v>
      </c>
    </row>
    <row r="40" spans="1:7" ht="14.5">
      <c r="A40" s="300" t="s">
        <v>926</v>
      </c>
      <c r="B40" s="300" t="s">
        <v>1049</v>
      </c>
      <c r="C40" s="300" t="s">
        <v>1050</v>
      </c>
      <c r="D40" s="300" t="s">
        <v>4855</v>
      </c>
      <c r="E40" s="300" t="s">
        <v>930</v>
      </c>
      <c r="F40" s="300" t="s">
        <v>4856</v>
      </c>
      <c r="G40" s="300" t="s">
        <v>449</v>
      </c>
    </row>
    <row r="41" spans="1:7" ht="14.5">
      <c r="A41" s="300" t="s">
        <v>926</v>
      </c>
      <c r="B41" s="300" t="s">
        <v>1051</v>
      </c>
      <c r="C41" s="300" t="s">
        <v>1052</v>
      </c>
      <c r="D41" s="300" t="s">
        <v>4855</v>
      </c>
      <c r="E41" s="300" t="s">
        <v>930</v>
      </c>
      <c r="F41" s="300" t="s">
        <v>4856</v>
      </c>
      <c r="G41" s="300" t="s">
        <v>449</v>
      </c>
    </row>
    <row r="42" spans="1:7" ht="14.5">
      <c r="A42" s="300" t="s">
        <v>926</v>
      </c>
      <c r="B42" s="300" t="s">
        <v>1053</v>
      </c>
      <c r="C42" s="300" t="s">
        <v>1054</v>
      </c>
      <c r="D42" s="300" t="s">
        <v>4855</v>
      </c>
      <c r="E42" s="300" t="s">
        <v>930</v>
      </c>
      <c r="F42" s="300" t="s">
        <v>4856</v>
      </c>
      <c r="G42" s="300" t="s">
        <v>449</v>
      </c>
    </row>
    <row r="43" spans="1:7" ht="14.5">
      <c r="A43" s="300" t="s">
        <v>926</v>
      </c>
      <c r="B43" s="300" t="s">
        <v>1055</v>
      </c>
      <c r="C43" s="300" t="s">
        <v>1056</v>
      </c>
      <c r="D43" s="300" t="s">
        <v>4855</v>
      </c>
      <c r="E43" s="300" t="s">
        <v>930</v>
      </c>
      <c r="F43" s="300" t="s">
        <v>4856</v>
      </c>
      <c r="G43" s="300" t="s">
        <v>449</v>
      </c>
    </row>
    <row r="44" spans="1:7" ht="14.5">
      <c r="A44" s="300" t="s">
        <v>926</v>
      </c>
      <c r="B44" s="300" t="s">
        <v>1057</v>
      </c>
      <c r="C44" s="300" t="s">
        <v>1058</v>
      </c>
      <c r="D44" s="300" t="s">
        <v>4855</v>
      </c>
      <c r="E44" s="300" t="s">
        <v>930</v>
      </c>
      <c r="F44" s="300" t="s">
        <v>4856</v>
      </c>
      <c r="G44" s="300" t="s">
        <v>449</v>
      </c>
    </row>
    <row r="45" spans="1:7" ht="14.5">
      <c r="A45" s="300" t="s">
        <v>926</v>
      </c>
      <c r="B45" s="300" t="s">
        <v>1059</v>
      </c>
      <c r="C45" s="300" t="s">
        <v>1060</v>
      </c>
      <c r="D45" s="300" t="s">
        <v>4855</v>
      </c>
      <c r="E45" s="300" t="s">
        <v>930</v>
      </c>
      <c r="F45" s="300" t="s">
        <v>4856</v>
      </c>
      <c r="G45" s="300" t="s">
        <v>449</v>
      </c>
    </row>
    <row r="46" spans="1:7" ht="14.5">
      <c r="A46" s="300" t="s">
        <v>926</v>
      </c>
      <c r="B46" s="300" t="s">
        <v>1061</v>
      </c>
      <c r="C46" s="300" t="s">
        <v>1062</v>
      </c>
      <c r="D46" s="300" t="s">
        <v>4857</v>
      </c>
      <c r="E46" s="300" t="s">
        <v>1040</v>
      </c>
      <c r="F46" s="300" t="s">
        <v>4858</v>
      </c>
      <c r="G46" s="300" t="s">
        <v>446</v>
      </c>
    </row>
    <row r="47" spans="1:7" ht="14.5">
      <c r="A47" s="300" t="s">
        <v>926</v>
      </c>
      <c r="B47" s="300" t="s">
        <v>1065</v>
      </c>
      <c r="C47" s="300" t="s">
        <v>1066</v>
      </c>
      <c r="D47" s="300" t="s">
        <v>4859</v>
      </c>
      <c r="E47" s="300" t="s">
        <v>1068</v>
      </c>
      <c r="F47" s="300" t="s">
        <v>4858</v>
      </c>
      <c r="G47" s="300" t="s">
        <v>446</v>
      </c>
    </row>
    <row r="48" spans="1:7" ht="14.5">
      <c r="A48" s="300" t="s">
        <v>926</v>
      </c>
      <c r="B48" s="300" t="s">
        <v>1069</v>
      </c>
      <c r="C48" s="300" t="s">
        <v>1070</v>
      </c>
      <c r="D48" s="300" t="s">
        <v>4859</v>
      </c>
      <c r="E48" s="300" t="s">
        <v>1068</v>
      </c>
      <c r="F48" s="300" t="s">
        <v>4858</v>
      </c>
      <c r="G48" s="300" t="s">
        <v>446</v>
      </c>
    </row>
    <row r="49" spans="1:7" ht="14.5">
      <c r="A49" s="300" t="s">
        <v>926</v>
      </c>
      <c r="B49" s="300" t="s">
        <v>1072</v>
      </c>
      <c r="C49" s="300" t="s">
        <v>1073</v>
      </c>
      <c r="D49" s="300" t="s">
        <v>4859</v>
      </c>
      <c r="E49" s="300" t="s">
        <v>1068</v>
      </c>
      <c r="F49" s="300" t="s">
        <v>4858</v>
      </c>
      <c r="G49" s="300" t="s">
        <v>446</v>
      </c>
    </row>
    <row r="50" spans="1:7" ht="14.5">
      <c r="A50" s="300" t="s">
        <v>926</v>
      </c>
      <c r="B50" s="300" t="s">
        <v>1075</v>
      </c>
      <c r="C50" s="300" t="s">
        <v>1076</v>
      </c>
      <c r="D50" s="300" t="s">
        <v>4859</v>
      </c>
      <c r="E50" s="300" t="s">
        <v>1068</v>
      </c>
      <c r="F50" s="300" t="s">
        <v>4858</v>
      </c>
      <c r="G50" s="300" t="s">
        <v>446</v>
      </c>
    </row>
    <row r="51" spans="1:7" ht="14.5">
      <c r="A51" s="300" t="s">
        <v>926</v>
      </c>
      <c r="B51" s="300" t="s">
        <v>1078</v>
      </c>
      <c r="C51" s="300" t="s">
        <v>1079</v>
      </c>
      <c r="D51" s="300" t="s">
        <v>4859</v>
      </c>
      <c r="E51" s="300" t="s">
        <v>1068</v>
      </c>
      <c r="F51" s="300" t="s">
        <v>4858</v>
      </c>
      <c r="G51" s="300" t="s">
        <v>446</v>
      </c>
    </row>
    <row r="52" spans="1:7" ht="14.5">
      <c r="A52" s="300" t="s">
        <v>926</v>
      </c>
      <c r="B52" s="300" t="s">
        <v>1082</v>
      </c>
      <c r="C52" s="300" t="s">
        <v>1083</v>
      </c>
      <c r="D52" s="300" t="s">
        <v>4859</v>
      </c>
      <c r="E52" s="300" t="s">
        <v>1068</v>
      </c>
      <c r="F52" s="300" t="s">
        <v>4858</v>
      </c>
      <c r="G52" s="300" t="s">
        <v>446</v>
      </c>
    </row>
    <row r="53" spans="1:7" ht="14.5">
      <c r="A53" s="300" t="s">
        <v>926</v>
      </c>
      <c r="B53" s="300" t="s">
        <v>1084</v>
      </c>
      <c r="C53" s="300" t="s">
        <v>1085</v>
      </c>
      <c r="D53" s="300" t="s">
        <v>4859</v>
      </c>
      <c r="E53" s="300" t="s">
        <v>1068</v>
      </c>
      <c r="F53" s="300" t="s">
        <v>4858</v>
      </c>
      <c r="G53" s="300" t="s">
        <v>446</v>
      </c>
    </row>
    <row r="54" spans="1:7" ht="14.5">
      <c r="A54" s="300" t="s">
        <v>926</v>
      </c>
      <c r="B54" s="300" t="s">
        <v>1086</v>
      </c>
      <c r="C54" s="300" t="s">
        <v>1087</v>
      </c>
      <c r="D54" s="300" t="s">
        <v>4859</v>
      </c>
      <c r="E54" s="300" t="s">
        <v>1068</v>
      </c>
      <c r="F54" s="300" t="s">
        <v>4858</v>
      </c>
      <c r="G54" s="300" t="s">
        <v>446</v>
      </c>
    </row>
    <row r="55" spans="1:7" ht="14.5">
      <c r="A55" s="300" t="s">
        <v>926</v>
      </c>
      <c r="B55" s="300" t="s">
        <v>1090</v>
      </c>
      <c r="C55" s="300" t="s">
        <v>1091</v>
      </c>
      <c r="D55" s="300" t="s">
        <v>4859</v>
      </c>
      <c r="E55" s="300" t="s">
        <v>1068</v>
      </c>
      <c r="F55" s="300" t="s">
        <v>4858</v>
      </c>
      <c r="G55" s="300" t="s">
        <v>446</v>
      </c>
    </row>
    <row r="56" spans="1:7" ht="14.5">
      <c r="A56" s="300" t="s">
        <v>926</v>
      </c>
      <c r="B56" s="300" t="s">
        <v>1092</v>
      </c>
      <c r="C56" s="300" t="s">
        <v>1093</v>
      </c>
      <c r="D56" s="300" t="s">
        <v>4859</v>
      </c>
      <c r="E56" s="300" t="s">
        <v>1068</v>
      </c>
      <c r="F56" s="300" t="s">
        <v>4858</v>
      </c>
      <c r="G56" s="300" t="s">
        <v>446</v>
      </c>
    </row>
    <row r="57" spans="1:7" ht="14.5">
      <c r="A57" s="300" t="s">
        <v>926</v>
      </c>
      <c r="B57" s="300" t="s">
        <v>1094</v>
      </c>
      <c r="C57" s="300" t="s">
        <v>1095</v>
      </c>
      <c r="D57" s="300" t="s">
        <v>4855</v>
      </c>
      <c r="E57" s="300" t="s">
        <v>930</v>
      </c>
      <c r="F57" s="300" t="s">
        <v>4856</v>
      </c>
      <c r="G57" s="300" t="s">
        <v>449</v>
      </c>
    </row>
    <row r="58" spans="1:7" ht="14.5">
      <c r="A58" s="300" t="s">
        <v>926</v>
      </c>
      <c r="B58" s="300" t="s">
        <v>1097</v>
      </c>
      <c r="C58" s="300" t="s">
        <v>1098</v>
      </c>
      <c r="D58" s="300" t="s">
        <v>4855</v>
      </c>
      <c r="E58" s="300" t="s">
        <v>930</v>
      </c>
      <c r="F58" s="300" t="s">
        <v>4856</v>
      </c>
      <c r="G58" s="300" t="s">
        <v>449</v>
      </c>
    </row>
    <row r="59" spans="1:7" ht="14.5">
      <c r="A59" s="300" t="s">
        <v>926</v>
      </c>
      <c r="B59" s="300" t="s">
        <v>1099</v>
      </c>
      <c r="C59" s="300" t="s">
        <v>1100</v>
      </c>
      <c r="D59" s="300" t="s">
        <v>4855</v>
      </c>
      <c r="E59" s="300" t="s">
        <v>930</v>
      </c>
      <c r="F59" s="300" t="s">
        <v>4856</v>
      </c>
      <c r="G59" s="300" t="s">
        <v>449</v>
      </c>
    </row>
    <row r="60" spans="1:7" ht="14.5">
      <c r="A60" s="300" t="s">
        <v>926</v>
      </c>
      <c r="B60" s="300" t="s">
        <v>1103</v>
      </c>
      <c r="C60" s="300" t="s">
        <v>1104</v>
      </c>
      <c r="D60" s="300" t="s">
        <v>4855</v>
      </c>
      <c r="E60" s="300" t="s">
        <v>930</v>
      </c>
      <c r="F60" s="300" t="s">
        <v>4856</v>
      </c>
      <c r="G60" s="300" t="s">
        <v>449</v>
      </c>
    </row>
    <row r="61" spans="1:7" ht="14.5">
      <c r="A61" s="300" t="s">
        <v>926</v>
      </c>
      <c r="B61" s="300" t="s">
        <v>1107</v>
      </c>
      <c r="C61" s="300" t="s">
        <v>1108</v>
      </c>
      <c r="D61" s="300" t="s">
        <v>4855</v>
      </c>
      <c r="E61" s="300" t="s">
        <v>930</v>
      </c>
      <c r="F61" s="300" t="s">
        <v>4856</v>
      </c>
      <c r="G61" s="300" t="s">
        <v>449</v>
      </c>
    </row>
    <row r="62" spans="1:7" ht="14.5">
      <c r="A62" s="300" t="s">
        <v>926</v>
      </c>
      <c r="B62" s="300" t="s">
        <v>1109</v>
      </c>
      <c r="C62" s="300" t="s">
        <v>1110</v>
      </c>
      <c r="D62" s="300" t="s">
        <v>4855</v>
      </c>
      <c r="E62" s="300" t="s">
        <v>930</v>
      </c>
      <c r="F62" s="300" t="s">
        <v>4856</v>
      </c>
      <c r="G62" s="300" t="s">
        <v>449</v>
      </c>
    </row>
    <row r="63" spans="1:7" ht="14.5">
      <c r="A63" s="300" t="s">
        <v>926</v>
      </c>
      <c r="B63" s="300" t="s">
        <v>1113</v>
      </c>
      <c r="C63" s="300" t="s">
        <v>1108</v>
      </c>
      <c r="D63" s="300" t="s">
        <v>4855</v>
      </c>
      <c r="E63" s="300" t="s">
        <v>930</v>
      </c>
      <c r="F63" s="300" t="s">
        <v>4856</v>
      </c>
      <c r="G63" s="300" t="s">
        <v>449</v>
      </c>
    </row>
    <row r="64" spans="1:7" ht="14.5">
      <c r="A64" s="300" t="s">
        <v>926</v>
      </c>
      <c r="B64" s="300" t="s">
        <v>1114</v>
      </c>
      <c r="C64" s="300" t="s">
        <v>1115</v>
      </c>
      <c r="D64" s="300" t="s">
        <v>4860</v>
      </c>
      <c r="E64" s="300" t="s">
        <v>1117</v>
      </c>
      <c r="F64" s="300" t="s">
        <v>4856</v>
      </c>
      <c r="G64" s="300" t="s">
        <v>449</v>
      </c>
    </row>
    <row r="65" spans="1:7" ht="14.5">
      <c r="A65" s="300" t="s">
        <v>926</v>
      </c>
      <c r="B65" s="300" t="s">
        <v>1118</v>
      </c>
      <c r="C65" s="300" t="s">
        <v>1119</v>
      </c>
      <c r="D65" s="300" t="s">
        <v>4860</v>
      </c>
      <c r="E65" s="300" t="s">
        <v>1117</v>
      </c>
      <c r="F65" s="300" t="s">
        <v>4856</v>
      </c>
      <c r="G65" s="300" t="s">
        <v>449</v>
      </c>
    </row>
    <row r="66" spans="1:7" ht="14.5">
      <c r="A66" s="300" t="s">
        <v>926</v>
      </c>
      <c r="B66" s="300" t="s">
        <v>1121</v>
      </c>
      <c r="C66" s="300" t="s">
        <v>1122</v>
      </c>
      <c r="D66" s="300" t="s">
        <v>4860</v>
      </c>
      <c r="E66" s="300" t="s">
        <v>1117</v>
      </c>
      <c r="F66" s="300" t="s">
        <v>4856</v>
      </c>
      <c r="G66" s="300" t="s">
        <v>449</v>
      </c>
    </row>
    <row r="67" spans="1:7" ht="14.5">
      <c r="A67" s="300" t="s">
        <v>926</v>
      </c>
      <c r="B67" s="300" t="s">
        <v>1125</v>
      </c>
      <c r="C67" s="300" t="s">
        <v>1126</v>
      </c>
      <c r="D67" s="300" t="s">
        <v>4860</v>
      </c>
      <c r="E67" s="300" t="s">
        <v>1117</v>
      </c>
      <c r="F67" s="300" t="s">
        <v>4856</v>
      </c>
      <c r="G67" s="300" t="s">
        <v>449</v>
      </c>
    </row>
    <row r="68" spans="1:7" ht="14.5">
      <c r="A68" s="300" t="s">
        <v>926</v>
      </c>
      <c r="B68" s="300" t="s">
        <v>1129</v>
      </c>
      <c r="C68" s="300" t="s">
        <v>1130</v>
      </c>
      <c r="D68" s="300" t="s">
        <v>4860</v>
      </c>
      <c r="E68" s="300" t="s">
        <v>1117</v>
      </c>
      <c r="F68" s="300" t="s">
        <v>4856</v>
      </c>
      <c r="G68" s="300" t="s">
        <v>449</v>
      </c>
    </row>
    <row r="69" spans="1:7" ht="14.5">
      <c r="A69" s="300" t="s">
        <v>926</v>
      </c>
      <c r="B69" s="300" t="s">
        <v>1133</v>
      </c>
      <c r="C69" s="300" t="s">
        <v>1134</v>
      </c>
      <c r="D69" s="300" t="s">
        <v>4860</v>
      </c>
      <c r="E69" s="300" t="s">
        <v>1117</v>
      </c>
      <c r="F69" s="300" t="s">
        <v>4856</v>
      </c>
      <c r="G69" s="300" t="s">
        <v>449</v>
      </c>
    </row>
    <row r="70" spans="1:7" ht="14.5">
      <c r="A70" s="300" t="s">
        <v>926</v>
      </c>
      <c r="B70" s="300" t="s">
        <v>1137</v>
      </c>
      <c r="C70" s="300" t="s">
        <v>1138</v>
      </c>
      <c r="D70" s="300" t="s">
        <v>4860</v>
      </c>
      <c r="E70" s="300" t="s">
        <v>1117</v>
      </c>
      <c r="F70" s="300" t="s">
        <v>4856</v>
      </c>
      <c r="G70" s="300" t="s">
        <v>449</v>
      </c>
    </row>
    <row r="71" spans="1:7" ht="14.5">
      <c r="A71" s="300" t="s">
        <v>926</v>
      </c>
      <c r="B71" s="300" t="s">
        <v>1141</v>
      </c>
      <c r="C71" s="300" t="s">
        <v>1142</v>
      </c>
      <c r="D71" s="300" t="s">
        <v>4860</v>
      </c>
      <c r="E71" s="300" t="s">
        <v>1117</v>
      </c>
      <c r="F71" s="300" t="s">
        <v>4856</v>
      </c>
      <c r="G71" s="300" t="s">
        <v>449</v>
      </c>
    </row>
    <row r="72" spans="1:7" ht="14.5">
      <c r="A72" s="300" t="s">
        <v>926</v>
      </c>
      <c r="B72" s="300" t="s">
        <v>1144</v>
      </c>
      <c r="C72" s="300" t="s">
        <v>1145</v>
      </c>
      <c r="D72" s="300" t="s">
        <v>4860</v>
      </c>
      <c r="E72" s="300" t="s">
        <v>1117</v>
      </c>
      <c r="F72" s="300" t="s">
        <v>4856</v>
      </c>
      <c r="G72" s="300" t="s">
        <v>449</v>
      </c>
    </row>
    <row r="73" spans="1:7" ht="14.5">
      <c r="A73" s="300" t="s">
        <v>926</v>
      </c>
      <c r="B73" s="300" t="s">
        <v>1148</v>
      </c>
      <c r="C73" s="300" t="s">
        <v>1149</v>
      </c>
      <c r="D73" s="300" t="s">
        <v>4860</v>
      </c>
      <c r="E73" s="300" t="s">
        <v>1117</v>
      </c>
      <c r="F73" s="300" t="s">
        <v>4856</v>
      </c>
      <c r="G73" s="300" t="s">
        <v>449</v>
      </c>
    </row>
    <row r="74" spans="1:7" ht="14.5">
      <c r="A74" s="300" t="s">
        <v>926</v>
      </c>
      <c r="B74" s="300" t="s">
        <v>1152</v>
      </c>
      <c r="C74" s="300" t="s">
        <v>1153</v>
      </c>
      <c r="D74" s="300" t="s">
        <v>4860</v>
      </c>
      <c r="E74" s="300" t="s">
        <v>1117</v>
      </c>
      <c r="F74" s="300" t="s">
        <v>4856</v>
      </c>
      <c r="G74" s="300" t="s">
        <v>449</v>
      </c>
    </row>
    <row r="75" spans="1:7" ht="14.5">
      <c r="A75" s="300" t="s">
        <v>926</v>
      </c>
      <c r="B75" s="300" t="s">
        <v>1156</v>
      </c>
      <c r="C75" s="300" t="s">
        <v>1157</v>
      </c>
      <c r="D75" s="300" t="s">
        <v>4860</v>
      </c>
      <c r="E75" s="300" t="s">
        <v>1117</v>
      </c>
      <c r="F75" s="300" t="s">
        <v>4856</v>
      </c>
      <c r="G75" s="300" t="s">
        <v>449</v>
      </c>
    </row>
    <row r="76" spans="1:7" ht="14.5">
      <c r="A76" s="300" t="s">
        <v>926</v>
      </c>
      <c r="B76" s="300" t="s">
        <v>1160</v>
      </c>
      <c r="C76" s="300" t="s">
        <v>1161</v>
      </c>
      <c r="D76" s="300" t="s">
        <v>4860</v>
      </c>
      <c r="E76" s="300" t="s">
        <v>1117</v>
      </c>
      <c r="F76" s="300" t="s">
        <v>4856</v>
      </c>
      <c r="G76" s="300" t="s">
        <v>449</v>
      </c>
    </row>
    <row r="77" spans="1:7" ht="14.5">
      <c r="A77" s="300" t="s">
        <v>926</v>
      </c>
      <c r="B77" s="300" t="s">
        <v>1162</v>
      </c>
      <c r="C77" s="300" t="s">
        <v>1163</v>
      </c>
      <c r="D77" s="300" t="s">
        <v>4860</v>
      </c>
      <c r="E77" s="300" t="s">
        <v>1117</v>
      </c>
      <c r="F77" s="300" t="s">
        <v>4856</v>
      </c>
      <c r="G77" s="300" t="s">
        <v>449</v>
      </c>
    </row>
    <row r="78" spans="1:7" ht="14.5">
      <c r="A78" s="300" t="s">
        <v>926</v>
      </c>
      <c r="B78" s="300" t="s">
        <v>1164</v>
      </c>
      <c r="C78" s="300" t="s">
        <v>1165</v>
      </c>
      <c r="D78" s="300" t="s">
        <v>4860</v>
      </c>
      <c r="E78" s="300" t="s">
        <v>1117</v>
      </c>
      <c r="F78" s="300" t="s">
        <v>4856</v>
      </c>
      <c r="G78" s="300" t="s">
        <v>449</v>
      </c>
    </row>
    <row r="79" spans="1:7" ht="14.5">
      <c r="A79" s="300" t="s">
        <v>926</v>
      </c>
      <c r="B79" s="300" t="s">
        <v>1167</v>
      </c>
      <c r="C79" s="300" t="s">
        <v>1168</v>
      </c>
      <c r="D79" s="300" t="s">
        <v>4860</v>
      </c>
      <c r="E79" s="300" t="s">
        <v>1117</v>
      </c>
      <c r="F79" s="300" t="s">
        <v>4856</v>
      </c>
      <c r="G79" s="300" t="s">
        <v>449</v>
      </c>
    </row>
    <row r="80" spans="1:7" ht="14.5">
      <c r="A80" s="300" t="s">
        <v>926</v>
      </c>
      <c r="B80" s="300" t="s">
        <v>1169</v>
      </c>
      <c r="C80" s="300" t="s">
        <v>1165</v>
      </c>
      <c r="D80" s="300" t="s">
        <v>4860</v>
      </c>
      <c r="E80" s="300" t="s">
        <v>1117</v>
      </c>
      <c r="F80" s="300" t="s">
        <v>4856</v>
      </c>
      <c r="G80" s="300" t="s">
        <v>449</v>
      </c>
    </row>
    <row r="81" spans="1:7" ht="14.5">
      <c r="A81" s="300" t="s">
        <v>926</v>
      </c>
      <c r="B81" s="300" t="s">
        <v>1171</v>
      </c>
      <c r="C81" s="300" t="s">
        <v>1172</v>
      </c>
      <c r="D81" s="300" t="s">
        <v>4860</v>
      </c>
      <c r="E81" s="300" t="s">
        <v>1117</v>
      </c>
      <c r="F81" s="300" t="s">
        <v>4856</v>
      </c>
      <c r="G81" s="300" t="s">
        <v>449</v>
      </c>
    </row>
    <row r="82" spans="1:7" ht="14.5">
      <c r="A82" s="300" t="s">
        <v>926</v>
      </c>
      <c r="B82" s="300" t="s">
        <v>1173</v>
      </c>
      <c r="C82" s="300" t="s">
        <v>1174</v>
      </c>
      <c r="D82" s="300" t="s">
        <v>4860</v>
      </c>
      <c r="E82" s="300" t="s">
        <v>1117</v>
      </c>
      <c r="F82" s="300" t="s">
        <v>4856</v>
      </c>
      <c r="G82" s="300" t="s">
        <v>449</v>
      </c>
    </row>
    <row r="83" spans="1:7" ht="14.5">
      <c r="A83" s="300" t="s">
        <v>926</v>
      </c>
      <c r="B83" s="300" t="s">
        <v>1175</v>
      </c>
      <c r="C83" s="300" t="s">
        <v>1176</v>
      </c>
      <c r="D83" s="300" t="s">
        <v>4860</v>
      </c>
      <c r="E83" s="300" t="s">
        <v>1117</v>
      </c>
      <c r="F83" s="300" t="s">
        <v>4856</v>
      </c>
      <c r="G83" s="300" t="s">
        <v>449</v>
      </c>
    </row>
    <row r="84" spans="1:7" ht="14.5">
      <c r="A84" s="300" t="s">
        <v>926</v>
      </c>
      <c r="B84" s="300" t="s">
        <v>1179</v>
      </c>
      <c r="C84" s="300" t="s">
        <v>1180</v>
      </c>
      <c r="D84" s="300" t="s">
        <v>4860</v>
      </c>
      <c r="E84" s="300" t="s">
        <v>1117</v>
      </c>
      <c r="F84" s="300" t="s">
        <v>4856</v>
      </c>
      <c r="G84" s="300" t="s">
        <v>449</v>
      </c>
    </row>
    <row r="85" spans="1:7" ht="14.5">
      <c r="A85" s="300" t="s">
        <v>926</v>
      </c>
      <c r="B85" s="300" t="s">
        <v>1183</v>
      </c>
      <c r="C85" s="300" t="s">
        <v>1184</v>
      </c>
      <c r="D85" s="300" t="s">
        <v>4860</v>
      </c>
      <c r="E85" s="300" t="s">
        <v>1117</v>
      </c>
      <c r="F85" s="300" t="s">
        <v>4856</v>
      </c>
      <c r="G85" s="300" t="s">
        <v>449</v>
      </c>
    </row>
    <row r="86" spans="1:7" ht="14.5">
      <c r="A86" s="300" t="s">
        <v>926</v>
      </c>
      <c r="B86" s="300" t="s">
        <v>1187</v>
      </c>
      <c r="C86" s="300" t="s">
        <v>1188</v>
      </c>
      <c r="D86" s="300" t="s">
        <v>4860</v>
      </c>
      <c r="E86" s="300" t="s">
        <v>1117</v>
      </c>
      <c r="F86" s="300" t="s">
        <v>4856</v>
      </c>
      <c r="G86" s="300" t="s">
        <v>449</v>
      </c>
    </row>
    <row r="87" spans="1:7" ht="14.5">
      <c r="A87" s="300" t="s">
        <v>926</v>
      </c>
      <c r="B87" s="300" t="s">
        <v>1191</v>
      </c>
      <c r="C87" s="300" t="s">
        <v>1192</v>
      </c>
      <c r="D87" s="300" t="s">
        <v>4860</v>
      </c>
      <c r="E87" s="300" t="s">
        <v>1117</v>
      </c>
      <c r="F87" s="300" t="s">
        <v>4856</v>
      </c>
      <c r="G87" s="300" t="s">
        <v>449</v>
      </c>
    </row>
    <row r="88" spans="1:7" ht="14.5">
      <c r="A88" s="300" t="s">
        <v>926</v>
      </c>
      <c r="B88" s="300" t="s">
        <v>1195</v>
      </c>
      <c r="C88" s="300" t="s">
        <v>1196</v>
      </c>
      <c r="D88" s="300" t="s">
        <v>4860</v>
      </c>
      <c r="E88" s="300" t="s">
        <v>1117</v>
      </c>
      <c r="F88" s="300" t="s">
        <v>4856</v>
      </c>
      <c r="G88" s="300" t="s">
        <v>449</v>
      </c>
    </row>
    <row r="89" spans="1:7" ht="14.5">
      <c r="A89" s="300" t="s">
        <v>926</v>
      </c>
      <c r="B89" s="300" t="s">
        <v>1197</v>
      </c>
      <c r="C89" s="300" t="s">
        <v>1198</v>
      </c>
      <c r="D89" s="300" t="s">
        <v>4860</v>
      </c>
      <c r="E89" s="300" t="s">
        <v>1117</v>
      </c>
      <c r="F89" s="300" t="s">
        <v>4856</v>
      </c>
      <c r="G89" s="300" t="s">
        <v>449</v>
      </c>
    </row>
    <row r="90" spans="1:7" ht="14.5">
      <c r="A90" s="300" t="s">
        <v>926</v>
      </c>
      <c r="B90" s="300" t="s">
        <v>1201</v>
      </c>
      <c r="C90" s="300" t="s">
        <v>1202</v>
      </c>
      <c r="D90" s="300" t="s">
        <v>4860</v>
      </c>
      <c r="E90" s="300" t="s">
        <v>1117</v>
      </c>
      <c r="F90" s="300" t="s">
        <v>4856</v>
      </c>
      <c r="G90" s="300" t="s">
        <v>449</v>
      </c>
    </row>
    <row r="91" spans="1:7" ht="14.5">
      <c r="A91" s="300" t="s">
        <v>926</v>
      </c>
      <c r="B91" s="300" t="s">
        <v>1204</v>
      </c>
      <c r="C91" s="300" t="s">
        <v>1205</v>
      </c>
      <c r="D91" s="300" t="s">
        <v>4860</v>
      </c>
      <c r="E91" s="300" t="s">
        <v>1117</v>
      </c>
      <c r="F91" s="300" t="s">
        <v>4856</v>
      </c>
      <c r="G91" s="300" t="s">
        <v>449</v>
      </c>
    </row>
    <row r="92" spans="1:7" ht="14.5">
      <c r="A92" s="300" t="s">
        <v>926</v>
      </c>
      <c r="B92" s="300" t="s">
        <v>1206</v>
      </c>
      <c r="C92" s="300" t="s">
        <v>1207</v>
      </c>
      <c r="D92" s="300" t="s">
        <v>4860</v>
      </c>
      <c r="E92" s="300" t="s">
        <v>1117</v>
      </c>
      <c r="F92" s="300" t="s">
        <v>4856</v>
      </c>
      <c r="G92" s="300" t="s">
        <v>449</v>
      </c>
    </row>
    <row r="93" spans="1:7" ht="14.5">
      <c r="A93" s="300" t="s">
        <v>926</v>
      </c>
      <c r="B93" s="300" t="s">
        <v>1210</v>
      </c>
      <c r="C93" s="300" t="s">
        <v>1211</v>
      </c>
      <c r="D93" s="300" t="s">
        <v>4860</v>
      </c>
      <c r="E93" s="300" t="s">
        <v>1117</v>
      </c>
      <c r="F93" s="300" t="s">
        <v>4856</v>
      </c>
      <c r="G93" s="300" t="s">
        <v>449</v>
      </c>
    </row>
    <row r="94" spans="1:7" ht="14.5">
      <c r="A94" s="300" t="s">
        <v>926</v>
      </c>
      <c r="B94" s="300" t="s">
        <v>1214</v>
      </c>
      <c r="C94" s="300" t="s">
        <v>1215</v>
      </c>
      <c r="D94" s="300" t="s">
        <v>4860</v>
      </c>
      <c r="E94" s="300" t="s">
        <v>1117</v>
      </c>
      <c r="F94" s="300" t="s">
        <v>4856</v>
      </c>
      <c r="G94" s="300" t="s">
        <v>449</v>
      </c>
    </row>
    <row r="95" spans="1:7" ht="14.5">
      <c r="A95" s="300" t="s">
        <v>926</v>
      </c>
      <c r="B95" s="300" t="s">
        <v>1216</v>
      </c>
      <c r="C95" s="300" t="s">
        <v>1217</v>
      </c>
      <c r="D95" s="300" t="s">
        <v>4860</v>
      </c>
      <c r="E95" s="300" t="s">
        <v>1117</v>
      </c>
      <c r="F95" s="300" t="s">
        <v>4856</v>
      </c>
      <c r="G95" s="300" t="s">
        <v>449</v>
      </c>
    </row>
    <row r="96" spans="1:7" ht="14.5">
      <c r="A96" s="300" t="s">
        <v>926</v>
      </c>
      <c r="B96" s="300" t="s">
        <v>1220</v>
      </c>
      <c r="C96" s="300" t="s">
        <v>1221</v>
      </c>
      <c r="D96" s="300" t="s">
        <v>4860</v>
      </c>
      <c r="E96" s="300" t="s">
        <v>1117</v>
      </c>
      <c r="F96" s="300" t="s">
        <v>4856</v>
      </c>
      <c r="G96" s="300" t="s">
        <v>449</v>
      </c>
    </row>
    <row r="97" spans="1:7" ht="14.5">
      <c r="A97" s="300" t="s">
        <v>926</v>
      </c>
      <c r="B97" s="300" t="s">
        <v>1224</v>
      </c>
      <c r="C97" s="300" t="s">
        <v>1225</v>
      </c>
      <c r="D97" s="300" t="s">
        <v>4861</v>
      </c>
      <c r="E97" s="300" t="s">
        <v>1227</v>
      </c>
      <c r="F97" s="300" t="s">
        <v>4856</v>
      </c>
      <c r="G97" s="300" t="s">
        <v>449</v>
      </c>
    </row>
    <row r="98" spans="1:7" ht="14.5">
      <c r="A98" s="300" t="s">
        <v>926</v>
      </c>
      <c r="B98" s="300" t="s">
        <v>1228</v>
      </c>
      <c r="C98" s="300" t="s">
        <v>1229</v>
      </c>
      <c r="D98" s="300" t="s">
        <v>4861</v>
      </c>
      <c r="E98" s="300" t="s">
        <v>1227</v>
      </c>
      <c r="F98" s="300" t="s">
        <v>4856</v>
      </c>
      <c r="G98" s="300" t="s">
        <v>449</v>
      </c>
    </row>
    <row r="99" spans="1:7" ht="14.5">
      <c r="A99" s="300" t="s">
        <v>926</v>
      </c>
      <c r="B99" s="300" t="s">
        <v>1231</v>
      </c>
      <c r="C99" s="300" t="s">
        <v>1232</v>
      </c>
      <c r="D99" s="300" t="s">
        <v>4861</v>
      </c>
      <c r="E99" s="300" t="s">
        <v>1227</v>
      </c>
      <c r="F99" s="300" t="s">
        <v>4856</v>
      </c>
      <c r="G99" s="300" t="s">
        <v>449</v>
      </c>
    </row>
    <row r="100" spans="1:7" ht="14.5">
      <c r="A100" s="300" t="s">
        <v>926</v>
      </c>
      <c r="B100" s="300" t="s">
        <v>1235</v>
      </c>
      <c r="C100" s="300" t="s">
        <v>1236</v>
      </c>
      <c r="D100" s="300" t="s">
        <v>4861</v>
      </c>
      <c r="E100" s="300" t="s">
        <v>1227</v>
      </c>
      <c r="F100" s="300" t="s">
        <v>4856</v>
      </c>
      <c r="G100" s="300" t="s">
        <v>449</v>
      </c>
    </row>
    <row r="101" spans="1:7" ht="14.5">
      <c r="A101" s="300" t="s">
        <v>926</v>
      </c>
      <c r="B101" s="300" t="s">
        <v>1239</v>
      </c>
      <c r="C101" s="300" t="s">
        <v>1240</v>
      </c>
      <c r="D101" s="300" t="s">
        <v>4861</v>
      </c>
      <c r="E101" s="300" t="s">
        <v>1227</v>
      </c>
      <c r="F101" s="300" t="s">
        <v>4856</v>
      </c>
      <c r="G101" s="300" t="s">
        <v>449</v>
      </c>
    </row>
    <row r="102" spans="1:7" ht="14.5">
      <c r="A102" s="300" t="s">
        <v>926</v>
      </c>
      <c r="B102" s="300" t="s">
        <v>1241</v>
      </c>
      <c r="C102" s="300" t="s">
        <v>1242</v>
      </c>
      <c r="D102" s="300" t="s">
        <v>4861</v>
      </c>
      <c r="E102" s="300" t="s">
        <v>1227</v>
      </c>
      <c r="F102" s="300" t="s">
        <v>4856</v>
      </c>
      <c r="G102" s="300" t="s">
        <v>449</v>
      </c>
    </row>
    <row r="103" spans="1:7" ht="14.5">
      <c r="A103" s="300" t="s">
        <v>926</v>
      </c>
      <c r="B103" s="300" t="s">
        <v>1245</v>
      </c>
      <c r="C103" s="300" t="s">
        <v>1246</v>
      </c>
      <c r="D103" s="300" t="s">
        <v>4861</v>
      </c>
      <c r="E103" s="300" t="s">
        <v>1227</v>
      </c>
      <c r="F103" s="300" t="s">
        <v>4856</v>
      </c>
      <c r="G103" s="300" t="s">
        <v>449</v>
      </c>
    </row>
    <row r="104" spans="1:7" ht="14.5">
      <c r="A104" s="300" t="s">
        <v>926</v>
      </c>
      <c r="B104" s="300" t="s">
        <v>1247</v>
      </c>
      <c r="C104" s="300" t="s">
        <v>1248</v>
      </c>
      <c r="D104" s="300" t="s">
        <v>4861</v>
      </c>
      <c r="E104" s="300" t="s">
        <v>1227</v>
      </c>
      <c r="F104" s="300" t="s">
        <v>4856</v>
      </c>
      <c r="G104" s="300" t="s">
        <v>449</v>
      </c>
    </row>
    <row r="105" spans="1:7" ht="14.5">
      <c r="A105" s="300" t="s">
        <v>926</v>
      </c>
      <c r="B105" s="300" t="s">
        <v>1250</v>
      </c>
      <c r="C105" s="300" t="s">
        <v>1251</v>
      </c>
      <c r="D105" s="300" t="s">
        <v>4861</v>
      </c>
      <c r="E105" s="300" t="s">
        <v>1227</v>
      </c>
      <c r="F105" s="300" t="s">
        <v>4856</v>
      </c>
      <c r="G105" s="300" t="s">
        <v>449</v>
      </c>
    </row>
    <row r="106" spans="1:7" ht="14.5">
      <c r="A106" s="300" t="s">
        <v>926</v>
      </c>
      <c r="B106" s="300" t="s">
        <v>1254</v>
      </c>
      <c r="C106" s="300" t="s">
        <v>1255</v>
      </c>
      <c r="D106" s="300" t="s">
        <v>4861</v>
      </c>
      <c r="E106" s="300" t="s">
        <v>1227</v>
      </c>
      <c r="F106" s="300" t="s">
        <v>4856</v>
      </c>
      <c r="G106" s="300" t="s">
        <v>449</v>
      </c>
    </row>
    <row r="107" spans="1:7" ht="14.5">
      <c r="A107" s="300" t="s">
        <v>926</v>
      </c>
      <c r="B107" s="300" t="s">
        <v>1258</v>
      </c>
      <c r="C107" s="300" t="s">
        <v>1259</v>
      </c>
      <c r="D107" s="300" t="s">
        <v>4861</v>
      </c>
      <c r="E107" s="300" t="s">
        <v>1227</v>
      </c>
      <c r="F107" s="300" t="s">
        <v>4856</v>
      </c>
      <c r="G107" s="300" t="s">
        <v>449</v>
      </c>
    </row>
    <row r="108" spans="1:7" ht="14.5">
      <c r="A108" s="300" t="s">
        <v>926</v>
      </c>
      <c r="B108" s="300" t="s">
        <v>1260</v>
      </c>
      <c r="C108" s="300" t="s">
        <v>1261</v>
      </c>
      <c r="D108" s="300" t="s">
        <v>4861</v>
      </c>
      <c r="E108" s="300" t="s">
        <v>1227</v>
      </c>
      <c r="F108" s="300" t="s">
        <v>4856</v>
      </c>
      <c r="G108" s="300" t="s">
        <v>449</v>
      </c>
    </row>
    <row r="109" spans="1:7" ht="14.5">
      <c r="A109" s="300" t="s">
        <v>926</v>
      </c>
      <c r="B109" s="300" t="s">
        <v>1263</v>
      </c>
      <c r="C109" s="300" t="s">
        <v>1264</v>
      </c>
      <c r="D109" s="300" t="s">
        <v>4861</v>
      </c>
      <c r="E109" s="300" t="s">
        <v>1227</v>
      </c>
      <c r="F109" s="300" t="s">
        <v>4856</v>
      </c>
      <c r="G109" s="300" t="s">
        <v>449</v>
      </c>
    </row>
    <row r="110" spans="1:7" ht="14.5">
      <c r="A110" s="300" t="s">
        <v>926</v>
      </c>
      <c r="B110" s="300" t="s">
        <v>1267</v>
      </c>
      <c r="C110" s="300" t="s">
        <v>1268</v>
      </c>
      <c r="D110" s="300" t="s">
        <v>4861</v>
      </c>
      <c r="E110" s="300" t="s">
        <v>1227</v>
      </c>
      <c r="F110" s="300" t="s">
        <v>4856</v>
      </c>
      <c r="G110" s="300" t="s">
        <v>449</v>
      </c>
    </row>
    <row r="111" spans="1:7" ht="14.5">
      <c r="A111" s="300" t="s">
        <v>926</v>
      </c>
      <c r="B111" s="300" t="s">
        <v>1271</v>
      </c>
      <c r="C111" s="300" t="s">
        <v>1272</v>
      </c>
      <c r="D111" s="300" t="s">
        <v>4861</v>
      </c>
      <c r="E111" s="300" t="s">
        <v>1227</v>
      </c>
      <c r="F111" s="300" t="s">
        <v>4856</v>
      </c>
      <c r="G111" s="300" t="s">
        <v>449</v>
      </c>
    </row>
    <row r="112" spans="1:7" ht="14.5">
      <c r="A112" s="300" t="s">
        <v>926</v>
      </c>
      <c r="B112" s="300" t="s">
        <v>1274</v>
      </c>
      <c r="C112" s="300" t="s">
        <v>1275</v>
      </c>
      <c r="D112" s="300" t="s">
        <v>4861</v>
      </c>
      <c r="E112" s="300" t="s">
        <v>1227</v>
      </c>
      <c r="F112" s="300" t="s">
        <v>4856</v>
      </c>
      <c r="G112" s="300" t="s">
        <v>449</v>
      </c>
    </row>
    <row r="113" spans="1:7" ht="14.5">
      <c r="A113" s="300" t="s">
        <v>926</v>
      </c>
      <c r="B113" s="300" t="s">
        <v>1278</v>
      </c>
      <c r="C113" s="300" t="s">
        <v>1279</v>
      </c>
      <c r="D113" s="300" t="s">
        <v>4861</v>
      </c>
      <c r="E113" s="300" t="s">
        <v>1227</v>
      </c>
      <c r="F113" s="300" t="s">
        <v>4856</v>
      </c>
      <c r="G113" s="300" t="s">
        <v>449</v>
      </c>
    </row>
    <row r="114" spans="1:7" ht="14.5">
      <c r="A114" s="300" t="s">
        <v>926</v>
      </c>
      <c r="B114" s="300" t="s">
        <v>1282</v>
      </c>
      <c r="C114" s="300" t="s">
        <v>1283</v>
      </c>
      <c r="D114" s="300" t="s">
        <v>4861</v>
      </c>
      <c r="E114" s="300" t="s">
        <v>1227</v>
      </c>
      <c r="F114" s="300" t="s">
        <v>4856</v>
      </c>
      <c r="G114" s="300" t="s">
        <v>449</v>
      </c>
    </row>
    <row r="115" spans="1:7" ht="14.5">
      <c r="A115" s="300" t="s">
        <v>926</v>
      </c>
      <c r="B115" s="300" t="s">
        <v>1285</v>
      </c>
      <c r="C115" s="300" t="s">
        <v>1286</v>
      </c>
      <c r="D115" s="300" t="s">
        <v>4861</v>
      </c>
      <c r="E115" s="300" t="s">
        <v>1227</v>
      </c>
      <c r="F115" s="300" t="s">
        <v>4856</v>
      </c>
      <c r="G115" s="300" t="s">
        <v>449</v>
      </c>
    </row>
    <row r="116" spans="1:7" ht="14.5">
      <c r="A116" s="300" t="s">
        <v>926</v>
      </c>
      <c r="B116" s="300" t="s">
        <v>1289</v>
      </c>
      <c r="C116" s="300" t="s">
        <v>1290</v>
      </c>
      <c r="D116" s="300" t="s">
        <v>4861</v>
      </c>
      <c r="E116" s="300" t="s">
        <v>1227</v>
      </c>
      <c r="F116" s="300" t="s">
        <v>4856</v>
      </c>
      <c r="G116" s="300" t="s">
        <v>449</v>
      </c>
    </row>
    <row r="117" spans="1:7" ht="14.5">
      <c r="A117" s="300" t="s">
        <v>926</v>
      </c>
      <c r="B117" s="300" t="s">
        <v>1292</v>
      </c>
      <c r="C117" s="300" t="s">
        <v>1293</v>
      </c>
      <c r="D117" s="300" t="s">
        <v>4861</v>
      </c>
      <c r="E117" s="300" t="s">
        <v>1227</v>
      </c>
      <c r="F117" s="300" t="s">
        <v>4856</v>
      </c>
      <c r="G117" s="300" t="s">
        <v>449</v>
      </c>
    </row>
    <row r="118" spans="1:7" ht="14.5">
      <c r="A118" s="300" t="s">
        <v>926</v>
      </c>
      <c r="B118" s="300" t="s">
        <v>1296</v>
      </c>
      <c r="C118" s="300" t="s">
        <v>1297</v>
      </c>
      <c r="D118" s="300" t="s">
        <v>4861</v>
      </c>
      <c r="E118" s="300" t="s">
        <v>1227</v>
      </c>
      <c r="F118" s="300" t="s">
        <v>4856</v>
      </c>
      <c r="G118" s="300" t="s">
        <v>449</v>
      </c>
    </row>
    <row r="119" spans="1:7" ht="14.5">
      <c r="A119" s="300" t="s">
        <v>926</v>
      </c>
      <c r="B119" s="300" t="s">
        <v>1300</v>
      </c>
      <c r="C119" s="300" t="s">
        <v>1301</v>
      </c>
      <c r="D119" s="300" t="s">
        <v>4861</v>
      </c>
      <c r="E119" s="300" t="s">
        <v>1227</v>
      </c>
      <c r="F119" s="300" t="s">
        <v>4856</v>
      </c>
      <c r="G119" s="300" t="s">
        <v>449</v>
      </c>
    </row>
    <row r="120" spans="1:7" ht="14.5">
      <c r="A120" s="300" t="s">
        <v>926</v>
      </c>
      <c r="B120" s="300" t="s">
        <v>1303</v>
      </c>
      <c r="C120" s="300" t="s">
        <v>1304</v>
      </c>
      <c r="D120" s="300" t="s">
        <v>4861</v>
      </c>
      <c r="E120" s="300" t="s">
        <v>1227</v>
      </c>
      <c r="F120" s="300" t="s">
        <v>4856</v>
      </c>
      <c r="G120" s="300" t="s">
        <v>449</v>
      </c>
    </row>
    <row r="121" spans="1:7" ht="14.5">
      <c r="A121" s="300" t="s">
        <v>926</v>
      </c>
      <c r="B121" s="300" t="s">
        <v>1307</v>
      </c>
      <c r="C121" s="300" t="s">
        <v>1308</v>
      </c>
      <c r="D121" s="300" t="s">
        <v>4861</v>
      </c>
      <c r="E121" s="300" t="s">
        <v>1227</v>
      </c>
      <c r="F121" s="300" t="s">
        <v>4856</v>
      </c>
      <c r="G121" s="300" t="s">
        <v>449</v>
      </c>
    </row>
    <row r="122" spans="1:7" ht="14.5">
      <c r="A122" s="300" t="s">
        <v>926</v>
      </c>
      <c r="B122" s="300" t="s">
        <v>1311</v>
      </c>
      <c r="C122" s="300" t="s">
        <v>1312</v>
      </c>
      <c r="D122" s="300" t="s">
        <v>4861</v>
      </c>
      <c r="E122" s="300" t="s">
        <v>1227</v>
      </c>
      <c r="F122" s="300" t="s">
        <v>4856</v>
      </c>
      <c r="G122" s="300" t="s">
        <v>449</v>
      </c>
    </row>
    <row r="123" spans="1:7" ht="14.5">
      <c r="A123" s="300" t="s">
        <v>926</v>
      </c>
      <c r="B123" s="300" t="s">
        <v>1314</v>
      </c>
      <c r="C123" s="300" t="s">
        <v>1315</v>
      </c>
      <c r="D123" s="300" t="s">
        <v>4861</v>
      </c>
      <c r="E123" s="300" t="s">
        <v>1227</v>
      </c>
      <c r="F123" s="300" t="s">
        <v>4856</v>
      </c>
      <c r="G123" s="300" t="s">
        <v>449</v>
      </c>
    </row>
    <row r="124" spans="1:7" ht="14.5">
      <c r="A124" s="300" t="s">
        <v>926</v>
      </c>
      <c r="B124" s="300" t="s">
        <v>1318</v>
      </c>
      <c r="C124" s="300" t="s">
        <v>1319</v>
      </c>
      <c r="D124" s="300" t="s">
        <v>4861</v>
      </c>
      <c r="E124" s="300" t="s">
        <v>1227</v>
      </c>
      <c r="F124" s="300" t="s">
        <v>4856</v>
      </c>
      <c r="G124" s="300" t="s">
        <v>449</v>
      </c>
    </row>
    <row r="125" spans="1:7" ht="14.5">
      <c r="A125" s="300" t="s">
        <v>926</v>
      </c>
      <c r="B125" s="300" t="s">
        <v>1320</v>
      </c>
      <c r="C125" s="300" t="s">
        <v>1321</v>
      </c>
      <c r="D125" s="300" t="s">
        <v>4861</v>
      </c>
      <c r="E125" s="300" t="s">
        <v>1227</v>
      </c>
      <c r="F125" s="300" t="s">
        <v>4856</v>
      </c>
      <c r="G125" s="300" t="s">
        <v>449</v>
      </c>
    </row>
    <row r="126" spans="1:7" ht="14.5">
      <c r="A126" s="300" t="s">
        <v>926</v>
      </c>
      <c r="B126" s="300" t="s">
        <v>1324</v>
      </c>
      <c r="C126" s="300" t="s">
        <v>1325</v>
      </c>
      <c r="D126" s="300" t="s">
        <v>4861</v>
      </c>
      <c r="E126" s="300" t="s">
        <v>1227</v>
      </c>
      <c r="F126" s="300" t="s">
        <v>4856</v>
      </c>
      <c r="G126" s="300" t="s">
        <v>449</v>
      </c>
    </row>
    <row r="127" spans="1:7" ht="14.5">
      <c r="A127" s="300" t="s">
        <v>926</v>
      </c>
      <c r="B127" s="300" t="s">
        <v>1328</v>
      </c>
      <c r="C127" s="300" t="s">
        <v>1329</v>
      </c>
      <c r="D127" s="300" t="s">
        <v>4861</v>
      </c>
      <c r="E127" s="300" t="s">
        <v>1227</v>
      </c>
      <c r="F127" s="300" t="s">
        <v>4856</v>
      </c>
      <c r="G127" s="300" t="s">
        <v>449</v>
      </c>
    </row>
    <row r="128" spans="1:7" ht="14.5">
      <c r="A128" s="300" t="s">
        <v>926</v>
      </c>
      <c r="B128" s="300" t="s">
        <v>1331</v>
      </c>
      <c r="C128" s="300" t="s">
        <v>1332</v>
      </c>
      <c r="D128" s="300" t="s">
        <v>4861</v>
      </c>
      <c r="E128" s="300" t="s">
        <v>1227</v>
      </c>
      <c r="F128" s="300" t="s">
        <v>4856</v>
      </c>
      <c r="G128" s="300" t="s">
        <v>449</v>
      </c>
    </row>
    <row r="129" spans="1:7" ht="14.5">
      <c r="A129" s="300" t="s">
        <v>926</v>
      </c>
      <c r="B129" s="300" t="s">
        <v>1334</v>
      </c>
      <c r="C129" s="300" t="s">
        <v>1335</v>
      </c>
      <c r="D129" s="300" t="s">
        <v>4861</v>
      </c>
      <c r="E129" s="300" t="s">
        <v>1227</v>
      </c>
      <c r="F129" s="300" t="s">
        <v>4856</v>
      </c>
      <c r="G129" s="300" t="s">
        <v>449</v>
      </c>
    </row>
    <row r="130" spans="1:7" ht="14.5">
      <c r="A130" s="300" t="s">
        <v>926</v>
      </c>
      <c r="B130" s="300" t="s">
        <v>1338</v>
      </c>
      <c r="C130" s="300" t="s">
        <v>1339</v>
      </c>
      <c r="D130" s="300" t="s">
        <v>4861</v>
      </c>
      <c r="E130" s="300" t="s">
        <v>1227</v>
      </c>
      <c r="F130" s="300" t="s">
        <v>4856</v>
      </c>
      <c r="G130" s="300" t="s">
        <v>449</v>
      </c>
    </row>
    <row r="131" spans="1:7" ht="14.5">
      <c r="A131" s="300" t="s">
        <v>926</v>
      </c>
      <c r="B131" s="300" t="s">
        <v>1340</v>
      </c>
      <c r="C131" s="300" t="s">
        <v>1341</v>
      </c>
      <c r="D131" s="300" t="s">
        <v>4861</v>
      </c>
      <c r="E131" s="300" t="s">
        <v>1227</v>
      </c>
      <c r="F131" s="300" t="s">
        <v>4856</v>
      </c>
      <c r="G131" s="300" t="s">
        <v>449</v>
      </c>
    </row>
    <row r="132" spans="1:7" ht="14.5">
      <c r="A132" s="300" t="s">
        <v>926</v>
      </c>
      <c r="B132" s="300" t="s">
        <v>1344</v>
      </c>
      <c r="C132" s="300" t="s">
        <v>1345</v>
      </c>
      <c r="D132" s="300" t="s">
        <v>4861</v>
      </c>
      <c r="E132" s="300" t="s">
        <v>1227</v>
      </c>
      <c r="F132" s="300" t="s">
        <v>4856</v>
      </c>
      <c r="G132" s="300" t="s">
        <v>449</v>
      </c>
    </row>
    <row r="133" spans="1:7" ht="14.5">
      <c r="A133" s="300" t="s">
        <v>926</v>
      </c>
      <c r="B133" s="300" t="s">
        <v>1346</v>
      </c>
      <c r="C133" s="300" t="s">
        <v>1347</v>
      </c>
      <c r="D133" s="300" t="s">
        <v>4861</v>
      </c>
      <c r="E133" s="300" t="s">
        <v>1227</v>
      </c>
      <c r="F133" s="300" t="s">
        <v>4856</v>
      </c>
      <c r="G133" s="300" t="s">
        <v>449</v>
      </c>
    </row>
    <row r="134" spans="1:7" ht="14.5">
      <c r="A134" s="300" t="s">
        <v>926</v>
      </c>
      <c r="B134" s="300" t="s">
        <v>1350</v>
      </c>
      <c r="C134" s="300" t="s">
        <v>1351</v>
      </c>
      <c r="D134" s="300" t="s">
        <v>4861</v>
      </c>
      <c r="E134" s="300" t="s">
        <v>1227</v>
      </c>
      <c r="F134" s="300" t="s">
        <v>4856</v>
      </c>
      <c r="G134" s="300" t="s">
        <v>449</v>
      </c>
    </row>
    <row r="135" spans="1:7" ht="14.5">
      <c r="A135" s="300" t="s">
        <v>926</v>
      </c>
      <c r="B135" s="300" t="s">
        <v>1352</v>
      </c>
      <c r="C135" s="300" t="s">
        <v>1353</v>
      </c>
      <c r="D135" s="300" t="s">
        <v>4861</v>
      </c>
      <c r="E135" s="300" t="s">
        <v>1227</v>
      </c>
      <c r="F135" s="300" t="s">
        <v>4856</v>
      </c>
      <c r="G135" s="300" t="s">
        <v>449</v>
      </c>
    </row>
    <row r="136" spans="1:7" ht="14.5">
      <c r="A136" s="300" t="s">
        <v>926</v>
      </c>
      <c r="B136" s="300" t="s">
        <v>1356</v>
      </c>
      <c r="C136" s="300" t="s">
        <v>1357</v>
      </c>
      <c r="D136" s="300" t="s">
        <v>4861</v>
      </c>
      <c r="E136" s="300" t="s">
        <v>1227</v>
      </c>
      <c r="F136" s="300" t="s">
        <v>4856</v>
      </c>
      <c r="G136" s="300" t="s">
        <v>449</v>
      </c>
    </row>
    <row r="137" spans="1:7" ht="14.5">
      <c r="A137" s="300" t="s">
        <v>926</v>
      </c>
      <c r="B137" s="300" t="s">
        <v>1358</v>
      </c>
      <c r="C137" s="300" t="s">
        <v>1359</v>
      </c>
      <c r="D137" s="300" t="s">
        <v>4861</v>
      </c>
      <c r="E137" s="300" t="s">
        <v>1227</v>
      </c>
      <c r="F137" s="300" t="s">
        <v>4856</v>
      </c>
      <c r="G137" s="300" t="s">
        <v>449</v>
      </c>
    </row>
    <row r="138" spans="1:7" ht="14.5">
      <c r="A138" s="300" t="s">
        <v>926</v>
      </c>
      <c r="B138" s="300" t="s">
        <v>1361</v>
      </c>
      <c r="C138" s="300" t="s">
        <v>1362</v>
      </c>
      <c r="D138" s="300" t="s">
        <v>4861</v>
      </c>
      <c r="E138" s="300" t="s">
        <v>1227</v>
      </c>
      <c r="F138" s="300" t="s">
        <v>4856</v>
      </c>
      <c r="G138" s="300" t="s">
        <v>449</v>
      </c>
    </row>
    <row r="139" spans="1:7" ht="14.5">
      <c r="A139" s="300" t="s">
        <v>926</v>
      </c>
      <c r="B139" s="300" t="s">
        <v>1365</v>
      </c>
      <c r="C139" s="300" t="s">
        <v>1366</v>
      </c>
      <c r="D139" s="300" t="s">
        <v>4861</v>
      </c>
      <c r="E139" s="300" t="s">
        <v>1227</v>
      </c>
      <c r="F139" s="300" t="s">
        <v>4856</v>
      </c>
      <c r="G139" s="300" t="s">
        <v>449</v>
      </c>
    </row>
    <row r="140" spans="1:7" ht="14.5">
      <c r="A140" s="300" t="s">
        <v>926</v>
      </c>
      <c r="B140" s="300" t="s">
        <v>1367</v>
      </c>
      <c r="C140" s="300" t="s">
        <v>1368</v>
      </c>
      <c r="D140" s="300" t="s">
        <v>4861</v>
      </c>
      <c r="E140" s="300" t="s">
        <v>1227</v>
      </c>
      <c r="F140" s="300" t="s">
        <v>4856</v>
      </c>
      <c r="G140" s="300" t="s">
        <v>449</v>
      </c>
    </row>
    <row r="141" spans="1:7" ht="14.5">
      <c r="A141" s="300" t="s">
        <v>926</v>
      </c>
      <c r="B141" s="300" t="s">
        <v>1371</v>
      </c>
      <c r="C141" s="300" t="s">
        <v>1372</v>
      </c>
      <c r="D141" s="300" t="s">
        <v>4862</v>
      </c>
      <c r="E141" s="300" t="s">
        <v>1374</v>
      </c>
      <c r="F141" s="300" t="s">
        <v>4856</v>
      </c>
      <c r="G141" s="300" t="s">
        <v>449</v>
      </c>
    </row>
    <row r="142" spans="1:7" ht="14.5">
      <c r="A142" s="300" t="s">
        <v>926</v>
      </c>
      <c r="B142" s="300" t="s">
        <v>1375</v>
      </c>
      <c r="C142" s="300" t="s">
        <v>1376</v>
      </c>
      <c r="D142" s="300" t="s">
        <v>4862</v>
      </c>
      <c r="E142" s="300" t="s">
        <v>1374</v>
      </c>
      <c r="F142" s="300" t="s">
        <v>4856</v>
      </c>
      <c r="G142" s="300" t="s">
        <v>449</v>
      </c>
    </row>
    <row r="143" spans="1:7" ht="14.5">
      <c r="A143" s="300" t="s">
        <v>926</v>
      </c>
      <c r="B143" s="300" t="s">
        <v>1378</v>
      </c>
      <c r="C143" s="300" t="s">
        <v>1379</v>
      </c>
      <c r="D143" s="300" t="s">
        <v>4862</v>
      </c>
      <c r="E143" s="300" t="s">
        <v>1374</v>
      </c>
      <c r="F143" s="300" t="s">
        <v>4856</v>
      </c>
      <c r="G143" s="300" t="s">
        <v>449</v>
      </c>
    </row>
    <row r="144" spans="1:7" ht="14.5">
      <c r="A144" s="300" t="s">
        <v>926</v>
      </c>
      <c r="B144" s="300" t="s">
        <v>1382</v>
      </c>
      <c r="C144" s="300" t="s">
        <v>1383</v>
      </c>
      <c r="D144" s="300" t="s">
        <v>4862</v>
      </c>
      <c r="E144" s="300" t="s">
        <v>1374</v>
      </c>
      <c r="F144" s="300" t="s">
        <v>4856</v>
      </c>
      <c r="G144" s="300" t="s">
        <v>449</v>
      </c>
    </row>
    <row r="145" spans="1:7" ht="14.5">
      <c r="A145" s="300" t="s">
        <v>926</v>
      </c>
      <c r="B145" s="300" t="s">
        <v>1384</v>
      </c>
      <c r="C145" s="300" t="s">
        <v>1385</v>
      </c>
      <c r="D145" s="300" t="s">
        <v>4862</v>
      </c>
      <c r="E145" s="300" t="s">
        <v>1374</v>
      </c>
      <c r="F145" s="300" t="s">
        <v>4856</v>
      </c>
      <c r="G145" s="300" t="s">
        <v>449</v>
      </c>
    </row>
    <row r="146" spans="1:7" ht="14.5">
      <c r="A146" s="300" t="s">
        <v>926</v>
      </c>
      <c r="B146" s="300" t="s">
        <v>1388</v>
      </c>
      <c r="C146" s="300" t="s">
        <v>1389</v>
      </c>
      <c r="D146" s="300" t="s">
        <v>4862</v>
      </c>
      <c r="E146" s="300" t="s">
        <v>1374</v>
      </c>
      <c r="F146" s="300" t="s">
        <v>4856</v>
      </c>
      <c r="G146" s="300" t="s">
        <v>449</v>
      </c>
    </row>
    <row r="147" spans="1:7" ht="14.5">
      <c r="A147" s="300" t="s">
        <v>926</v>
      </c>
      <c r="B147" s="300" t="s">
        <v>1390</v>
      </c>
      <c r="C147" s="300" t="s">
        <v>1391</v>
      </c>
      <c r="D147" s="300" t="s">
        <v>4862</v>
      </c>
      <c r="E147" s="300" t="s">
        <v>1374</v>
      </c>
      <c r="F147" s="300" t="s">
        <v>4856</v>
      </c>
      <c r="G147" s="300" t="s">
        <v>449</v>
      </c>
    </row>
    <row r="148" spans="1:7" ht="14.5">
      <c r="A148" s="300" t="s">
        <v>926</v>
      </c>
      <c r="B148" s="300" t="s">
        <v>1394</v>
      </c>
      <c r="C148" s="300" t="s">
        <v>1395</v>
      </c>
      <c r="D148" s="300" t="s">
        <v>4862</v>
      </c>
      <c r="E148" s="300" t="s">
        <v>1374</v>
      </c>
      <c r="F148" s="300" t="s">
        <v>4856</v>
      </c>
      <c r="G148" s="300" t="s">
        <v>449</v>
      </c>
    </row>
    <row r="149" spans="1:7" ht="14.5">
      <c r="A149" s="300" t="s">
        <v>926</v>
      </c>
      <c r="B149" s="300" t="s">
        <v>1396</v>
      </c>
      <c r="C149" s="300" t="s">
        <v>1397</v>
      </c>
      <c r="D149" s="300" t="s">
        <v>4862</v>
      </c>
      <c r="E149" s="300" t="s">
        <v>1374</v>
      </c>
      <c r="F149" s="300" t="s">
        <v>4856</v>
      </c>
      <c r="G149" s="300" t="s">
        <v>449</v>
      </c>
    </row>
    <row r="150" spans="1:7" ht="14.5">
      <c r="A150" s="300" t="s">
        <v>926</v>
      </c>
      <c r="B150" s="300" t="s">
        <v>1399</v>
      </c>
      <c r="C150" s="300" t="s">
        <v>1400</v>
      </c>
      <c r="D150" s="300" t="s">
        <v>4862</v>
      </c>
      <c r="E150" s="300" t="s">
        <v>1374</v>
      </c>
      <c r="F150" s="300" t="s">
        <v>4856</v>
      </c>
      <c r="G150" s="300" t="s">
        <v>449</v>
      </c>
    </row>
    <row r="151" spans="1:7" ht="14.5">
      <c r="A151" s="300" t="s">
        <v>926</v>
      </c>
      <c r="B151" s="300" t="s">
        <v>1403</v>
      </c>
      <c r="C151" s="300" t="s">
        <v>1404</v>
      </c>
      <c r="D151" s="300" t="s">
        <v>4862</v>
      </c>
      <c r="E151" s="300" t="s">
        <v>1374</v>
      </c>
      <c r="F151" s="300" t="s">
        <v>4856</v>
      </c>
      <c r="G151" s="300" t="s">
        <v>449</v>
      </c>
    </row>
    <row r="152" spans="1:7" ht="14.5">
      <c r="A152" s="300" t="s">
        <v>926</v>
      </c>
      <c r="B152" s="300" t="s">
        <v>1405</v>
      </c>
      <c r="C152" s="300" t="s">
        <v>1406</v>
      </c>
      <c r="D152" s="300" t="s">
        <v>4862</v>
      </c>
      <c r="E152" s="300" t="s">
        <v>1374</v>
      </c>
      <c r="F152" s="300" t="s">
        <v>4856</v>
      </c>
      <c r="G152" s="300" t="s">
        <v>449</v>
      </c>
    </row>
    <row r="153" spans="1:7" ht="14.5">
      <c r="A153" s="300" t="s">
        <v>926</v>
      </c>
      <c r="B153" s="300" t="s">
        <v>1409</v>
      </c>
      <c r="C153" s="300" t="s">
        <v>1410</v>
      </c>
      <c r="D153" s="300" t="s">
        <v>4862</v>
      </c>
      <c r="E153" s="300" t="s">
        <v>1374</v>
      </c>
      <c r="F153" s="300" t="s">
        <v>4856</v>
      </c>
      <c r="G153" s="300" t="s">
        <v>449</v>
      </c>
    </row>
    <row r="154" spans="1:7" ht="14.5">
      <c r="A154" s="300" t="s">
        <v>926</v>
      </c>
      <c r="B154" s="300" t="s">
        <v>1411</v>
      </c>
      <c r="C154" s="300" t="s">
        <v>1412</v>
      </c>
      <c r="D154" s="300" t="s">
        <v>4862</v>
      </c>
      <c r="E154" s="300" t="s">
        <v>1374</v>
      </c>
      <c r="F154" s="300" t="s">
        <v>4856</v>
      </c>
      <c r="G154" s="300" t="s">
        <v>449</v>
      </c>
    </row>
    <row r="155" spans="1:7" ht="14.5">
      <c r="A155" s="300" t="s">
        <v>926</v>
      </c>
      <c r="B155" s="300" t="s">
        <v>1415</v>
      </c>
      <c r="C155" s="300" t="s">
        <v>1416</v>
      </c>
      <c r="D155" s="300" t="s">
        <v>4862</v>
      </c>
      <c r="E155" s="300" t="s">
        <v>1374</v>
      </c>
      <c r="F155" s="300" t="s">
        <v>4856</v>
      </c>
      <c r="G155" s="300" t="s">
        <v>449</v>
      </c>
    </row>
    <row r="156" spans="1:7" ht="14.5">
      <c r="A156" s="300" t="s">
        <v>926</v>
      </c>
      <c r="B156" s="300" t="s">
        <v>1417</v>
      </c>
      <c r="C156" s="300" t="s">
        <v>1418</v>
      </c>
      <c r="D156" s="300" t="s">
        <v>4862</v>
      </c>
      <c r="E156" s="300" t="s">
        <v>1374</v>
      </c>
      <c r="F156" s="300" t="s">
        <v>4856</v>
      </c>
      <c r="G156" s="300" t="s">
        <v>449</v>
      </c>
    </row>
    <row r="157" spans="1:7" ht="14.5">
      <c r="A157" s="300" t="s">
        <v>926</v>
      </c>
      <c r="B157" s="300" t="s">
        <v>1421</v>
      </c>
      <c r="C157" s="300" t="s">
        <v>1422</v>
      </c>
      <c r="D157" s="300" t="s">
        <v>4862</v>
      </c>
      <c r="E157" s="300" t="s">
        <v>1374</v>
      </c>
      <c r="F157" s="300" t="s">
        <v>4856</v>
      </c>
      <c r="G157" s="300" t="s">
        <v>449</v>
      </c>
    </row>
    <row r="158" spans="1:7" ht="14.5">
      <c r="A158" s="300" t="s">
        <v>926</v>
      </c>
      <c r="B158" s="300" t="s">
        <v>1423</v>
      </c>
      <c r="C158" s="300" t="s">
        <v>1424</v>
      </c>
      <c r="D158" s="300" t="s">
        <v>4862</v>
      </c>
      <c r="E158" s="300" t="s">
        <v>1374</v>
      </c>
      <c r="F158" s="300" t="s">
        <v>4856</v>
      </c>
      <c r="G158" s="300" t="s">
        <v>449</v>
      </c>
    </row>
    <row r="159" spans="1:7" ht="14.5">
      <c r="A159" s="300" t="s">
        <v>926</v>
      </c>
      <c r="B159" s="300" t="s">
        <v>1425</v>
      </c>
      <c r="C159" s="300" t="s">
        <v>1426</v>
      </c>
      <c r="D159" s="300" t="s">
        <v>4862</v>
      </c>
      <c r="E159" s="300" t="s">
        <v>1374</v>
      </c>
      <c r="F159" s="300" t="s">
        <v>4856</v>
      </c>
      <c r="G159" s="300" t="s">
        <v>449</v>
      </c>
    </row>
    <row r="160" spans="1:7" ht="14.5">
      <c r="A160" s="300" t="s">
        <v>926</v>
      </c>
      <c r="B160" s="300" t="s">
        <v>1427</v>
      </c>
      <c r="C160" s="300" t="s">
        <v>1428</v>
      </c>
      <c r="D160" s="300" t="s">
        <v>4862</v>
      </c>
      <c r="E160" s="300" t="s">
        <v>1374</v>
      </c>
      <c r="F160" s="300" t="s">
        <v>4856</v>
      </c>
      <c r="G160" s="300" t="s">
        <v>449</v>
      </c>
    </row>
    <row r="161" spans="1:7" ht="14.5">
      <c r="A161" s="300" t="s">
        <v>926</v>
      </c>
      <c r="B161" s="300" t="s">
        <v>1429</v>
      </c>
      <c r="C161" s="300" t="s">
        <v>1430</v>
      </c>
      <c r="D161" s="300" t="s">
        <v>4862</v>
      </c>
      <c r="E161" s="300" t="s">
        <v>1374</v>
      </c>
      <c r="F161" s="300" t="s">
        <v>4856</v>
      </c>
      <c r="G161" s="300" t="s">
        <v>449</v>
      </c>
    </row>
    <row r="162" spans="1:7" ht="14.5">
      <c r="A162" s="300" t="s">
        <v>926</v>
      </c>
      <c r="B162" s="300" t="s">
        <v>1431</v>
      </c>
      <c r="C162" s="300" t="s">
        <v>1432</v>
      </c>
      <c r="D162" s="300" t="s">
        <v>4862</v>
      </c>
      <c r="E162" s="300" t="s">
        <v>1374</v>
      </c>
      <c r="F162" s="300" t="s">
        <v>4856</v>
      </c>
      <c r="G162" s="300" t="s">
        <v>449</v>
      </c>
    </row>
    <row r="163" spans="1:7" ht="14.5">
      <c r="A163" s="300" t="s">
        <v>926</v>
      </c>
      <c r="B163" s="300" t="s">
        <v>1435</v>
      </c>
      <c r="C163" s="300" t="s">
        <v>1436</v>
      </c>
      <c r="D163" s="300" t="s">
        <v>4862</v>
      </c>
      <c r="E163" s="300" t="s">
        <v>1374</v>
      </c>
      <c r="F163" s="300" t="s">
        <v>4856</v>
      </c>
      <c r="G163" s="300" t="s">
        <v>449</v>
      </c>
    </row>
    <row r="164" spans="1:7" ht="14.5">
      <c r="A164" s="300" t="s">
        <v>926</v>
      </c>
      <c r="B164" s="300" t="s">
        <v>1437</v>
      </c>
      <c r="C164" s="300" t="s">
        <v>1438</v>
      </c>
      <c r="D164" s="300" t="s">
        <v>4863</v>
      </c>
      <c r="E164" s="300" t="s">
        <v>1441</v>
      </c>
      <c r="F164" s="300" t="s">
        <v>4856</v>
      </c>
      <c r="G164" s="300" t="s">
        <v>449</v>
      </c>
    </row>
    <row r="165" spans="1:7" ht="14.5">
      <c r="A165" s="300" t="s">
        <v>926</v>
      </c>
      <c r="B165" s="300" t="s">
        <v>1442</v>
      </c>
      <c r="C165" s="300" t="s">
        <v>1443</v>
      </c>
      <c r="D165" s="300" t="s">
        <v>4863</v>
      </c>
      <c r="E165" s="300" t="s">
        <v>1441</v>
      </c>
      <c r="F165" s="300" t="s">
        <v>4856</v>
      </c>
      <c r="G165" s="300" t="s">
        <v>449</v>
      </c>
    </row>
    <row r="166" spans="1:7" ht="14.5">
      <c r="A166" s="300" t="s">
        <v>926</v>
      </c>
      <c r="B166" s="300" t="s">
        <v>1444</v>
      </c>
      <c r="C166" s="300" t="s">
        <v>1445</v>
      </c>
      <c r="D166" s="300" t="s">
        <v>4863</v>
      </c>
      <c r="E166" s="300" t="s">
        <v>1441</v>
      </c>
      <c r="F166" s="300" t="s">
        <v>4856</v>
      </c>
      <c r="G166" s="300" t="s">
        <v>449</v>
      </c>
    </row>
    <row r="167" spans="1:7" ht="14.5">
      <c r="A167" s="300" t="s">
        <v>926</v>
      </c>
      <c r="B167" s="300" t="s">
        <v>1448</v>
      </c>
      <c r="C167" s="300" t="s">
        <v>1449</v>
      </c>
      <c r="D167" s="300" t="s">
        <v>4863</v>
      </c>
      <c r="E167" s="300" t="s">
        <v>1441</v>
      </c>
      <c r="F167" s="300" t="s">
        <v>4856</v>
      </c>
      <c r="G167" s="300" t="s">
        <v>449</v>
      </c>
    </row>
    <row r="168" spans="1:7" ht="14.5">
      <c r="A168" s="300" t="s">
        <v>926</v>
      </c>
      <c r="B168" s="300" t="s">
        <v>1452</v>
      </c>
      <c r="C168" s="300" t="s">
        <v>1453</v>
      </c>
      <c r="D168" s="300" t="s">
        <v>4863</v>
      </c>
      <c r="E168" s="300" t="s">
        <v>1441</v>
      </c>
      <c r="F168" s="300" t="s">
        <v>4856</v>
      </c>
      <c r="G168" s="300" t="s">
        <v>449</v>
      </c>
    </row>
    <row r="169" spans="1:7" ht="14.5">
      <c r="A169" s="300" t="s">
        <v>926</v>
      </c>
      <c r="B169" s="300" t="s">
        <v>1454</v>
      </c>
      <c r="C169" s="300" t="s">
        <v>1455</v>
      </c>
      <c r="D169" s="300" t="s">
        <v>4863</v>
      </c>
      <c r="E169" s="300" t="s">
        <v>1441</v>
      </c>
      <c r="F169" s="300" t="s">
        <v>4856</v>
      </c>
      <c r="G169" s="300" t="s">
        <v>449</v>
      </c>
    </row>
    <row r="170" spans="1:7" ht="14.5">
      <c r="A170" s="300" t="s">
        <v>926</v>
      </c>
      <c r="B170" s="300" t="s">
        <v>1456</v>
      </c>
      <c r="C170" s="300" t="s">
        <v>1457</v>
      </c>
      <c r="D170" s="300" t="s">
        <v>4863</v>
      </c>
      <c r="E170" s="300" t="s">
        <v>1441</v>
      </c>
      <c r="F170" s="300" t="s">
        <v>4856</v>
      </c>
      <c r="G170" s="300" t="s">
        <v>449</v>
      </c>
    </row>
    <row r="171" spans="1:7" ht="14.5">
      <c r="A171" s="300" t="s">
        <v>926</v>
      </c>
      <c r="B171" s="300" t="s">
        <v>1458</v>
      </c>
      <c r="C171" s="300" t="s">
        <v>1459</v>
      </c>
      <c r="D171" s="300" t="s">
        <v>4863</v>
      </c>
      <c r="E171" s="300" t="s">
        <v>1441</v>
      </c>
      <c r="F171" s="300" t="s">
        <v>4856</v>
      </c>
      <c r="G171" s="300" t="s">
        <v>449</v>
      </c>
    </row>
    <row r="172" spans="1:7" ht="14.5">
      <c r="A172" s="300" t="s">
        <v>926</v>
      </c>
      <c r="B172" s="300" t="s">
        <v>1461</v>
      </c>
      <c r="C172" s="300" t="s">
        <v>1462</v>
      </c>
      <c r="D172" s="300" t="s">
        <v>4863</v>
      </c>
      <c r="E172" s="300" t="s">
        <v>1441</v>
      </c>
      <c r="F172" s="300" t="s">
        <v>4856</v>
      </c>
      <c r="G172" s="300" t="s">
        <v>449</v>
      </c>
    </row>
    <row r="173" spans="1:7" ht="14.5">
      <c r="A173" s="300" t="s">
        <v>926</v>
      </c>
      <c r="B173" s="300" t="s">
        <v>1465</v>
      </c>
      <c r="C173" s="300" t="s">
        <v>1466</v>
      </c>
      <c r="D173" s="300" t="s">
        <v>4863</v>
      </c>
      <c r="E173" s="300" t="s">
        <v>1441</v>
      </c>
      <c r="F173" s="300" t="s">
        <v>4856</v>
      </c>
      <c r="G173" s="300" t="s">
        <v>449</v>
      </c>
    </row>
    <row r="174" spans="1:7" ht="14.5">
      <c r="A174" s="300" t="s">
        <v>926</v>
      </c>
      <c r="B174" s="300" t="s">
        <v>1467</v>
      </c>
      <c r="C174" s="300" t="s">
        <v>1468</v>
      </c>
      <c r="D174" s="300" t="s">
        <v>4863</v>
      </c>
      <c r="E174" s="300" t="s">
        <v>1441</v>
      </c>
      <c r="F174" s="300" t="s">
        <v>4856</v>
      </c>
      <c r="G174" s="300" t="s">
        <v>449</v>
      </c>
    </row>
    <row r="175" spans="1:7" ht="14.5">
      <c r="A175" s="300" t="s">
        <v>926</v>
      </c>
      <c r="B175" s="300" t="s">
        <v>1469</v>
      </c>
      <c r="C175" s="300" t="s">
        <v>1470</v>
      </c>
      <c r="D175" s="300" t="s">
        <v>4863</v>
      </c>
      <c r="E175" s="300" t="s">
        <v>1441</v>
      </c>
      <c r="F175" s="300" t="s">
        <v>4856</v>
      </c>
      <c r="G175" s="300" t="s">
        <v>449</v>
      </c>
    </row>
    <row r="176" spans="1:7" ht="14.5">
      <c r="A176" s="300" t="s">
        <v>926</v>
      </c>
      <c r="B176" s="300" t="s">
        <v>1471</v>
      </c>
      <c r="C176" s="300" t="s">
        <v>1472</v>
      </c>
      <c r="D176" s="300" t="s">
        <v>4863</v>
      </c>
      <c r="E176" s="300" t="s">
        <v>1441</v>
      </c>
      <c r="F176" s="300" t="s">
        <v>4856</v>
      </c>
      <c r="G176" s="300" t="s">
        <v>449</v>
      </c>
    </row>
    <row r="177" spans="1:7" ht="14.5">
      <c r="A177" s="300" t="s">
        <v>926</v>
      </c>
      <c r="B177" s="300" t="s">
        <v>1473</v>
      </c>
      <c r="C177" s="300" t="s">
        <v>1474</v>
      </c>
      <c r="D177" s="300" t="s">
        <v>4863</v>
      </c>
      <c r="E177" s="300" t="s">
        <v>1441</v>
      </c>
      <c r="F177" s="300" t="s">
        <v>4856</v>
      </c>
      <c r="G177" s="300" t="s">
        <v>449</v>
      </c>
    </row>
    <row r="178" spans="1:7" ht="14.5">
      <c r="A178" s="300" t="s">
        <v>926</v>
      </c>
      <c r="B178" s="300" t="s">
        <v>1475</v>
      </c>
      <c r="C178" s="300" t="s">
        <v>1476</v>
      </c>
      <c r="D178" s="300" t="s">
        <v>4863</v>
      </c>
      <c r="E178" s="300" t="s">
        <v>1441</v>
      </c>
      <c r="F178" s="300" t="s">
        <v>4856</v>
      </c>
      <c r="G178" s="300" t="s">
        <v>449</v>
      </c>
    </row>
    <row r="179" spans="1:7" ht="14.5">
      <c r="A179" s="300" t="s">
        <v>926</v>
      </c>
      <c r="B179" s="300" t="s">
        <v>1477</v>
      </c>
      <c r="C179" s="300" t="s">
        <v>1478</v>
      </c>
      <c r="D179" s="300" t="s">
        <v>4863</v>
      </c>
      <c r="E179" s="300" t="s">
        <v>1441</v>
      </c>
      <c r="F179" s="300" t="s">
        <v>4856</v>
      </c>
      <c r="G179" s="300" t="s">
        <v>449</v>
      </c>
    </row>
    <row r="180" spans="1:7" ht="14.5">
      <c r="A180" s="300" t="s">
        <v>926</v>
      </c>
      <c r="B180" s="300" t="s">
        <v>1480</v>
      </c>
      <c r="C180" s="300" t="s">
        <v>1481</v>
      </c>
      <c r="D180" s="300" t="s">
        <v>4863</v>
      </c>
      <c r="E180" s="300" t="s">
        <v>1441</v>
      </c>
      <c r="F180" s="300" t="s">
        <v>4856</v>
      </c>
      <c r="G180" s="300" t="s">
        <v>449</v>
      </c>
    </row>
    <row r="181" spans="1:7" ht="14.5">
      <c r="A181" s="300" t="s">
        <v>926</v>
      </c>
      <c r="B181" s="300" t="s">
        <v>1484</v>
      </c>
      <c r="C181" s="300" t="s">
        <v>1485</v>
      </c>
      <c r="D181" s="300" t="s">
        <v>4863</v>
      </c>
      <c r="E181" s="300" t="s">
        <v>1441</v>
      </c>
      <c r="F181" s="300" t="s">
        <v>4856</v>
      </c>
      <c r="G181" s="300" t="s">
        <v>449</v>
      </c>
    </row>
    <row r="182" spans="1:7" ht="14.5">
      <c r="A182" s="300" t="s">
        <v>926</v>
      </c>
      <c r="B182" s="300" t="s">
        <v>1487</v>
      </c>
      <c r="C182" s="300" t="s">
        <v>1488</v>
      </c>
      <c r="D182" s="300" t="s">
        <v>4864</v>
      </c>
      <c r="E182" s="300" t="s">
        <v>1490</v>
      </c>
      <c r="F182" s="300" t="s">
        <v>4856</v>
      </c>
      <c r="G182" s="300" t="s">
        <v>449</v>
      </c>
    </row>
    <row r="183" spans="1:7" ht="14.5">
      <c r="A183" s="300" t="s">
        <v>926</v>
      </c>
      <c r="B183" s="300" t="s">
        <v>1491</v>
      </c>
      <c r="C183" s="300" t="s">
        <v>1492</v>
      </c>
      <c r="D183" s="300" t="s">
        <v>4864</v>
      </c>
      <c r="E183" s="300" t="s">
        <v>1490</v>
      </c>
      <c r="F183" s="300" t="s">
        <v>4856</v>
      </c>
      <c r="G183" s="300" t="s">
        <v>449</v>
      </c>
    </row>
    <row r="184" spans="1:7" ht="14.5">
      <c r="A184" s="300" t="s">
        <v>926</v>
      </c>
      <c r="B184" s="300" t="s">
        <v>1495</v>
      </c>
      <c r="C184" s="300" t="s">
        <v>1496</v>
      </c>
      <c r="D184" s="300" t="s">
        <v>4863</v>
      </c>
      <c r="E184" s="300" t="s">
        <v>1441</v>
      </c>
      <c r="F184" s="300" t="s">
        <v>4856</v>
      </c>
      <c r="G184" s="300" t="s">
        <v>449</v>
      </c>
    </row>
    <row r="185" spans="1:7" ht="14.5">
      <c r="A185" s="300" t="s">
        <v>926</v>
      </c>
      <c r="B185" s="300" t="s">
        <v>1498</v>
      </c>
      <c r="C185" s="300" t="s">
        <v>1499</v>
      </c>
      <c r="D185" s="300" t="s">
        <v>4863</v>
      </c>
      <c r="E185" s="300" t="s">
        <v>1441</v>
      </c>
      <c r="F185" s="300" t="s">
        <v>4856</v>
      </c>
      <c r="G185" s="300" t="s">
        <v>449</v>
      </c>
    </row>
    <row r="186" spans="1:7" ht="14.5">
      <c r="A186" s="300" t="s">
        <v>926</v>
      </c>
      <c r="B186" s="300" t="s">
        <v>1502</v>
      </c>
      <c r="C186" s="300" t="s">
        <v>1503</v>
      </c>
      <c r="D186" s="300" t="s">
        <v>4863</v>
      </c>
      <c r="E186" s="300" t="s">
        <v>1441</v>
      </c>
      <c r="F186" s="300" t="s">
        <v>4856</v>
      </c>
      <c r="G186" s="300" t="s">
        <v>449</v>
      </c>
    </row>
    <row r="187" spans="1:7" ht="14.5">
      <c r="A187" s="300" t="s">
        <v>926</v>
      </c>
      <c r="B187" s="300" t="s">
        <v>1505</v>
      </c>
      <c r="C187" s="300" t="s">
        <v>1506</v>
      </c>
      <c r="D187" s="300" t="s">
        <v>4863</v>
      </c>
      <c r="E187" s="300" t="s">
        <v>1441</v>
      </c>
      <c r="F187" s="300" t="s">
        <v>4856</v>
      </c>
      <c r="G187" s="300" t="s">
        <v>449</v>
      </c>
    </row>
    <row r="188" spans="1:7" ht="14.5">
      <c r="A188" s="300" t="s">
        <v>926</v>
      </c>
      <c r="B188" s="300" t="s">
        <v>1509</v>
      </c>
      <c r="C188" s="300" t="s">
        <v>1510</v>
      </c>
      <c r="D188" s="300" t="s">
        <v>4863</v>
      </c>
      <c r="E188" s="300" t="s">
        <v>1441</v>
      </c>
      <c r="F188" s="300" t="s">
        <v>4856</v>
      </c>
      <c r="G188" s="300" t="s">
        <v>449</v>
      </c>
    </row>
    <row r="189" spans="1:7" ht="14.5">
      <c r="A189" s="300" t="s">
        <v>926</v>
      </c>
      <c r="B189" s="300" t="s">
        <v>1513</v>
      </c>
      <c r="C189" s="300" t="s">
        <v>1514</v>
      </c>
      <c r="D189" s="300" t="s">
        <v>4863</v>
      </c>
      <c r="E189" s="300" t="s">
        <v>1441</v>
      </c>
      <c r="F189" s="300" t="s">
        <v>4856</v>
      </c>
      <c r="G189" s="300" t="s">
        <v>449</v>
      </c>
    </row>
    <row r="190" spans="1:7" ht="14.5">
      <c r="A190" s="300" t="s">
        <v>926</v>
      </c>
      <c r="B190" s="300" t="s">
        <v>1515</v>
      </c>
      <c r="C190" s="300" t="s">
        <v>1516</v>
      </c>
      <c r="D190" s="300" t="s">
        <v>4863</v>
      </c>
      <c r="E190" s="300" t="s">
        <v>1441</v>
      </c>
      <c r="F190" s="300" t="s">
        <v>4856</v>
      </c>
      <c r="G190" s="300" t="s">
        <v>449</v>
      </c>
    </row>
    <row r="191" spans="1:7" ht="14.5">
      <c r="A191" s="300" t="s">
        <v>926</v>
      </c>
      <c r="B191" s="300" t="s">
        <v>1519</v>
      </c>
      <c r="C191" s="300" t="s">
        <v>1520</v>
      </c>
      <c r="D191" s="300" t="s">
        <v>4863</v>
      </c>
      <c r="E191" s="300" t="s">
        <v>1441</v>
      </c>
      <c r="F191" s="300" t="s">
        <v>4856</v>
      </c>
      <c r="G191" s="300" t="s">
        <v>449</v>
      </c>
    </row>
    <row r="192" spans="1:7" ht="14.5">
      <c r="A192" s="300" t="s">
        <v>926</v>
      </c>
      <c r="B192" s="300" t="s">
        <v>1521</v>
      </c>
      <c r="C192" s="300" t="s">
        <v>1522</v>
      </c>
      <c r="D192" s="300" t="s">
        <v>4863</v>
      </c>
      <c r="E192" s="300" t="s">
        <v>1441</v>
      </c>
      <c r="F192" s="300" t="s">
        <v>4856</v>
      </c>
      <c r="G192" s="300" t="s">
        <v>449</v>
      </c>
    </row>
    <row r="193" spans="1:7" ht="14.5">
      <c r="A193" s="300" t="s">
        <v>926</v>
      </c>
      <c r="B193" s="300" t="s">
        <v>1525</v>
      </c>
      <c r="C193" s="300" t="s">
        <v>1526</v>
      </c>
      <c r="D193" s="300" t="s">
        <v>4863</v>
      </c>
      <c r="E193" s="300" t="s">
        <v>1441</v>
      </c>
      <c r="F193" s="300" t="s">
        <v>4856</v>
      </c>
      <c r="G193" s="300" t="s">
        <v>449</v>
      </c>
    </row>
    <row r="194" spans="1:7" ht="14.5">
      <c r="A194" s="300" t="s">
        <v>926</v>
      </c>
      <c r="B194" s="300" t="s">
        <v>1527</v>
      </c>
      <c r="C194" s="300" t="s">
        <v>1528</v>
      </c>
      <c r="D194" s="300" t="s">
        <v>4863</v>
      </c>
      <c r="E194" s="300" t="s">
        <v>1441</v>
      </c>
      <c r="F194" s="300" t="s">
        <v>4856</v>
      </c>
      <c r="G194" s="300" t="s">
        <v>449</v>
      </c>
    </row>
    <row r="195" spans="1:7" ht="14.5">
      <c r="A195" s="300" t="s">
        <v>926</v>
      </c>
      <c r="B195" s="300" t="s">
        <v>1529</v>
      </c>
      <c r="C195" s="300" t="s">
        <v>1530</v>
      </c>
      <c r="D195" s="300" t="s">
        <v>4863</v>
      </c>
      <c r="E195" s="300" t="s">
        <v>1441</v>
      </c>
      <c r="F195" s="300" t="s">
        <v>4856</v>
      </c>
      <c r="G195" s="300" t="s">
        <v>449</v>
      </c>
    </row>
    <row r="196" spans="1:7" ht="14.5">
      <c r="A196" s="300" t="s">
        <v>926</v>
      </c>
      <c r="B196" s="300" t="s">
        <v>1531</v>
      </c>
      <c r="C196" s="300" t="s">
        <v>1532</v>
      </c>
      <c r="D196" s="300" t="s">
        <v>4863</v>
      </c>
      <c r="E196" s="300" t="s">
        <v>1441</v>
      </c>
      <c r="F196" s="300" t="s">
        <v>4856</v>
      </c>
      <c r="G196" s="300" t="s">
        <v>449</v>
      </c>
    </row>
    <row r="197" spans="1:7" ht="14.5">
      <c r="A197" s="300" t="s">
        <v>926</v>
      </c>
      <c r="B197" s="300" t="s">
        <v>1533</v>
      </c>
      <c r="C197" s="300" t="s">
        <v>1534</v>
      </c>
      <c r="D197" s="300" t="s">
        <v>4863</v>
      </c>
      <c r="E197" s="300" t="s">
        <v>1441</v>
      </c>
      <c r="F197" s="300" t="s">
        <v>4856</v>
      </c>
      <c r="G197" s="300" t="s">
        <v>449</v>
      </c>
    </row>
    <row r="198" spans="1:7" ht="14.5">
      <c r="A198" s="300" t="s">
        <v>926</v>
      </c>
      <c r="B198" s="300" t="s">
        <v>1536</v>
      </c>
      <c r="C198" s="300" t="s">
        <v>1537</v>
      </c>
      <c r="D198" s="300" t="s">
        <v>4863</v>
      </c>
      <c r="E198" s="300" t="s">
        <v>1441</v>
      </c>
      <c r="F198" s="300" t="s">
        <v>4856</v>
      </c>
      <c r="G198" s="300" t="s">
        <v>449</v>
      </c>
    </row>
    <row r="199" spans="1:7" ht="14.5">
      <c r="A199" s="300" t="s">
        <v>926</v>
      </c>
      <c r="B199" s="300" t="s">
        <v>1539</v>
      </c>
      <c r="C199" s="300" t="s">
        <v>1540</v>
      </c>
      <c r="D199" s="300" t="s">
        <v>4863</v>
      </c>
      <c r="E199" s="300" t="s">
        <v>1441</v>
      </c>
      <c r="F199" s="300" t="s">
        <v>4856</v>
      </c>
      <c r="G199" s="300" t="s">
        <v>449</v>
      </c>
    </row>
    <row r="200" spans="1:7" ht="14.5">
      <c r="A200" s="300" t="s">
        <v>926</v>
      </c>
      <c r="B200" s="300" t="s">
        <v>1543</v>
      </c>
      <c r="C200" s="300" t="s">
        <v>1544</v>
      </c>
      <c r="D200" s="300" t="s">
        <v>4863</v>
      </c>
      <c r="E200" s="300" t="s">
        <v>1441</v>
      </c>
      <c r="F200" s="300" t="s">
        <v>4856</v>
      </c>
      <c r="G200" s="300" t="s">
        <v>449</v>
      </c>
    </row>
    <row r="201" spans="1:7" ht="14.5">
      <c r="A201" s="300" t="s">
        <v>926</v>
      </c>
      <c r="B201" s="300" t="s">
        <v>1545</v>
      </c>
      <c r="C201" s="300" t="s">
        <v>1546</v>
      </c>
      <c r="D201" s="300" t="s">
        <v>4863</v>
      </c>
      <c r="E201" s="300" t="s">
        <v>1441</v>
      </c>
      <c r="F201" s="300" t="s">
        <v>4856</v>
      </c>
      <c r="G201" s="300" t="s">
        <v>449</v>
      </c>
    </row>
    <row r="202" spans="1:7" ht="14.5">
      <c r="A202" s="300" t="s">
        <v>926</v>
      </c>
      <c r="B202" s="300" t="s">
        <v>1547</v>
      </c>
      <c r="C202" s="300" t="s">
        <v>1548</v>
      </c>
      <c r="D202" s="300" t="s">
        <v>4863</v>
      </c>
      <c r="E202" s="300" t="s">
        <v>1441</v>
      </c>
      <c r="F202" s="300" t="s">
        <v>4856</v>
      </c>
      <c r="G202" s="300" t="s">
        <v>449</v>
      </c>
    </row>
    <row r="203" spans="1:7" ht="14.5">
      <c r="A203" s="300" t="s">
        <v>926</v>
      </c>
      <c r="B203" s="300" t="s">
        <v>1549</v>
      </c>
      <c r="C203" s="300" t="s">
        <v>1550</v>
      </c>
      <c r="D203" s="300" t="s">
        <v>4863</v>
      </c>
      <c r="E203" s="300" t="s">
        <v>1441</v>
      </c>
      <c r="F203" s="300" t="s">
        <v>4856</v>
      </c>
      <c r="G203" s="300" t="s">
        <v>449</v>
      </c>
    </row>
    <row r="204" spans="1:7" ht="14.5">
      <c r="A204" s="300" t="s">
        <v>926</v>
      </c>
      <c r="B204" s="300" t="s">
        <v>1553</v>
      </c>
      <c r="C204" s="300" t="s">
        <v>1554</v>
      </c>
      <c r="D204" s="300" t="s">
        <v>4863</v>
      </c>
      <c r="E204" s="300" t="s">
        <v>1441</v>
      </c>
      <c r="F204" s="300" t="s">
        <v>4856</v>
      </c>
      <c r="G204" s="300" t="s">
        <v>449</v>
      </c>
    </row>
    <row r="205" spans="1:7" ht="14.5">
      <c r="A205" s="300" t="s">
        <v>926</v>
      </c>
      <c r="B205" s="300" t="s">
        <v>1555</v>
      </c>
      <c r="C205" s="300" t="s">
        <v>1556</v>
      </c>
      <c r="D205" s="300" t="s">
        <v>4863</v>
      </c>
      <c r="E205" s="300" t="s">
        <v>1441</v>
      </c>
      <c r="F205" s="300" t="s">
        <v>4856</v>
      </c>
      <c r="G205" s="300" t="s">
        <v>449</v>
      </c>
    </row>
    <row r="206" spans="1:7" ht="14.5">
      <c r="A206" s="300" t="s">
        <v>926</v>
      </c>
      <c r="B206" s="300" t="s">
        <v>1559</v>
      </c>
      <c r="C206" s="300" t="s">
        <v>1560</v>
      </c>
      <c r="D206" s="300" t="s">
        <v>4863</v>
      </c>
      <c r="E206" s="300" t="s">
        <v>1441</v>
      </c>
      <c r="F206" s="300" t="s">
        <v>4856</v>
      </c>
      <c r="G206" s="300" t="s">
        <v>449</v>
      </c>
    </row>
    <row r="207" spans="1:7" ht="14.5">
      <c r="A207" s="300" t="s">
        <v>926</v>
      </c>
      <c r="B207" s="300" t="s">
        <v>1561</v>
      </c>
      <c r="C207" s="300" t="s">
        <v>1562</v>
      </c>
      <c r="D207" s="300" t="s">
        <v>4863</v>
      </c>
      <c r="E207" s="300" t="s">
        <v>1441</v>
      </c>
      <c r="F207" s="300" t="s">
        <v>4856</v>
      </c>
      <c r="G207" s="300" t="s">
        <v>449</v>
      </c>
    </row>
    <row r="208" spans="1:7" ht="14.5">
      <c r="A208" s="300" t="s">
        <v>926</v>
      </c>
      <c r="B208" s="300" t="s">
        <v>1563</v>
      </c>
      <c r="C208" s="300" t="s">
        <v>1564</v>
      </c>
      <c r="D208" s="300" t="s">
        <v>4863</v>
      </c>
      <c r="E208" s="300" t="s">
        <v>1441</v>
      </c>
      <c r="F208" s="300" t="s">
        <v>4856</v>
      </c>
      <c r="G208" s="300" t="s">
        <v>449</v>
      </c>
    </row>
    <row r="209" spans="1:7" ht="14.5">
      <c r="A209" s="300" t="s">
        <v>926</v>
      </c>
      <c r="B209" s="300" t="s">
        <v>1565</v>
      </c>
      <c r="C209" s="300" t="s">
        <v>1566</v>
      </c>
      <c r="D209" s="300" t="s">
        <v>4863</v>
      </c>
      <c r="E209" s="300" t="s">
        <v>1441</v>
      </c>
      <c r="F209" s="300" t="s">
        <v>4856</v>
      </c>
      <c r="G209" s="300" t="s">
        <v>449</v>
      </c>
    </row>
    <row r="210" spans="1:7" ht="14.5">
      <c r="A210" s="300" t="s">
        <v>926</v>
      </c>
      <c r="B210" s="300" t="s">
        <v>1567</v>
      </c>
      <c r="C210" s="300" t="s">
        <v>1568</v>
      </c>
      <c r="D210" s="300" t="s">
        <v>4863</v>
      </c>
      <c r="E210" s="300" t="s">
        <v>1441</v>
      </c>
      <c r="F210" s="300" t="s">
        <v>4856</v>
      </c>
      <c r="G210" s="300" t="s">
        <v>449</v>
      </c>
    </row>
    <row r="211" spans="1:7" ht="14.5">
      <c r="A211" s="300" t="s">
        <v>926</v>
      </c>
      <c r="B211" s="300" t="s">
        <v>1569</v>
      </c>
      <c r="C211" s="300" t="s">
        <v>1570</v>
      </c>
      <c r="D211" s="300" t="s">
        <v>4863</v>
      </c>
      <c r="E211" s="300" t="s">
        <v>1441</v>
      </c>
      <c r="F211" s="300" t="s">
        <v>4856</v>
      </c>
      <c r="G211" s="300" t="s">
        <v>449</v>
      </c>
    </row>
    <row r="212" spans="1:7" ht="14.5">
      <c r="A212" s="300" t="s">
        <v>926</v>
      </c>
      <c r="B212" s="300" t="s">
        <v>1571</v>
      </c>
      <c r="C212" s="300" t="s">
        <v>1572</v>
      </c>
      <c r="D212" s="300" t="s">
        <v>4863</v>
      </c>
      <c r="E212" s="300" t="s">
        <v>1441</v>
      </c>
      <c r="F212" s="300" t="s">
        <v>4856</v>
      </c>
      <c r="G212" s="300" t="s">
        <v>449</v>
      </c>
    </row>
    <row r="213" spans="1:7" ht="14.5">
      <c r="A213" s="300" t="s">
        <v>926</v>
      </c>
      <c r="B213" s="300" t="s">
        <v>1575</v>
      </c>
      <c r="C213" s="300" t="s">
        <v>1576</v>
      </c>
      <c r="D213" s="300" t="s">
        <v>4863</v>
      </c>
      <c r="E213" s="300" t="s">
        <v>1441</v>
      </c>
      <c r="F213" s="300" t="s">
        <v>4856</v>
      </c>
      <c r="G213" s="300" t="s">
        <v>449</v>
      </c>
    </row>
    <row r="214" spans="1:7" ht="14.5">
      <c r="A214" s="300" t="s">
        <v>926</v>
      </c>
      <c r="B214" s="300" t="s">
        <v>1577</v>
      </c>
      <c r="C214" s="300" t="s">
        <v>1578</v>
      </c>
      <c r="D214" s="300" t="s">
        <v>4863</v>
      </c>
      <c r="E214" s="300" t="s">
        <v>1441</v>
      </c>
      <c r="F214" s="300" t="s">
        <v>4856</v>
      </c>
      <c r="G214" s="300" t="s">
        <v>449</v>
      </c>
    </row>
    <row r="215" spans="1:7" ht="14.5">
      <c r="A215" s="300" t="s">
        <v>926</v>
      </c>
      <c r="B215" s="300" t="s">
        <v>1579</v>
      </c>
      <c r="C215" s="300" t="s">
        <v>1580</v>
      </c>
      <c r="D215" s="300" t="s">
        <v>4863</v>
      </c>
      <c r="E215" s="300" t="s">
        <v>1441</v>
      </c>
      <c r="F215" s="300" t="s">
        <v>4856</v>
      </c>
      <c r="G215" s="300" t="s">
        <v>449</v>
      </c>
    </row>
    <row r="216" spans="1:7" ht="14.5">
      <c r="A216" s="300" t="s">
        <v>926</v>
      </c>
      <c r="B216" s="300" t="s">
        <v>1583</v>
      </c>
      <c r="C216" s="300" t="s">
        <v>1584</v>
      </c>
      <c r="D216" s="300" t="s">
        <v>4863</v>
      </c>
      <c r="E216" s="300" t="s">
        <v>1441</v>
      </c>
      <c r="F216" s="300" t="s">
        <v>4856</v>
      </c>
      <c r="G216" s="300" t="s">
        <v>449</v>
      </c>
    </row>
    <row r="217" spans="1:7" ht="14.5">
      <c r="A217" s="300" t="s">
        <v>926</v>
      </c>
      <c r="B217" s="300" t="s">
        <v>1587</v>
      </c>
      <c r="C217" s="300" t="s">
        <v>1588</v>
      </c>
      <c r="D217" s="300" t="s">
        <v>4863</v>
      </c>
      <c r="E217" s="300" t="s">
        <v>1441</v>
      </c>
      <c r="F217" s="300" t="s">
        <v>4856</v>
      </c>
      <c r="G217" s="300" t="s">
        <v>449</v>
      </c>
    </row>
    <row r="218" spans="1:7" ht="14.5">
      <c r="A218" s="300" t="s">
        <v>926</v>
      </c>
      <c r="B218" s="300" t="s">
        <v>1591</v>
      </c>
      <c r="C218" s="300" t="s">
        <v>1592</v>
      </c>
      <c r="D218" s="300" t="s">
        <v>4863</v>
      </c>
      <c r="E218" s="300" t="s">
        <v>1441</v>
      </c>
      <c r="F218" s="300" t="s">
        <v>4856</v>
      </c>
      <c r="G218" s="300" t="s">
        <v>449</v>
      </c>
    </row>
    <row r="219" spans="1:7" ht="14.5">
      <c r="A219" s="300" t="s">
        <v>926</v>
      </c>
      <c r="B219" s="300" t="s">
        <v>1593</v>
      </c>
      <c r="C219" s="300" t="s">
        <v>1594</v>
      </c>
      <c r="D219" s="300" t="s">
        <v>4863</v>
      </c>
      <c r="E219" s="300" t="s">
        <v>1441</v>
      </c>
      <c r="F219" s="300" t="s">
        <v>4856</v>
      </c>
      <c r="G219" s="300" t="s">
        <v>449</v>
      </c>
    </row>
    <row r="220" spans="1:7" ht="14.5">
      <c r="A220" s="300" t="s">
        <v>926</v>
      </c>
      <c r="B220" s="300" t="s">
        <v>1597</v>
      </c>
      <c r="C220" s="300" t="s">
        <v>1598</v>
      </c>
      <c r="D220" s="300" t="s">
        <v>4863</v>
      </c>
      <c r="E220" s="300" t="s">
        <v>1441</v>
      </c>
      <c r="F220" s="300" t="s">
        <v>4856</v>
      </c>
      <c r="G220" s="300" t="s">
        <v>449</v>
      </c>
    </row>
    <row r="221" spans="1:7" ht="14.5">
      <c r="A221" s="300" t="s">
        <v>926</v>
      </c>
      <c r="B221" s="300" t="s">
        <v>1601</v>
      </c>
      <c r="C221" s="300" t="s">
        <v>1602</v>
      </c>
      <c r="D221" s="300" t="s">
        <v>4863</v>
      </c>
      <c r="E221" s="300" t="s">
        <v>1441</v>
      </c>
      <c r="F221" s="300" t="s">
        <v>4856</v>
      </c>
      <c r="G221" s="300" t="s">
        <v>449</v>
      </c>
    </row>
    <row r="222" spans="1:7" ht="14.5">
      <c r="A222" s="300" t="s">
        <v>926</v>
      </c>
      <c r="B222" s="300" t="s">
        <v>1603</v>
      </c>
      <c r="C222" s="300" t="s">
        <v>1604</v>
      </c>
      <c r="D222" s="300" t="s">
        <v>4863</v>
      </c>
      <c r="E222" s="300" t="s">
        <v>1441</v>
      </c>
      <c r="F222" s="300" t="s">
        <v>4856</v>
      </c>
      <c r="G222" s="300" t="s">
        <v>449</v>
      </c>
    </row>
    <row r="223" spans="1:7" ht="14.5">
      <c r="A223" s="300" t="s">
        <v>926</v>
      </c>
      <c r="B223" s="300" t="s">
        <v>1605</v>
      </c>
      <c r="C223" s="300" t="s">
        <v>1606</v>
      </c>
      <c r="D223" s="300" t="s">
        <v>4863</v>
      </c>
      <c r="E223" s="300" t="s">
        <v>1441</v>
      </c>
      <c r="F223" s="300" t="s">
        <v>4856</v>
      </c>
      <c r="G223" s="300" t="s">
        <v>449</v>
      </c>
    </row>
    <row r="224" spans="1:7" ht="14.5">
      <c r="A224" s="300" t="s">
        <v>926</v>
      </c>
      <c r="B224" s="300" t="s">
        <v>1607</v>
      </c>
      <c r="C224" s="300" t="s">
        <v>1608</v>
      </c>
      <c r="D224" s="300" t="s">
        <v>4865</v>
      </c>
      <c r="E224" s="300" t="s">
        <v>1610</v>
      </c>
      <c r="F224" s="300" t="s">
        <v>4856</v>
      </c>
      <c r="G224" s="300" t="s">
        <v>449</v>
      </c>
    </row>
    <row r="225" spans="1:7" ht="14.5">
      <c r="A225" s="300" t="s">
        <v>926</v>
      </c>
      <c r="B225" s="300" t="s">
        <v>1611</v>
      </c>
      <c r="C225" s="300" t="s">
        <v>1612</v>
      </c>
      <c r="D225" s="300" t="s">
        <v>4865</v>
      </c>
      <c r="E225" s="300" t="s">
        <v>1610</v>
      </c>
      <c r="F225" s="300" t="s">
        <v>4856</v>
      </c>
      <c r="G225" s="300" t="s">
        <v>449</v>
      </c>
    </row>
    <row r="226" spans="1:7" ht="14.5">
      <c r="A226" s="300" t="s">
        <v>926</v>
      </c>
      <c r="B226" s="300" t="s">
        <v>1614</v>
      </c>
      <c r="C226" s="300" t="s">
        <v>1615</v>
      </c>
      <c r="D226" s="300" t="s">
        <v>4865</v>
      </c>
      <c r="E226" s="300" t="s">
        <v>1610</v>
      </c>
      <c r="F226" s="300" t="s">
        <v>4856</v>
      </c>
      <c r="G226" s="300" t="s">
        <v>449</v>
      </c>
    </row>
    <row r="227" spans="1:7" ht="14.5">
      <c r="A227" s="300" t="s">
        <v>926</v>
      </c>
      <c r="B227" s="300" t="s">
        <v>1618</v>
      </c>
      <c r="C227" s="300" t="s">
        <v>1619</v>
      </c>
      <c r="D227" s="300" t="s">
        <v>4865</v>
      </c>
      <c r="E227" s="300" t="s">
        <v>1610</v>
      </c>
      <c r="F227" s="300" t="s">
        <v>4856</v>
      </c>
      <c r="G227" s="300" t="s">
        <v>449</v>
      </c>
    </row>
    <row r="228" spans="1:7" ht="14.5">
      <c r="A228" s="300" t="s">
        <v>926</v>
      </c>
      <c r="B228" s="300" t="s">
        <v>1622</v>
      </c>
      <c r="C228" s="300" t="s">
        <v>1623</v>
      </c>
      <c r="D228" s="300" t="s">
        <v>4865</v>
      </c>
      <c r="E228" s="300" t="s">
        <v>1610</v>
      </c>
      <c r="F228" s="300" t="s">
        <v>4856</v>
      </c>
      <c r="G228" s="300" t="s">
        <v>449</v>
      </c>
    </row>
    <row r="229" spans="1:7" ht="14.5">
      <c r="A229" s="300" t="s">
        <v>926</v>
      </c>
      <c r="B229" s="300" t="s">
        <v>1625</v>
      </c>
      <c r="C229" s="300" t="s">
        <v>1626</v>
      </c>
      <c r="D229" s="300" t="s">
        <v>4865</v>
      </c>
      <c r="E229" s="300" t="s">
        <v>1610</v>
      </c>
      <c r="F229" s="300" t="s">
        <v>4856</v>
      </c>
      <c r="G229" s="300" t="s">
        <v>449</v>
      </c>
    </row>
    <row r="230" spans="1:7" ht="14.5">
      <c r="A230" s="300" t="s">
        <v>926</v>
      </c>
      <c r="B230" s="300" t="s">
        <v>1629</v>
      </c>
      <c r="C230" s="300" t="s">
        <v>1630</v>
      </c>
      <c r="D230" s="300" t="s">
        <v>4865</v>
      </c>
      <c r="E230" s="300" t="s">
        <v>1610</v>
      </c>
      <c r="F230" s="300" t="s">
        <v>4856</v>
      </c>
      <c r="G230" s="300" t="s">
        <v>449</v>
      </c>
    </row>
    <row r="231" spans="1:7" ht="14.5">
      <c r="A231" s="300" t="s">
        <v>926</v>
      </c>
      <c r="B231" s="300" t="s">
        <v>1633</v>
      </c>
      <c r="C231" s="300" t="s">
        <v>1634</v>
      </c>
      <c r="D231" s="300" t="s">
        <v>4865</v>
      </c>
      <c r="E231" s="300" t="s">
        <v>1610</v>
      </c>
      <c r="F231" s="300" t="s">
        <v>4856</v>
      </c>
      <c r="G231" s="300" t="s">
        <v>449</v>
      </c>
    </row>
    <row r="232" spans="1:7" ht="14.5">
      <c r="A232" s="300" t="s">
        <v>926</v>
      </c>
      <c r="B232" s="300" t="s">
        <v>1636</v>
      </c>
      <c r="C232" s="300" t="s">
        <v>1637</v>
      </c>
      <c r="D232" s="300" t="s">
        <v>4865</v>
      </c>
      <c r="E232" s="300" t="s">
        <v>1610</v>
      </c>
      <c r="F232" s="300" t="s">
        <v>4856</v>
      </c>
      <c r="G232" s="300" t="s">
        <v>449</v>
      </c>
    </row>
    <row r="233" spans="1:7" ht="14.5">
      <c r="A233" s="300" t="s">
        <v>926</v>
      </c>
      <c r="B233" s="300" t="s">
        <v>1640</v>
      </c>
      <c r="C233" s="300" t="s">
        <v>1641</v>
      </c>
      <c r="D233" s="300" t="s">
        <v>4864</v>
      </c>
      <c r="E233" s="300" t="s">
        <v>1490</v>
      </c>
      <c r="F233" s="300" t="s">
        <v>4856</v>
      </c>
      <c r="G233" s="300" t="s">
        <v>449</v>
      </c>
    </row>
    <row r="234" spans="1:7" ht="14.5">
      <c r="A234" s="300" t="s">
        <v>926</v>
      </c>
      <c r="B234" s="300" t="s">
        <v>1644</v>
      </c>
      <c r="C234" s="300" t="s">
        <v>1645</v>
      </c>
      <c r="D234" s="300" t="s">
        <v>4865</v>
      </c>
      <c r="E234" s="300" t="s">
        <v>1610</v>
      </c>
      <c r="F234" s="300" t="s">
        <v>4856</v>
      </c>
      <c r="G234" s="300" t="s">
        <v>449</v>
      </c>
    </row>
    <row r="235" spans="1:7" ht="14.5">
      <c r="A235" s="300" t="s">
        <v>926</v>
      </c>
      <c r="B235" s="300" t="s">
        <v>1648</v>
      </c>
      <c r="C235" s="300" t="s">
        <v>1649</v>
      </c>
      <c r="D235" s="300" t="s">
        <v>4865</v>
      </c>
      <c r="E235" s="300" t="s">
        <v>1610</v>
      </c>
      <c r="F235" s="300" t="s">
        <v>4856</v>
      </c>
      <c r="G235" s="300" t="s">
        <v>449</v>
      </c>
    </row>
    <row r="236" spans="1:7" ht="14.5">
      <c r="A236" s="300" t="s">
        <v>926</v>
      </c>
      <c r="B236" s="300" t="s">
        <v>1650</v>
      </c>
      <c r="C236" s="300" t="s">
        <v>1651</v>
      </c>
      <c r="D236" s="300" t="s">
        <v>4865</v>
      </c>
      <c r="E236" s="300" t="s">
        <v>1610</v>
      </c>
      <c r="F236" s="300" t="s">
        <v>4856</v>
      </c>
      <c r="G236" s="300" t="s">
        <v>449</v>
      </c>
    </row>
    <row r="237" spans="1:7" ht="14.5">
      <c r="A237" s="300" t="s">
        <v>926</v>
      </c>
      <c r="B237" s="300" t="s">
        <v>1654</v>
      </c>
      <c r="C237" s="300" t="s">
        <v>1655</v>
      </c>
      <c r="D237" s="300" t="s">
        <v>4865</v>
      </c>
      <c r="E237" s="300" t="s">
        <v>1610</v>
      </c>
      <c r="F237" s="300" t="s">
        <v>4856</v>
      </c>
      <c r="G237" s="300" t="s">
        <v>449</v>
      </c>
    </row>
    <row r="238" spans="1:7" ht="14.5">
      <c r="A238" s="300" t="s">
        <v>926</v>
      </c>
      <c r="B238" s="300" t="s">
        <v>1656</v>
      </c>
      <c r="C238" s="300" t="s">
        <v>1657</v>
      </c>
      <c r="D238" s="300" t="s">
        <v>4865</v>
      </c>
      <c r="E238" s="300" t="s">
        <v>1610</v>
      </c>
      <c r="F238" s="300" t="s">
        <v>4856</v>
      </c>
      <c r="G238" s="300" t="s">
        <v>449</v>
      </c>
    </row>
    <row r="239" spans="1:7" ht="14.5">
      <c r="A239" s="300" t="s">
        <v>926</v>
      </c>
      <c r="B239" s="300" t="s">
        <v>1658</v>
      </c>
      <c r="C239" s="300" t="s">
        <v>1659</v>
      </c>
      <c r="D239" s="300" t="s">
        <v>4865</v>
      </c>
      <c r="E239" s="300" t="s">
        <v>1610</v>
      </c>
      <c r="F239" s="300" t="s">
        <v>4856</v>
      </c>
      <c r="G239" s="300" t="s">
        <v>449</v>
      </c>
    </row>
    <row r="240" spans="1:7" ht="14.5">
      <c r="A240" s="300" t="s">
        <v>926</v>
      </c>
      <c r="B240" s="300" t="s">
        <v>1662</v>
      </c>
      <c r="C240" s="300" t="s">
        <v>1663</v>
      </c>
      <c r="D240" s="300" t="s">
        <v>4864</v>
      </c>
      <c r="E240" s="300" t="s">
        <v>1490</v>
      </c>
      <c r="F240" s="300" t="s">
        <v>4856</v>
      </c>
      <c r="G240" s="300" t="s">
        <v>449</v>
      </c>
    </row>
    <row r="241" spans="1:7" ht="14.5">
      <c r="A241" s="300" t="s">
        <v>926</v>
      </c>
      <c r="B241" s="300" t="s">
        <v>1664</v>
      </c>
      <c r="C241" s="300" t="s">
        <v>1665</v>
      </c>
      <c r="D241" s="300" t="s">
        <v>4864</v>
      </c>
      <c r="E241" s="300" t="s">
        <v>1490</v>
      </c>
      <c r="F241" s="300" t="s">
        <v>4856</v>
      </c>
      <c r="G241" s="300" t="s">
        <v>449</v>
      </c>
    </row>
    <row r="242" spans="1:7" ht="14.5">
      <c r="A242" s="300" t="s">
        <v>926</v>
      </c>
      <c r="B242" s="300" t="s">
        <v>1666</v>
      </c>
      <c r="C242" s="300" t="s">
        <v>1667</v>
      </c>
      <c r="D242" s="300" t="s">
        <v>4865</v>
      </c>
      <c r="E242" s="300" t="s">
        <v>1610</v>
      </c>
      <c r="F242" s="300" t="s">
        <v>4856</v>
      </c>
      <c r="G242" s="300" t="s">
        <v>449</v>
      </c>
    </row>
    <row r="243" spans="1:7" ht="14.5">
      <c r="A243" s="300" t="s">
        <v>926</v>
      </c>
      <c r="B243" s="300" t="s">
        <v>1668</v>
      </c>
      <c r="C243" s="300" t="s">
        <v>1669</v>
      </c>
      <c r="D243" s="300" t="s">
        <v>4865</v>
      </c>
      <c r="E243" s="300" t="s">
        <v>1610</v>
      </c>
      <c r="F243" s="300" t="s">
        <v>4856</v>
      </c>
      <c r="G243" s="300" t="s">
        <v>449</v>
      </c>
    </row>
    <row r="244" spans="1:7" ht="14.5">
      <c r="A244" s="300" t="s">
        <v>926</v>
      </c>
      <c r="B244" s="300" t="s">
        <v>1672</v>
      </c>
      <c r="C244" s="300" t="s">
        <v>1673</v>
      </c>
      <c r="D244" s="300" t="s">
        <v>4865</v>
      </c>
      <c r="E244" s="300" t="s">
        <v>1610</v>
      </c>
      <c r="F244" s="300" t="s">
        <v>4856</v>
      </c>
      <c r="G244" s="300" t="s">
        <v>449</v>
      </c>
    </row>
    <row r="245" spans="1:7" ht="14.5">
      <c r="A245" s="300" t="s">
        <v>926</v>
      </c>
      <c r="B245" s="300" t="s">
        <v>1676</v>
      </c>
      <c r="C245" s="300" t="s">
        <v>1677</v>
      </c>
      <c r="D245" s="300" t="s">
        <v>4865</v>
      </c>
      <c r="E245" s="300" t="s">
        <v>1610</v>
      </c>
      <c r="F245" s="300" t="s">
        <v>4856</v>
      </c>
      <c r="G245" s="300" t="s">
        <v>449</v>
      </c>
    </row>
    <row r="246" spans="1:7" ht="14.5">
      <c r="A246" s="300" t="s">
        <v>926</v>
      </c>
      <c r="B246" s="300" t="s">
        <v>1680</v>
      </c>
      <c r="C246" s="300" t="s">
        <v>1681</v>
      </c>
      <c r="D246" s="300" t="s">
        <v>4865</v>
      </c>
      <c r="E246" s="300" t="s">
        <v>1610</v>
      </c>
      <c r="F246" s="300" t="s">
        <v>4856</v>
      </c>
      <c r="G246" s="300" t="s">
        <v>449</v>
      </c>
    </row>
    <row r="247" spans="1:7" ht="14.5">
      <c r="A247" s="300" t="s">
        <v>926</v>
      </c>
      <c r="B247" s="300" t="s">
        <v>1682</v>
      </c>
      <c r="C247" s="300" t="s">
        <v>1683</v>
      </c>
      <c r="D247" s="300" t="s">
        <v>4864</v>
      </c>
      <c r="E247" s="300" t="s">
        <v>1490</v>
      </c>
      <c r="F247" s="300" t="s">
        <v>4856</v>
      </c>
      <c r="G247" s="300" t="s">
        <v>449</v>
      </c>
    </row>
    <row r="248" spans="1:7" ht="14.5">
      <c r="A248" s="300" t="s">
        <v>926</v>
      </c>
      <c r="B248" s="300" t="s">
        <v>1685</v>
      </c>
      <c r="C248" s="300" t="s">
        <v>1686</v>
      </c>
      <c r="D248" s="300" t="s">
        <v>4864</v>
      </c>
      <c r="E248" s="300" t="s">
        <v>1490</v>
      </c>
      <c r="F248" s="300" t="s">
        <v>4856</v>
      </c>
      <c r="G248" s="300" t="s">
        <v>449</v>
      </c>
    </row>
    <row r="249" spans="1:7" ht="14.5">
      <c r="A249" s="300" t="s">
        <v>926</v>
      </c>
      <c r="B249" s="300" t="s">
        <v>1688</v>
      </c>
      <c r="C249" s="300" t="s">
        <v>1689</v>
      </c>
      <c r="D249" s="300" t="s">
        <v>4864</v>
      </c>
      <c r="E249" s="300" t="s">
        <v>1490</v>
      </c>
      <c r="F249" s="300" t="s">
        <v>4856</v>
      </c>
      <c r="G249" s="300" t="s">
        <v>449</v>
      </c>
    </row>
    <row r="250" spans="1:7" ht="14.5">
      <c r="A250" s="300" t="s">
        <v>926</v>
      </c>
      <c r="B250" s="300" t="s">
        <v>1692</v>
      </c>
      <c r="C250" s="300" t="s">
        <v>1693</v>
      </c>
      <c r="D250" s="300" t="s">
        <v>4864</v>
      </c>
      <c r="E250" s="300" t="s">
        <v>1490</v>
      </c>
      <c r="F250" s="300" t="s">
        <v>4856</v>
      </c>
      <c r="G250" s="300" t="s">
        <v>449</v>
      </c>
    </row>
    <row r="251" spans="1:7" ht="14.5">
      <c r="A251" s="300" t="s">
        <v>926</v>
      </c>
      <c r="B251" s="300" t="s">
        <v>1696</v>
      </c>
      <c r="C251" s="300" t="s">
        <v>1697</v>
      </c>
      <c r="D251" s="300" t="s">
        <v>4864</v>
      </c>
      <c r="E251" s="300" t="s">
        <v>1490</v>
      </c>
      <c r="F251" s="300" t="s">
        <v>4856</v>
      </c>
      <c r="G251" s="300" t="s">
        <v>449</v>
      </c>
    </row>
    <row r="252" spans="1:7" ht="14.5">
      <c r="A252" s="300" t="s">
        <v>926</v>
      </c>
      <c r="B252" s="300" t="s">
        <v>1700</v>
      </c>
      <c r="C252" s="300" t="s">
        <v>1701</v>
      </c>
      <c r="D252" s="300" t="s">
        <v>4864</v>
      </c>
      <c r="E252" s="300" t="s">
        <v>1490</v>
      </c>
      <c r="F252" s="300" t="s">
        <v>4856</v>
      </c>
      <c r="G252" s="300" t="s">
        <v>449</v>
      </c>
    </row>
    <row r="253" spans="1:7" ht="14.5">
      <c r="A253" s="300" t="s">
        <v>926</v>
      </c>
      <c r="B253" s="300" t="s">
        <v>1703</v>
      </c>
      <c r="C253" s="300" t="s">
        <v>1704</v>
      </c>
      <c r="D253" s="300" t="s">
        <v>4864</v>
      </c>
      <c r="E253" s="300" t="s">
        <v>1490</v>
      </c>
      <c r="F253" s="300" t="s">
        <v>4856</v>
      </c>
      <c r="G253" s="300" t="s">
        <v>449</v>
      </c>
    </row>
    <row r="254" spans="1:7" ht="14.5">
      <c r="A254" s="300" t="s">
        <v>926</v>
      </c>
      <c r="B254" s="300" t="s">
        <v>1707</v>
      </c>
      <c r="C254" s="300" t="s">
        <v>1708</v>
      </c>
      <c r="D254" s="300" t="s">
        <v>4864</v>
      </c>
      <c r="E254" s="300" t="s">
        <v>1490</v>
      </c>
      <c r="F254" s="300" t="s">
        <v>4856</v>
      </c>
      <c r="G254" s="300" t="s">
        <v>449</v>
      </c>
    </row>
    <row r="255" spans="1:7" ht="14.5">
      <c r="A255" s="300" t="s">
        <v>926</v>
      </c>
      <c r="B255" s="300" t="s">
        <v>1709</v>
      </c>
      <c r="C255" s="300" t="s">
        <v>1710</v>
      </c>
      <c r="D255" s="300" t="s">
        <v>4864</v>
      </c>
      <c r="E255" s="300" t="s">
        <v>1490</v>
      </c>
      <c r="F255" s="300" t="s">
        <v>4856</v>
      </c>
      <c r="G255" s="300" t="s">
        <v>449</v>
      </c>
    </row>
    <row r="256" spans="1:7" ht="14.5">
      <c r="A256" s="300" t="s">
        <v>926</v>
      </c>
      <c r="B256" s="300" t="s">
        <v>1711</v>
      </c>
      <c r="C256" s="300" t="s">
        <v>1712</v>
      </c>
      <c r="D256" s="300" t="s">
        <v>4864</v>
      </c>
      <c r="E256" s="300" t="s">
        <v>1490</v>
      </c>
      <c r="F256" s="300" t="s">
        <v>4856</v>
      </c>
      <c r="G256" s="300" t="s">
        <v>449</v>
      </c>
    </row>
    <row r="257" spans="1:7" ht="14.5">
      <c r="A257" s="300" t="s">
        <v>926</v>
      </c>
      <c r="B257" s="300" t="s">
        <v>1714</v>
      </c>
      <c r="C257" s="300" t="s">
        <v>1715</v>
      </c>
      <c r="D257" s="300" t="s">
        <v>4864</v>
      </c>
      <c r="E257" s="300" t="s">
        <v>1490</v>
      </c>
      <c r="F257" s="300" t="s">
        <v>4856</v>
      </c>
      <c r="G257" s="300" t="s">
        <v>449</v>
      </c>
    </row>
    <row r="258" spans="1:7" ht="14.5">
      <c r="A258" s="300" t="s">
        <v>926</v>
      </c>
      <c r="B258" s="300" t="s">
        <v>1718</v>
      </c>
      <c r="C258" s="300" t="s">
        <v>1719</v>
      </c>
      <c r="D258" s="300" t="s">
        <v>4864</v>
      </c>
      <c r="E258" s="300" t="s">
        <v>1490</v>
      </c>
      <c r="F258" s="300" t="s">
        <v>4856</v>
      </c>
      <c r="G258" s="300" t="s">
        <v>449</v>
      </c>
    </row>
    <row r="259" spans="1:7" ht="14.5">
      <c r="A259" s="300" t="s">
        <v>926</v>
      </c>
      <c r="B259" s="300" t="s">
        <v>1722</v>
      </c>
      <c r="C259" s="300" t="s">
        <v>1723</v>
      </c>
      <c r="D259" s="300" t="s">
        <v>4864</v>
      </c>
      <c r="E259" s="300" t="s">
        <v>1490</v>
      </c>
      <c r="F259" s="300" t="s">
        <v>4856</v>
      </c>
      <c r="G259" s="300" t="s">
        <v>449</v>
      </c>
    </row>
    <row r="260" spans="1:7" ht="14.5">
      <c r="A260" s="300" t="s">
        <v>926</v>
      </c>
      <c r="B260" s="300" t="s">
        <v>1724</v>
      </c>
      <c r="C260" s="300" t="s">
        <v>1725</v>
      </c>
      <c r="D260" s="300" t="s">
        <v>4864</v>
      </c>
      <c r="E260" s="300" t="s">
        <v>1490</v>
      </c>
      <c r="F260" s="300" t="s">
        <v>4856</v>
      </c>
      <c r="G260" s="300" t="s">
        <v>449</v>
      </c>
    </row>
    <row r="261" spans="1:7" ht="14.5">
      <c r="A261" s="300" t="s">
        <v>926</v>
      </c>
      <c r="B261" s="300" t="s">
        <v>1728</v>
      </c>
      <c r="C261" s="300" t="s">
        <v>1729</v>
      </c>
      <c r="D261" s="300" t="s">
        <v>4864</v>
      </c>
      <c r="E261" s="300" t="s">
        <v>1490</v>
      </c>
      <c r="F261" s="300" t="s">
        <v>4856</v>
      </c>
      <c r="G261" s="300" t="s">
        <v>449</v>
      </c>
    </row>
    <row r="262" spans="1:7" ht="14.5">
      <c r="A262" s="300" t="s">
        <v>926</v>
      </c>
      <c r="B262" s="300" t="s">
        <v>1730</v>
      </c>
      <c r="C262" s="300" t="s">
        <v>1731</v>
      </c>
      <c r="D262" s="300" t="s">
        <v>4864</v>
      </c>
      <c r="E262" s="300" t="s">
        <v>1490</v>
      </c>
      <c r="F262" s="300" t="s">
        <v>4856</v>
      </c>
      <c r="G262" s="300" t="s">
        <v>449</v>
      </c>
    </row>
    <row r="263" spans="1:7" ht="14.5">
      <c r="A263" s="300" t="s">
        <v>926</v>
      </c>
      <c r="B263" s="300" t="s">
        <v>1732</v>
      </c>
      <c r="C263" s="300" t="s">
        <v>1733</v>
      </c>
      <c r="D263" s="300" t="s">
        <v>4866</v>
      </c>
      <c r="E263" s="300" t="s">
        <v>1735</v>
      </c>
      <c r="F263" s="300" t="s">
        <v>4856</v>
      </c>
      <c r="G263" s="300" t="s">
        <v>449</v>
      </c>
    </row>
    <row r="264" spans="1:7" ht="14.5">
      <c r="A264" s="300" t="s">
        <v>926</v>
      </c>
      <c r="B264" s="300" t="s">
        <v>1736</v>
      </c>
      <c r="C264" s="300" t="s">
        <v>1737</v>
      </c>
      <c r="D264" s="300" t="s">
        <v>4866</v>
      </c>
      <c r="E264" s="300" t="s">
        <v>1735</v>
      </c>
      <c r="F264" s="300" t="s">
        <v>4856</v>
      </c>
      <c r="G264" s="300" t="s">
        <v>449</v>
      </c>
    </row>
    <row r="265" spans="1:7" ht="14.5">
      <c r="A265" s="300" t="s">
        <v>926</v>
      </c>
      <c r="B265" s="300" t="s">
        <v>1739</v>
      </c>
      <c r="C265" s="300" t="s">
        <v>1740</v>
      </c>
      <c r="D265" s="300" t="s">
        <v>4866</v>
      </c>
      <c r="E265" s="300" t="s">
        <v>1735</v>
      </c>
      <c r="F265" s="300" t="s">
        <v>4856</v>
      </c>
      <c r="G265" s="300" t="s">
        <v>449</v>
      </c>
    </row>
    <row r="266" spans="1:7" ht="14.5">
      <c r="A266" s="300" t="s">
        <v>926</v>
      </c>
      <c r="B266" s="300" t="s">
        <v>1743</v>
      </c>
      <c r="C266" s="300" t="s">
        <v>1744</v>
      </c>
      <c r="D266" s="300" t="s">
        <v>4866</v>
      </c>
      <c r="E266" s="300" t="s">
        <v>1735</v>
      </c>
      <c r="F266" s="300" t="s">
        <v>4856</v>
      </c>
      <c r="G266" s="300" t="s">
        <v>449</v>
      </c>
    </row>
    <row r="267" spans="1:7" ht="14.5">
      <c r="A267" s="300" t="s">
        <v>926</v>
      </c>
      <c r="B267" s="300" t="s">
        <v>1747</v>
      </c>
      <c r="C267" s="300" t="s">
        <v>1748</v>
      </c>
      <c r="D267" s="300" t="s">
        <v>4866</v>
      </c>
      <c r="E267" s="300" t="s">
        <v>1735</v>
      </c>
      <c r="F267" s="300" t="s">
        <v>4856</v>
      </c>
      <c r="G267" s="300" t="s">
        <v>449</v>
      </c>
    </row>
    <row r="268" spans="1:7" ht="14.5">
      <c r="A268" s="300" t="s">
        <v>926</v>
      </c>
      <c r="B268" s="300" t="s">
        <v>1751</v>
      </c>
      <c r="C268" s="300" t="s">
        <v>1752</v>
      </c>
      <c r="D268" s="300" t="s">
        <v>4865</v>
      </c>
      <c r="E268" s="300" t="s">
        <v>1610</v>
      </c>
      <c r="F268" s="300" t="s">
        <v>4856</v>
      </c>
      <c r="G268" s="300" t="s">
        <v>449</v>
      </c>
    </row>
    <row r="269" spans="1:7" ht="14.5">
      <c r="A269" s="300" t="s">
        <v>926</v>
      </c>
      <c r="B269" s="300" t="s">
        <v>1755</v>
      </c>
      <c r="C269" s="300" t="s">
        <v>1756</v>
      </c>
      <c r="D269" s="300" t="s">
        <v>4866</v>
      </c>
      <c r="E269" s="300" t="s">
        <v>1735</v>
      </c>
      <c r="F269" s="300" t="s">
        <v>4856</v>
      </c>
      <c r="G269" s="300" t="s">
        <v>449</v>
      </c>
    </row>
    <row r="270" spans="1:7" ht="14.5">
      <c r="A270" s="300" t="s">
        <v>926</v>
      </c>
      <c r="B270" s="300" t="s">
        <v>1759</v>
      </c>
      <c r="C270" s="300" t="s">
        <v>1760</v>
      </c>
      <c r="D270" s="300" t="s">
        <v>4867</v>
      </c>
      <c r="E270" s="300" t="s">
        <v>1763</v>
      </c>
      <c r="F270" s="300" t="s">
        <v>4856</v>
      </c>
      <c r="G270" s="300" t="s">
        <v>449</v>
      </c>
    </row>
    <row r="271" spans="1:7" ht="14.5">
      <c r="A271" s="300" t="s">
        <v>926</v>
      </c>
      <c r="B271" s="300" t="s">
        <v>1764</v>
      </c>
      <c r="C271" s="300" t="s">
        <v>1765</v>
      </c>
      <c r="D271" s="300" t="s">
        <v>4867</v>
      </c>
      <c r="E271" s="300" t="s">
        <v>1763</v>
      </c>
      <c r="F271" s="300" t="s">
        <v>4856</v>
      </c>
      <c r="G271" s="300" t="s">
        <v>449</v>
      </c>
    </row>
    <row r="272" spans="1:7" ht="14.5">
      <c r="A272" s="300" t="s">
        <v>926</v>
      </c>
      <c r="B272" s="300" t="s">
        <v>1766</v>
      </c>
      <c r="C272" s="300" t="s">
        <v>1767</v>
      </c>
      <c r="D272" s="300" t="s">
        <v>4866</v>
      </c>
      <c r="E272" s="300" t="s">
        <v>1735</v>
      </c>
      <c r="F272" s="300" t="s">
        <v>4856</v>
      </c>
      <c r="G272" s="300" t="s">
        <v>449</v>
      </c>
    </row>
    <row r="273" spans="1:7" ht="14.5">
      <c r="A273" s="300" t="s">
        <v>926</v>
      </c>
      <c r="B273" s="300" t="s">
        <v>1769</v>
      </c>
      <c r="C273" s="300" t="s">
        <v>1770</v>
      </c>
      <c r="D273" s="300" t="s">
        <v>4866</v>
      </c>
      <c r="E273" s="300" t="s">
        <v>1735</v>
      </c>
      <c r="F273" s="300" t="s">
        <v>4856</v>
      </c>
      <c r="G273" s="300" t="s">
        <v>449</v>
      </c>
    </row>
    <row r="274" spans="1:7" ht="14.5">
      <c r="A274" s="300" t="s">
        <v>926</v>
      </c>
      <c r="B274" s="300" t="s">
        <v>1773</v>
      </c>
      <c r="C274" s="300" t="s">
        <v>1774</v>
      </c>
      <c r="D274" s="300" t="s">
        <v>4866</v>
      </c>
      <c r="E274" s="300" t="s">
        <v>1735</v>
      </c>
      <c r="F274" s="300" t="s">
        <v>4856</v>
      </c>
      <c r="G274" s="300" t="s">
        <v>449</v>
      </c>
    </row>
    <row r="275" spans="1:7" ht="14.5">
      <c r="A275" s="300" t="s">
        <v>926</v>
      </c>
      <c r="B275" s="300" t="s">
        <v>1777</v>
      </c>
      <c r="C275" s="300" t="s">
        <v>1778</v>
      </c>
      <c r="D275" s="300" t="s">
        <v>4866</v>
      </c>
      <c r="E275" s="300" t="s">
        <v>1735</v>
      </c>
      <c r="F275" s="300" t="s">
        <v>4856</v>
      </c>
      <c r="G275" s="300" t="s">
        <v>449</v>
      </c>
    </row>
    <row r="276" spans="1:7" ht="14.5">
      <c r="A276" s="300" t="s">
        <v>926</v>
      </c>
      <c r="B276" s="300" t="s">
        <v>1781</v>
      </c>
      <c r="C276" s="300" t="s">
        <v>1782</v>
      </c>
      <c r="D276" s="300" t="s">
        <v>4866</v>
      </c>
      <c r="E276" s="300" t="s">
        <v>1735</v>
      </c>
      <c r="F276" s="300" t="s">
        <v>4856</v>
      </c>
      <c r="G276" s="300" t="s">
        <v>449</v>
      </c>
    </row>
    <row r="277" spans="1:7" ht="14.5">
      <c r="A277" s="300" t="s">
        <v>926</v>
      </c>
      <c r="B277" s="300" t="s">
        <v>1783</v>
      </c>
      <c r="C277" s="300" t="s">
        <v>1784</v>
      </c>
      <c r="D277" s="300" t="s">
        <v>4866</v>
      </c>
      <c r="E277" s="300" t="s">
        <v>1735</v>
      </c>
      <c r="F277" s="300" t="s">
        <v>4856</v>
      </c>
      <c r="G277" s="300" t="s">
        <v>449</v>
      </c>
    </row>
    <row r="278" spans="1:7" ht="14.5">
      <c r="A278" s="300" t="s">
        <v>926</v>
      </c>
      <c r="B278" s="300" t="s">
        <v>1785</v>
      </c>
      <c r="C278" s="300" t="s">
        <v>1786</v>
      </c>
      <c r="D278" s="300" t="s">
        <v>4866</v>
      </c>
      <c r="E278" s="300" t="s">
        <v>1735</v>
      </c>
      <c r="F278" s="300" t="s">
        <v>4856</v>
      </c>
      <c r="G278" s="300" t="s">
        <v>449</v>
      </c>
    </row>
    <row r="279" spans="1:7" ht="14.5">
      <c r="A279" s="300" t="s">
        <v>926</v>
      </c>
      <c r="B279" s="300" t="s">
        <v>1789</v>
      </c>
      <c r="C279" s="300" t="s">
        <v>1790</v>
      </c>
      <c r="D279" s="300" t="s">
        <v>4866</v>
      </c>
      <c r="E279" s="300" t="s">
        <v>1735</v>
      </c>
      <c r="F279" s="300" t="s">
        <v>4856</v>
      </c>
      <c r="G279" s="300" t="s">
        <v>449</v>
      </c>
    </row>
    <row r="280" spans="1:7" ht="14.5">
      <c r="A280" s="300" t="s">
        <v>926</v>
      </c>
      <c r="B280" s="300" t="s">
        <v>1793</v>
      </c>
      <c r="C280" s="300" t="s">
        <v>1794</v>
      </c>
      <c r="D280" s="300" t="s">
        <v>4866</v>
      </c>
      <c r="E280" s="300" t="s">
        <v>1735</v>
      </c>
      <c r="F280" s="300" t="s">
        <v>4856</v>
      </c>
      <c r="G280" s="300" t="s">
        <v>449</v>
      </c>
    </row>
    <row r="281" spans="1:7" ht="14.5">
      <c r="A281" s="300" t="s">
        <v>926</v>
      </c>
      <c r="B281" s="300" t="s">
        <v>1797</v>
      </c>
      <c r="C281" s="300" t="s">
        <v>1798</v>
      </c>
      <c r="D281" s="300" t="s">
        <v>4864</v>
      </c>
      <c r="E281" s="300" t="s">
        <v>1490</v>
      </c>
      <c r="F281" s="300" t="s">
        <v>4856</v>
      </c>
      <c r="G281" s="300" t="s">
        <v>449</v>
      </c>
    </row>
    <row r="282" spans="1:7" ht="14.5">
      <c r="A282" s="300" t="s">
        <v>926</v>
      </c>
      <c r="B282" s="300" t="s">
        <v>1800</v>
      </c>
      <c r="C282" s="300" t="s">
        <v>1801</v>
      </c>
      <c r="D282" s="300" t="s">
        <v>4864</v>
      </c>
      <c r="E282" s="300" t="s">
        <v>1490</v>
      </c>
      <c r="F282" s="300" t="s">
        <v>4856</v>
      </c>
      <c r="G282" s="300" t="s">
        <v>449</v>
      </c>
    </row>
    <row r="283" spans="1:7" ht="14.5">
      <c r="A283" s="300" t="s">
        <v>926</v>
      </c>
      <c r="B283" s="300" t="s">
        <v>1802</v>
      </c>
      <c r="C283" s="300" t="s">
        <v>1803</v>
      </c>
      <c r="D283" s="300" t="s">
        <v>4864</v>
      </c>
      <c r="E283" s="300" t="s">
        <v>1490</v>
      </c>
      <c r="F283" s="300" t="s">
        <v>4856</v>
      </c>
      <c r="G283" s="300" t="s">
        <v>449</v>
      </c>
    </row>
    <row r="284" spans="1:7" ht="14.5">
      <c r="A284" s="300" t="s">
        <v>926</v>
      </c>
      <c r="B284" s="300" t="s">
        <v>1806</v>
      </c>
      <c r="C284" s="300" t="s">
        <v>1807</v>
      </c>
      <c r="D284" s="300" t="s">
        <v>4864</v>
      </c>
      <c r="E284" s="300" t="s">
        <v>1490</v>
      </c>
      <c r="F284" s="300" t="s">
        <v>4856</v>
      </c>
      <c r="G284" s="300" t="s">
        <v>449</v>
      </c>
    </row>
    <row r="285" spans="1:7" ht="14.5">
      <c r="A285" s="300" t="s">
        <v>926</v>
      </c>
      <c r="B285" s="300" t="s">
        <v>1810</v>
      </c>
      <c r="C285" s="300" t="s">
        <v>1811</v>
      </c>
      <c r="D285" s="300" t="s">
        <v>4864</v>
      </c>
      <c r="E285" s="300" t="s">
        <v>1490</v>
      </c>
      <c r="F285" s="300" t="s">
        <v>4856</v>
      </c>
      <c r="G285" s="300" t="s">
        <v>449</v>
      </c>
    </row>
    <row r="286" spans="1:7" ht="14.5">
      <c r="A286" s="300" t="s">
        <v>926</v>
      </c>
      <c r="B286" s="300" t="s">
        <v>1812</v>
      </c>
      <c r="C286" s="300" t="s">
        <v>1813</v>
      </c>
      <c r="D286" s="300" t="s">
        <v>4864</v>
      </c>
      <c r="E286" s="300" t="s">
        <v>1490</v>
      </c>
      <c r="F286" s="300" t="s">
        <v>4856</v>
      </c>
      <c r="G286" s="300" t="s">
        <v>449</v>
      </c>
    </row>
    <row r="287" spans="1:7" ht="14.5">
      <c r="A287" s="300" t="s">
        <v>926</v>
      </c>
      <c r="B287" s="300" t="s">
        <v>1814</v>
      </c>
      <c r="C287" s="300" t="s">
        <v>1813</v>
      </c>
      <c r="D287" s="300" t="s">
        <v>4864</v>
      </c>
      <c r="E287" s="300" t="s">
        <v>1490</v>
      </c>
      <c r="F287" s="300" t="s">
        <v>4856</v>
      </c>
      <c r="G287" s="300" t="s">
        <v>449</v>
      </c>
    </row>
    <row r="288" spans="1:7" ht="14.5">
      <c r="A288" s="300" t="s">
        <v>926</v>
      </c>
      <c r="B288" s="300" t="s">
        <v>1815</v>
      </c>
      <c r="C288" s="300" t="s">
        <v>1816</v>
      </c>
      <c r="D288" s="300" t="s">
        <v>4868</v>
      </c>
      <c r="E288" s="300" t="s">
        <v>1818</v>
      </c>
      <c r="F288" s="300" t="s">
        <v>4858</v>
      </c>
      <c r="G288" s="300" t="s">
        <v>446</v>
      </c>
    </row>
    <row r="289" spans="1:7" ht="14.5">
      <c r="A289" s="300" t="s">
        <v>926</v>
      </c>
      <c r="B289" s="300" t="s">
        <v>1819</v>
      </c>
      <c r="C289" s="300" t="s">
        <v>1820</v>
      </c>
      <c r="D289" s="300" t="s">
        <v>4868</v>
      </c>
      <c r="E289" s="300" t="s">
        <v>1818</v>
      </c>
      <c r="F289" s="300" t="s">
        <v>4858</v>
      </c>
      <c r="G289" s="300" t="s">
        <v>446</v>
      </c>
    </row>
    <row r="290" spans="1:7" ht="14.5">
      <c r="A290" s="300" t="s">
        <v>926</v>
      </c>
      <c r="B290" s="300" t="s">
        <v>1823</v>
      </c>
      <c r="C290" s="300" t="s">
        <v>1824</v>
      </c>
      <c r="D290" s="300" t="s">
        <v>4868</v>
      </c>
      <c r="E290" s="300" t="s">
        <v>1818</v>
      </c>
      <c r="F290" s="300" t="s">
        <v>4858</v>
      </c>
      <c r="G290" s="300" t="s">
        <v>446</v>
      </c>
    </row>
    <row r="291" spans="1:7" ht="14.5">
      <c r="A291" s="300" t="s">
        <v>926</v>
      </c>
      <c r="B291" s="300" t="s">
        <v>1827</v>
      </c>
      <c r="C291" s="300" t="s">
        <v>1828</v>
      </c>
      <c r="D291" s="300" t="s">
        <v>4868</v>
      </c>
      <c r="E291" s="300" t="s">
        <v>1818</v>
      </c>
      <c r="F291" s="300" t="s">
        <v>4858</v>
      </c>
      <c r="G291" s="300" t="s">
        <v>446</v>
      </c>
    </row>
    <row r="292" spans="1:7" ht="14.5">
      <c r="A292" s="300" t="s">
        <v>926</v>
      </c>
      <c r="B292" s="300" t="s">
        <v>1829</v>
      </c>
      <c r="C292" s="300" t="s">
        <v>1830</v>
      </c>
      <c r="D292" s="300" t="s">
        <v>4868</v>
      </c>
      <c r="E292" s="300" t="s">
        <v>1818</v>
      </c>
      <c r="F292" s="300" t="s">
        <v>4858</v>
      </c>
      <c r="G292" s="300" t="s">
        <v>446</v>
      </c>
    </row>
    <row r="293" spans="1:7" ht="14.5">
      <c r="A293" s="300" t="s">
        <v>926</v>
      </c>
      <c r="B293" s="300" t="s">
        <v>1833</v>
      </c>
      <c r="C293" s="300" t="s">
        <v>1834</v>
      </c>
      <c r="D293" s="300" t="s">
        <v>4868</v>
      </c>
      <c r="E293" s="300" t="s">
        <v>1818</v>
      </c>
      <c r="F293" s="300" t="s">
        <v>4858</v>
      </c>
      <c r="G293" s="300" t="s">
        <v>446</v>
      </c>
    </row>
    <row r="294" spans="1:7" ht="14.5">
      <c r="A294" s="300" t="s">
        <v>926</v>
      </c>
      <c r="B294" s="300" t="s">
        <v>1835</v>
      </c>
      <c r="C294" s="300" t="s">
        <v>1836</v>
      </c>
      <c r="D294" s="300" t="s">
        <v>4857</v>
      </c>
      <c r="E294" s="300" t="s">
        <v>1040</v>
      </c>
      <c r="F294" s="300" t="s">
        <v>4858</v>
      </c>
      <c r="G294" s="300" t="s">
        <v>446</v>
      </c>
    </row>
    <row r="295" spans="1:7" ht="14.5">
      <c r="A295" s="300" t="s">
        <v>926</v>
      </c>
      <c r="B295" s="300" t="s">
        <v>1839</v>
      </c>
      <c r="C295" s="300" t="s">
        <v>1836</v>
      </c>
      <c r="D295" s="300" t="s">
        <v>4857</v>
      </c>
      <c r="E295" s="300" t="s">
        <v>1040</v>
      </c>
      <c r="F295" s="300" t="s">
        <v>4858</v>
      </c>
      <c r="G295" s="300" t="s">
        <v>446</v>
      </c>
    </row>
    <row r="296" spans="1:7" ht="14.5">
      <c r="A296" s="300" t="s">
        <v>926</v>
      </c>
      <c r="B296" s="300" t="s">
        <v>1840</v>
      </c>
      <c r="C296" s="300" t="s">
        <v>1841</v>
      </c>
      <c r="D296" s="300" t="s">
        <v>4869</v>
      </c>
      <c r="E296" s="300" t="s">
        <v>1843</v>
      </c>
      <c r="F296" s="300" t="s">
        <v>4856</v>
      </c>
      <c r="G296" s="300" t="s">
        <v>449</v>
      </c>
    </row>
    <row r="297" spans="1:7" ht="14.5">
      <c r="A297" s="300" t="s">
        <v>926</v>
      </c>
      <c r="B297" s="300" t="s">
        <v>1844</v>
      </c>
      <c r="C297" s="300" t="s">
        <v>1845</v>
      </c>
      <c r="D297" s="300" t="s">
        <v>4869</v>
      </c>
      <c r="E297" s="300" t="s">
        <v>1843</v>
      </c>
      <c r="F297" s="300" t="s">
        <v>4856</v>
      </c>
      <c r="G297" s="300" t="s">
        <v>449</v>
      </c>
    </row>
    <row r="298" spans="1:7" ht="14.5">
      <c r="A298" s="300" t="s">
        <v>926</v>
      </c>
      <c r="B298" s="300" t="s">
        <v>1848</v>
      </c>
      <c r="C298" s="300" t="s">
        <v>1849</v>
      </c>
      <c r="D298" s="300" t="s">
        <v>4869</v>
      </c>
      <c r="E298" s="300" t="s">
        <v>1843</v>
      </c>
      <c r="F298" s="300" t="s">
        <v>4856</v>
      </c>
      <c r="G298" s="300" t="s">
        <v>449</v>
      </c>
    </row>
    <row r="299" spans="1:7" ht="14.5">
      <c r="A299" s="300" t="s">
        <v>926</v>
      </c>
      <c r="B299" s="300" t="s">
        <v>1850</v>
      </c>
      <c r="C299" s="300" t="s">
        <v>1851</v>
      </c>
      <c r="D299" s="300" t="s">
        <v>4869</v>
      </c>
      <c r="E299" s="300" t="s">
        <v>1843</v>
      </c>
      <c r="F299" s="300" t="s">
        <v>4856</v>
      </c>
      <c r="G299" s="300" t="s">
        <v>449</v>
      </c>
    </row>
    <row r="300" spans="1:7" ht="14.5">
      <c r="A300" s="300" t="s">
        <v>926</v>
      </c>
      <c r="B300" s="300" t="s">
        <v>1853</v>
      </c>
      <c r="C300" s="300" t="s">
        <v>1854</v>
      </c>
      <c r="D300" s="300" t="s">
        <v>4869</v>
      </c>
      <c r="E300" s="300" t="s">
        <v>1843</v>
      </c>
      <c r="F300" s="300" t="s">
        <v>4856</v>
      </c>
      <c r="G300" s="300" t="s">
        <v>449</v>
      </c>
    </row>
    <row r="301" spans="1:7" ht="14.5">
      <c r="A301" s="300" t="s">
        <v>926</v>
      </c>
      <c r="B301" s="300" t="s">
        <v>1855</v>
      </c>
      <c r="C301" s="300" t="s">
        <v>1856</v>
      </c>
      <c r="D301" s="300" t="s">
        <v>4869</v>
      </c>
      <c r="E301" s="300" t="s">
        <v>1843</v>
      </c>
      <c r="F301" s="300" t="s">
        <v>4856</v>
      </c>
      <c r="G301" s="300" t="s">
        <v>449</v>
      </c>
    </row>
    <row r="302" spans="1:7" ht="14.5">
      <c r="A302" s="300" t="s">
        <v>926</v>
      </c>
      <c r="B302" s="300" t="s">
        <v>1858</v>
      </c>
      <c r="C302" s="300" t="s">
        <v>1859</v>
      </c>
      <c r="D302" s="300" t="s">
        <v>4869</v>
      </c>
      <c r="E302" s="300" t="s">
        <v>1843</v>
      </c>
      <c r="F302" s="300" t="s">
        <v>4856</v>
      </c>
      <c r="G302" s="300" t="s">
        <v>449</v>
      </c>
    </row>
    <row r="303" spans="1:7" ht="14.5">
      <c r="A303" s="300" t="s">
        <v>926</v>
      </c>
      <c r="B303" s="300" t="s">
        <v>1862</v>
      </c>
      <c r="C303" s="300" t="s">
        <v>1863</v>
      </c>
      <c r="D303" s="300" t="s">
        <v>4869</v>
      </c>
      <c r="E303" s="300" t="s">
        <v>1843</v>
      </c>
      <c r="F303" s="300" t="s">
        <v>4856</v>
      </c>
      <c r="G303" s="300" t="s">
        <v>449</v>
      </c>
    </row>
    <row r="304" spans="1:7" ht="14.5">
      <c r="A304" s="300" t="s">
        <v>926</v>
      </c>
      <c r="B304" s="300" t="s">
        <v>1865</v>
      </c>
      <c r="C304" s="300" t="s">
        <v>1866</v>
      </c>
      <c r="D304" s="300" t="s">
        <v>4869</v>
      </c>
      <c r="E304" s="300" t="s">
        <v>1843</v>
      </c>
      <c r="F304" s="300" t="s">
        <v>4856</v>
      </c>
      <c r="G304" s="300" t="s">
        <v>449</v>
      </c>
    </row>
    <row r="305" spans="1:7" ht="14.5">
      <c r="A305" s="300" t="s">
        <v>926</v>
      </c>
      <c r="B305" s="300" t="s">
        <v>1868</v>
      </c>
      <c r="C305" s="300" t="s">
        <v>1869</v>
      </c>
      <c r="D305" s="300" t="s">
        <v>4869</v>
      </c>
      <c r="E305" s="300" t="s">
        <v>1843</v>
      </c>
      <c r="F305" s="300" t="s">
        <v>4856</v>
      </c>
      <c r="G305" s="300" t="s">
        <v>449</v>
      </c>
    </row>
    <row r="306" spans="1:7" ht="14.5">
      <c r="A306" s="300" t="s">
        <v>926</v>
      </c>
      <c r="B306" s="300" t="s">
        <v>1871</v>
      </c>
      <c r="C306" s="300" t="s">
        <v>1872</v>
      </c>
      <c r="D306" s="300" t="s">
        <v>4870</v>
      </c>
      <c r="E306" s="300" t="s">
        <v>1875</v>
      </c>
      <c r="F306" s="300" t="s">
        <v>4856</v>
      </c>
      <c r="G306" s="300" t="s">
        <v>449</v>
      </c>
    </row>
    <row r="307" spans="1:7" ht="14.5">
      <c r="A307" s="300" t="s">
        <v>926</v>
      </c>
      <c r="B307" s="300" t="s">
        <v>1876</v>
      </c>
      <c r="C307" s="300" t="s">
        <v>1877</v>
      </c>
      <c r="D307" s="300" t="s">
        <v>4869</v>
      </c>
      <c r="E307" s="300" t="s">
        <v>1843</v>
      </c>
      <c r="F307" s="300" t="s">
        <v>4856</v>
      </c>
      <c r="G307" s="300" t="s">
        <v>449</v>
      </c>
    </row>
    <row r="308" spans="1:7" ht="14.5">
      <c r="A308" s="300" t="s">
        <v>926</v>
      </c>
      <c r="B308" s="300" t="s">
        <v>1880</v>
      </c>
      <c r="C308" s="300" t="s">
        <v>1881</v>
      </c>
      <c r="D308" s="300" t="s">
        <v>4870</v>
      </c>
      <c r="E308" s="300" t="s">
        <v>1875</v>
      </c>
      <c r="F308" s="300" t="s">
        <v>4856</v>
      </c>
      <c r="G308" s="300" t="s">
        <v>449</v>
      </c>
    </row>
    <row r="309" spans="1:7" ht="14.5">
      <c r="A309" s="300" t="s">
        <v>926</v>
      </c>
      <c r="B309" s="300" t="s">
        <v>1884</v>
      </c>
      <c r="C309" s="300" t="s">
        <v>1885</v>
      </c>
      <c r="D309" s="300" t="s">
        <v>4870</v>
      </c>
      <c r="E309" s="300" t="s">
        <v>1875</v>
      </c>
      <c r="F309" s="300" t="s">
        <v>4856</v>
      </c>
      <c r="G309" s="300" t="s">
        <v>449</v>
      </c>
    </row>
    <row r="310" spans="1:7" ht="14.5">
      <c r="A310" s="300" t="s">
        <v>926</v>
      </c>
      <c r="B310" s="300" t="s">
        <v>1886</v>
      </c>
      <c r="C310" s="300" t="s">
        <v>1887</v>
      </c>
      <c r="D310" s="300" t="s">
        <v>4870</v>
      </c>
      <c r="E310" s="300" t="s">
        <v>1875</v>
      </c>
      <c r="F310" s="300" t="s">
        <v>4856</v>
      </c>
      <c r="G310" s="300" t="s">
        <v>449</v>
      </c>
    </row>
    <row r="311" spans="1:7" ht="14.5">
      <c r="A311" s="300" t="s">
        <v>926</v>
      </c>
      <c r="B311" s="300" t="s">
        <v>1888</v>
      </c>
      <c r="C311" s="300" t="s">
        <v>1889</v>
      </c>
      <c r="D311" s="300" t="s">
        <v>4869</v>
      </c>
      <c r="E311" s="300" t="s">
        <v>1843</v>
      </c>
      <c r="F311" s="300" t="s">
        <v>4856</v>
      </c>
      <c r="G311" s="300" t="s">
        <v>449</v>
      </c>
    </row>
    <row r="312" spans="1:7" ht="14.5">
      <c r="A312" s="300" t="s">
        <v>926</v>
      </c>
      <c r="B312" s="300" t="s">
        <v>1890</v>
      </c>
      <c r="C312" s="300" t="s">
        <v>1891</v>
      </c>
      <c r="D312" s="300" t="s">
        <v>4869</v>
      </c>
      <c r="E312" s="300" t="s">
        <v>1843</v>
      </c>
      <c r="F312" s="300" t="s">
        <v>4856</v>
      </c>
      <c r="G312" s="300" t="s">
        <v>449</v>
      </c>
    </row>
    <row r="313" spans="1:7" ht="14.5">
      <c r="A313" s="300" t="s">
        <v>926</v>
      </c>
      <c r="B313" s="300" t="s">
        <v>1894</v>
      </c>
      <c r="C313" s="300" t="s">
        <v>1895</v>
      </c>
      <c r="D313" s="300" t="s">
        <v>4869</v>
      </c>
      <c r="E313" s="300" t="s">
        <v>1843</v>
      </c>
      <c r="F313" s="300" t="s">
        <v>4856</v>
      </c>
      <c r="G313" s="300" t="s">
        <v>449</v>
      </c>
    </row>
    <row r="314" spans="1:7" ht="14.5">
      <c r="A314" s="300" t="s">
        <v>926</v>
      </c>
      <c r="B314" s="300" t="s">
        <v>1896</v>
      </c>
      <c r="C314" s="300" t="s">
        <v>1897</v>
      </c>
      <c r="D314" s="300" t="s">
        <v>4869</v>
      </c>
      <c r="E314" s="300" t="s">
        <v>1843</v>
      </c>
      <c r="F314" s="300" t="s">
        <v>4856</v>
      </c>
      <c r="G314" s="300" t="s">
        <v>449</v>
      </c>
    </row>
    <row r="315" spans="1:7" ht="14.5">
      <c r="A315" s="300" t="s">
        <v>926</v>
      </c>
      <c r="B315" s="300" t="s">
        <v>1900</v>
      </c>
      <c r="C315" s="300" t="s">
        <v>1901</v>
      </c>
      <c r="D315" s="300" t="s">
        <v>4864</v>
      </c>
      <c r="E315" s="300" t="s">
        <v>1490</v>
      </c>
      <c r="F315" s="300" t="s">
        <v>4856</v>
      </c>
      <c r="G315" s="300" t="s">
        <v>449</v>
      </c>
    </row>
    <row r="316" spans="1:7" ht="14.5">
      <c r="A316" s="300" t="s">
        <v>926</v>
      </c>
      <c r="B316" s="300" t="s">
        <v>1903</v>
      </c>
      <c r="C316" s="300" t="s">
        <v>1904</v>
      </c>
      <c r="D316" s="300" t="s">
        <v>4869</v>
      </c>
      <c r="E316" s="300" t="s">
        <v>1843</v>
      </c>
      <c r="F316" s="300" t="s">
        <v>4856</v>
      </c>
      <c r="G316" s="300" t="s">
        <v>449</v>
      </c>
    </row>
    <row r="317" spans="1:7" ht="14.5">
      <c r="A317" s="300" t="s">
        <v>926</v>
      </c>
      <c r="B317" s="300" t="s">
        <v>1905</v>
      </c>
      <c r="C317" s="300" t="s">
        <v>1906</v>
      </c>
      <c r="D317" s="300" t="s">
        <v>4864</v>
      </c>
      <c r="E317" s="300" t="s">
        <v>1490</v>
      </c>
      <c r="F317" s="300" t="s">
        <v>4856</v>
      </c>
      <c r="G317" s="300" t="s">
        <v>449</v>
      </c>
    </row>
    <row r="318" spans="1:7" ht="14.5">
      <c r="A318" s="300" t="s">
        <v>926</v>
      </c>
      <c r="B318" s="300" t="s">
        <v>1909</v>
      </c>
      <c r="C318" s="300" t="s">
        <v>1910</v>
      </c>
      <c r="D318" s="300" t="s">
        <v>4864</v>
      </c>
      <c r="E318" s="300" t="s">
        <v>1490</v>
      </c>
      <c r="F318" s="300" t="s">
        <v>4856</v>
      </c>
      <c r="G318" s="300" t="s">
        <v>449</v>
      </c>
    </row>
    <row r="319" spans="1:7" ht="14.5">
      <c r="A319" s="300" t="s">
        <v>926</v>
      </c>
      <c r="B319" s="300" t="s">
        <v>1912</v>
      </c>
      <c r="C319" s="300" t="s">
        <v>1913</v>
      </c>
      <c r="D319" s="300" t="s">
        <v>4864</v>
      </c>
      <c r="E319" s="300" t="s">
        <v>1490</v>
      </c>
      <c r="F319" s="300" t="s">
        <v>4856</v>
      </c>
      <c r="G319" s="300" t="s">
        <v>449</v>
      </c>
    </row>
    <row r="320" spans="1:7" ht="14.5">
      <c r="A320" s="300" t="s">
        <v>926</v>
      </c>
      <c r="B320" s="300" t="s">
        <v>1916</v>
      </c>
      <c r="C320" s="300" t="s">
        <v>1917</v>
      </c>
      <c r="D320" s="300" t="s">
        <v>4864</v>
      </c>
      <c r="E320" s="300" t="s">
        <v>1490</v>
      </c>
      <c r="F320" s="300" t="s">
        <v>4856</v>
      </c>
      <c r="G320" s="300" t="s">
        <v>449</v>
      </c>
    </row>
    <row r="321" spans="1:7" ht="14.5">
      <c r="A321" s="300" t="s">
        <v>926</v>
      </c>
      <c r="B321" s="300" t="s">
        <v>1918</v>
      </c>
      <c r="C321" s="300" t="s">
        <v>1919</v>
      </c>
      <c r="D321" s="300" t="s">
        <v>4864</v>
      </c>
      <c r="E321" s="300" t="s">
        <v>1490</v>
      </c>
      <c r="F321" s="300" t="s">
        <v>4856</v>
      </c>
      <c r="G321" s="300" t="s">
        <v>449</v>
      </c>
    </row>
    <row r="322" spans="1:7" ht="14.5">
      <c r="A322" s="300" t="s">
        <v>926</v>
      </c>
      <c r="B322" s="300" t="s">
        <v>1920</v>
      </c>
      <c r="C322" s="300" t="s">
        <v>1921</v>
      </c>
      <c r="D322" s="300" t="s">
        <v>4864</v>
      </c>
      <c r="E322" s="300" t="s">
        <v>1490</v>
      </c>
      <c r="F322" s="300" t="s">
        <v>4856</v>
      </c>
      <c r="G322" s="300" t="s">
        <v>449</v>
      </c>
    </row>
    <row r="323" spans="1:7" ht="14.5">
      <c r="A323" s="300" t="s">
        <v>926</v>
      </c>
      <c r="B323" s="300" t="s">
        <v>1924</v>
      </c>
      <c r="C323" s="300" t="s">
        <v>1925</v>
      </c>
      <c r="D323" s="300" t="s">
        <v>4864</v>
      </c>
      <c r="E323" s="300" t="s">
        <v>1490</v>
      </c>
      <c r="F323" s="300" t="s">
        <v>4856</v>
      </c>
      <c r="G323" s="300" t="s">
        <v>449</v>
      </c>
    </row>
    <row r="324" spans="1:7" ht="14.5">
      <c r="A324" s="300" t="s">
        <v>926</v>
      </c>
      <c r="B324" s="300" t="s">
        <v>1926</v>
      </c>
      <c r="C324" s="300" t="s">
        <v>1927</v>
      </c>
      <c r="D324" s="300" t="s">
        <v>4864</v>
      </c>
      <c r="E324" s="300" t="s">
        <v>1490</v>
      </c>
      <c r="F324" s="300" t="s">
        <v>4856</v>
      </c>
      <c r="G324" s="300" t="s">
        <v>449</v>
      </c>
    </row>
    <row r="325" spans="1:7" ht="14.5">
      <c r="A325" s="300" t="s">
        <v>926</v>
      </c>
      <c r="B325" s="300" t="s">
        <v>1930</v>
      </c>
      <c r="C325" s="300" t="s">
        <v>1931</v>
      </c>
      <c r="D325" s="300" t="s">
        <v>4864</v>
      </c>
      <c r="E325" s="300" t="s">
        <v>1490</v>
      </c>
      <c r="F325" s="300" t="s">
        <v>4856</v>
      </c>
      <c r="G325" s="300" t="s">
        <v>449</v>
      </c>
    </row>
    <row r="326" spans="1:7" ht="14.5">
      <c r="A326" s="300" t="s">
        <v>926</v>
      </c>
      <c r="B326" s="300" t="s">
        <v>1934</v>
      </c>
      <c r="C326" s="300" t="s">
        <v>1935</v>
      </c>
      <c r="D326" s="300" t="s">
        <v>4864</v>
      </c>
      <c r="E326" s="300" t="s">
        <v>1490</v>
      </c>
      <c r="F326" s="300" t="s">
        <v>4856</v>
      </c>
      <c r="G326" s="300" t="s">
        <v>449</v>
      </c>
    </row>
    <row r="327" spans="1:7" ht="14.5">
      <c r="A327" s="300" t="s">
        <v>926</v>
      </c>
      <c r="B327" s="300" t="s">
        <v>1936</v>
      </c>
      <c r="C327" s="300" t="s">
        <v>1937</v>
      </c>
      <c r="D327" s="300" t="s">
        <v>4864</v>
      </c>
      <c r="E327" s="300" t="s">
        <v>1490</v>
      </c>
      <c r="F327" s="300" t="s">
        <v>4856</v>
      </c>
      <c r="G327" s="300" t="s">
        <v>449</v>
      </c>
    </row>
    <row r="328" spans="1:7" ht="14.5">
      <c r="A328" s="300" t="s">
        <v>926</v>
      </c>
      <c r="B328" s="300" t="s">
        <v>1940</v>
      </c>
      <c r="C328" s="300" t="s">
        <v>1941</v>
      </c>
      <c r="D328" s="300" t="s">
        <v>4864</v>
      </c>
      <c r="E328" s="300" t="s">
        <v>1490</v>
      </c>
      <c r="F328" s="300" t="s">
        <v>4856</v>
      </c>
      <c r="G328" s="300" t="s">
        <v>449</v>
      </c>
    </row>
    <row r="329" spans="1:7" ht="14.5">
      <c r="A329" s="300" t="s">
        <v>926</v>
      </c>
      <c r="B329" s="300" t="s">
        <v>1944</v>
      </c>
      <c r="C329" s="300" t="s">
        <v>1945</v>
      </c>
      <c r="D329" s="300" t="s">
        <v>4864</v>
      </c>
      <c r="E329" s="300" t="s">
        <v>1490</v>
      </c>
      <c r="F329" s="300" t="s">
        <v>4856</v>
      </c>
      <c r="G329" s="300" t="s">
        <v>449</v>
      </c>
    </row>
    <row r="330" spans="1:7" ht="14.5">
      <c r="A330" s="300" t="s">
        <v>926</v>
      </c>
      <c r="B330" s="300" t="s">
        <v>1946</v>
      </c>
      <c r="C330" s="300" t="s">
        <v>1947</v>
      </c>
      <c r="D330" s="300" t="s">
        <v>4864</v>
      </c>
      <c r="E330" s="300" t="s">
        <v>1490</v>
      </c>
      <c r="F330" s="300" t="s">
        <v>4856</v>
      </c>
      <c r="G330" s="300" t="s">
        <v>449</v>
      </c>
    </row>
    <row r="331" spans="1:7" ht="14.5">
      <c r="A331" s="300" t="s">
        <v>926</v>
      </c>
      <c r="B331" s="300" t="s">
        <v>1949</v>
      </c>
      <c r="C331" s="300" t="s">
        <v>1950</v>
      </c>
      <c r="D331" s="300" t="s">
        <v>4864</v>
      </c>
      <c r="E331" s="300" t="s">
        <v>1490</v>
      </c>
      <c r="F331" s="300" t="s">
        <v>4856</v>
      </c>
      <c r="G331" s="300" t="s">
        <v>449</v>
      </c>
    </row>
    <row r="332" spans="1:7" ht="14.5">
      <c r="A332" s="300" t="s">
        <v>926</v>
      </c>
      <c r="B332" s="300" t="s">
        <v>1953</v>
      </c>
      <c r="C332" s="300" t="s">
        <v>1954</v>
      </c>
      <c r="D332" s="300" t="s">
        <v>4869</v>
      </c>
      <c r="E332" s="300" t="s">
        <v>1843</v>
      </c>
      <c r="F332" s="300" t="s">
        <v>4856</v>
      </c>
      <c r="G332" s="300" t="s">
        <v>449</v>
      </c>
    </row>
    <row r="333" spans="1:7" ht="14.5">
      <c r="A333" s="300" t="s">
        <v>926</v>
      </c>
      <c r="B333" s="300" t="s">
        <v>1957</v>
      </c>
      <c r="C333" s="300" t="s">
        <v>1958</v>
      </c>
      <c r="D333" s="300" t="s">
        <v>4864</v>
      </c>
      <c r="E333" s="300" t="s">
        <v>1490</v>
      </c>
      <c r="F333" s="300" t="s">
        <v>4856</v>
      </c>
      <c r="G333" s="300" t="s">
        <v>449</v>
      </c>
    </row>
    <row r="334" spans="1:7" ht="14.5">
      <c r="A334" s="300" t="s">
        <v>926</v>
      </c>
      <c r="B334" s="300" t="s">
        <v>1961</v>
      </c>
      <c r="C334" s="300" t="s">
        <v>1962</v>
      </c>
      <c r="D334" s="300" t="s">
        <v>4864</v>
      </c>
      <c r="E334" s="300" t="s">
        <v>1490</v>
      </c>
      <c r="F334" s="300" t="s">
        <v>4856</v>
      </c>
      <c r="G334" s="300" t="s">
        <v>449</v>
      </c>
    </row>
    <row r="335" spans="1:7" ht="14.5">
      <c r="A335" s="300" t="s">
        <v>926</v>
      </c>
      <c r="B335" s="300" t="s">
        <v>1963</v>
      </c>
      <c r="C335" s="300" t="s">
        <v>1964</v>
      </c>
      <c r="D335" s="300" t="s">
        <v>4864</v>
      </c>
      <c r="E335" s="300" t="s">
        <v>1490</v>
      </c>
      <c r="F335" s="300" t="s">
        <v>4856</v>
      </c>
      <c r="G335" s="300" t="s">
        <v>449</v>
      </c>
    </row>
    <row r="336" spans="1:7" ht="14.5">
      <c r="A336" s="300" t="s">
        <v>926</v>
      </c>
      <c r="B336" s="300" t="s">
        <v>1967</v>
      </c>
      <c r="C336" s="300" t="s">
        <v>1968</v>
      </c>
      <c r="D336" s="300" t="s">
        <v>4864</v>
      </c>
      <c r="E336" s="300" t="s">
        <v>1490</v>
      </c>
      <c r="F336" s="300" t="s">
        <v>4856</v>
      </c>
      <c r="G336" s="300" t="s">
        <v>449</v>
      </c>
    </row>
    <row r="337" spans="1:7" ht="14.5">
      <c r="A337" s="300" t="s">
        <v>926</v>
      </c>
      <c r="B337" s="300" t="s">
        <v>1969</v>
      </c>
      <c r="C337" s="300" t="s">
        <v>1970</v>
      </c>
      <c r="D337" s="300" t="s">
        <v>4864</v>
      </c>
      <c r="E337" s="300" t="s">
        <v>1490</v>
      </c>
      <c r="F337" s="300" t="s">
        <v>4856</v>
      </c>
      <c r="G337" s="300" t="s">
        <v>449</v>
      </c>
    </row>
    <row r="338" spans="1:7" ht="14.5">
      <c r="A338" s="300" t="s">
        <v>926</v>
      </c>
      <c r="B338" s="300" t="s">
        <v>1973</v>
      </c>
      <c r="C338" s="300" t="s">
        <v>1974</v>
      </c>
      <c r="D338" s="300" t="s">
        <v>4864</v>
      </c>
      <c r="E338" s="300" t="s">
        <v>1490</v>
      </c>
      <c r="F338" s="300" t="s">
        <v>4856</v>
      </c>
      <c r="G338" s="300" t="s">
        <v>449</v>
      </c>
    </row>
    <row r="339" spans="1:7" ht="14.5">
      <c r="A339" s="300" t="s">
        <v>926</v>
      </c>
      <c r="B339" s="300" t="s">
        <v>1975</v>
      </c>
      <c r="C339" s="300" t="s">
        <v>1976</v>
      </c>
      <c r="D339" s="300" t="s">
        <v>4864</v>
      </c>
      <c r="E339" s="300" t="s">
        <v>1490</v>
      </c>
      <c r="F339" s="300" t="s">
        <v>4856</v>
      </c>
      <c r="G339" s="300" t="s">
        <v>449</v>
      </c>
    </row>
    <row r="340" spans="1:7" ht="14.5">
      <c r="A340" s="300" t="s">
        <v>926</v>
      </c>
      <c r="B340" s="300" t="s">
        <v>1977</v>
      </c>
      <c r="C340" s="300" t="s">
        <v>1978</v>
      </c>
      <c r="D340" s="300" t="s">
        <v>4864</v>
      </c>
      <c r="E340" s="300" t="s">
        <v>1490</v>
      </c>
      <c r="F340" s="300" t="s">
        <v>4856</v>
      </c>
      <c r="G340" s="300" t="s">
        <v>449</v>
      </c>
    </row>
    <row r="341" spans="1:7" ht="14.5">
      <c r="A341" s="300" t="s">
        <v>926</v>
      </c>
      <c r="B341" s="300" t="s">
        <v>1980</v>
      </c>
      <c r="C341" s="300" t="s">
        <v>1981</v>
      </c>
      <c r="D341" s="300" t="s">
        <v>4864</v>
      </c>
      <c r="E341" s="300" t="s">
        <v>1490</v>
      </c>
      <c r="F341" s="300" t="s">
        <v>4856</v>
      </c>
      <c r="G341" s="300" t="s">
        <v>449</v>
      </c>
    </row>
    <row r="342" spans="1:7" ht="14.5">
      <c r="A342" s="300" t="s">
        <v>926</v>
      </c>
      <c r="B342" s="300" t="s">
        <v>1984</v>
      </c>
      <c r="C342" s="300" t="s">
        <v>1985</v>
      </c>
      <c r="D342" s="300" t="s">
        <v>4864</v>
      </c>
      <c r="E342" s="300" t="s">
        <v>1490</v>
      </c>
      <c r="F342" s="300" t="s">
        <v>4856</v>
      </c>
      <c r="G342" s="300" t="s">
        <v>449</v>
      </c>
    </row>
    <row r="343" spans="1:7" ht="14.5">
      <c r="A343" s="300" t="s">
        <v>926</v>
      </c>
      <c r="B343" s="300" t="s">
        <v>1987</v>
      </c>
      <c r="C343" s="300" t="s">
        <v>1988</v>
      </c>
      <c r="D343" s="300" t="s">
        <v>4864</v>
      </c>
      <c r="E343" s="300" t="s">
        <v>1490</v>
      </c>
      <c r="F343" s="300" t="s">
        <v>4856</v>
      </c>
      <c r="G343" s="300" t="s">
        <v>449</v>
      </c>
    </row>
    <row r="344" spans="1:7" ht="14.5">
      <c r="A344" s="300" t="s">
        <v>926</v>
      </c>
      <c r="B344" s="300" t="s">
        <v>1990</v>
      </c>
      <c r="C344" s="300" t="s">
        <v>1991</v>
      </c>
      <c r="D344" s="300" t="s">
        <v>4864</v>
      </c>
      <c r="E344" s="300" t="s">
        <v>1490</v>
      </c>
      <c r="F344" s="300" t="s">
        <v>4856</v>
      </c>
      <c r="G344" s="300" t="s">
        <v>449</v>
      </c>
    </row>
    <row r="345" spans="1:7" ht="14.5">
      <c r="A345" s="300" t="s">
        <v>926</v>
      </c>
      <c r="B345" s="300" t="s">
        <v>1993</v>
      </c>
      <c r="C345" s="300" t="s">
        <v>1994</v>
      </c>
      <c r="D345" s="300" t="s">
        <v>4864</v>
      </c>
      <c r="E345" s="300" t="s">
        <v>1490</v>
      </c>
      <c r="F345" s="300" t="s">
        <v>4856</v>
      </c>
      <c r="G345" s="300" t="s">
        <v>449</v>
      </c>
    </row>
    <row r="346" spans="1:7" ht="14.5">
      <c r="A346" s="300" t="s">
        <v>926</v>
      </c>
      <c r="B346" s="300" t="s">
        <v>1997</v>
      </c>
      <c r="C346" s="300" t="s">
        <v>1998</v>
      </c>
      <c r="D346" s="300" t="s">
        <v>4864</v>
      </c>
      <c r="E346" s="300" t="s">
        <v>1490</v>
      </c>
      <c r="F346" s="300" t="s">
        <v>4856</v>
      </c>
      <c r="G346" s="300" t="s">
        <v>449</v>
      </c>
    </row>
    <row r="347" spans="1:7" ht="14.5">
      <c r="A347" s="300" t="s">
        <v>926</v>
      </c>
      <c r="B347" s="300" t="s">
        <v>1999</v>
      </c>
      <c r="C347" s="300" t="s">
        <v>2000</v>
      </c>
      <c r="D347" s="300" t="s">
        <v>4864</v>
      </c>
      <c r="E347" s="300" t="s">
        <v>1490</v>
      </c>
      <c r="F347" s="300" t="s">
        <v>4856</v>
      </c>
      <c r="G347" s="300" t="s">
        <v>449</v>
      </c>
    </row>
    <row r="348" spans="1:7" ht="14.5">
      <c r="A348" s="300" t="s">
        <v>926</v>
      </c>
      <c r="B348" s="300" t="s">
        <v>2003</v>
      </c>
      <c r="C348" s="300" t="s">
        <v>2004</v>
      </c>
      <c r="D348" s="300" t="s">
        <v>4864</v>
      </c>
      <c r="E348" s="300" t="s">
        <v>1490</v>
      </c>
      <c r="F348" s="300" t="s">
        <v>4856</v>
      </c>
      <c r="G348" s="300" t="s">
        <v>449</v>
      </c>
    </row>
    <row r="349" spans="1:7" ht="14.5">
      <c r="A349" s="300" t="s">
        <v>926</v>
      </c>
      <c r="B349" s="300" t="s">
        <v>2006</v>
      </c>
      <c r="C349" s="300" t="s">
        <v>2007</v>
      </c>
      <c r="D349" s="300" t="s">
        <v>4864</v>
      </c>
      <c r="E349" s="300" t="s">
        <v>1490</v>
      </c>
      <c r="F349" s="300" t="s">
        <v>4856</v>
      </c>
      <c r="G349" s="300" t="s">
        <v>449</v>
      </c>
    </row>
    <row r="350" spans="1:7" ht="14.5">
      <c r="A350" s="300" t="s">
        <v>926</v>
      </c>
      <c r="B350" s="300" t="s">
        <v>2009</v>
      </c>
      <c r="C350" s="300" t="s">
        <v>2010</v>
      </c>
      <c r="D350" s="300" t="s">
        <v>4864</v>
      </c>
      <c r="E350" s="300" t="s">
        <v>1490</v>
      </c>
      <c r="F350" s="300" t="s">
        <v>4856</v>
      </c>
      <c r="G350" s="300" t="s">
        <v>449</v>
      </c>
    </row>
    <row r="351" spans="1:7" ht="14.5">
      <c r="A351" s="300" t="s">
        <v>926</v>
      </c>
      <c r="B351" s="300" t="s">
        <v>2013</v>
      </c>
      <c r="C351" s="300" t="s">
        <v>2014</v>
      </c>
      <c r="D351" s="300" t="s">
        <v>4864</v>
      </c>
      <c r="E351" s="300" t="s">
        <v>1490</v>
      </c>
      <c r="F351" s="300" t="s">
        <v>4856</v>
      </c>
      <c r="G351" s="300" t="s">
        <v>449</v>
      </c>
    </row>
    <row r="352" spans="1:7" ht="14.5">
      <c r="A352" s="300" t="s">
        <v>926</v>
      </c>
      <c r="B352" s="300" t="s">
        <v>2015</v>
      </c>
      <c r="C352" s="300" t="s">
        <v>2016</v>
      </c>
      <c r="D352" s="300" t="s">
        <v>4864</v>
      </c>
      <c r="E352" s="300" t="s">
        <v>1490</v>
      </c>
      <c r="F352" s="300" t="s">
        <v>4856</v>
      </c>
      <c r="G352" s="300" t="s">
        <v>449</v>
      </c>
    </row>
    <row r="353" spans="1:7" ht="14.5">
      <c r="A353" s="300" t="s">
        <v>926</v>
      </c>
      <c r="B353" s="300" t="s">
        <v>2017</v>
      </c>
      <c r="C353" s="300" t="s">
        <v>2018</v>
      </c>
      <c r="D353" s="300" t="s">
        <v>4864</v>
      </c>
      <c r="E353" s="300" t="s">
        <v>1490</v>
      </c>
      <c r="F353" s="300" t="s">
        <v>4856</v>
      </c>
      <c r="G353" s="300" t="s">
        <v>449</v>
      </c>
    </row>
    <row r="354" spans="1:7" ht="14.5">
      <c r="A354" s="300" t="s">
        <v>926</v>
      </c>
      <c r="B354" s="300" t="s">
        <v>2020</v>
      </c>
      <c r="C354" s="300" t="s">
        <v>2021</v>
      </c>
      <c r="D354" s="300" t="s">
        <v>4864</v>
      </c>
      <c r="E354" s="300" t="s">
        <v>1490</v>
      </c>
      <c r="F354" s="300" t="s">
        <v>4856</v>
      </c>
      <c r="G354" s="300" t="s">
        <v>449</v>
      </c>
    </row>
    <row r="355" spans="1:7" ht="14.5">
      <c r="A355" s="300" t="s">
        <v>926</v>
      </c>
      <c r="B355" s="300" t="s">
        <v>2024</v>
      </c>
      <c r="C355" s="300" t="s">
        <v>2025</v>
      </c>
      <c r="D355" s="300" t="s">
        <v>4864</v>
      </c>
      <c r="E355" s="300" t="s">
        <v>1490</v>
      </c>
      <c r="F355" s="300" t="s">
        <v>4856</v>
      </c>
      <c r="G355" s="300" t="s">
        <v>449</v>
      </c>
    </row>
    <row r="356" spans="1:7" ht="14.5">
      <c r="A356" s="300" t="s">
        <v>926</v>
      </c>
      <c r="B356" s="300" t="s">
        <v>2028</v>
      </c>
      <c r="C356" s="300" t="s">
        <v>2029</v>
      </c>
      <c r="D356" s="300" t="s">
        <v>4864</v>
      </c>
      <c r="E356" s="300" t="s">
        <v>1490</v>
      </c>
      <c r="F356" s="300" t="s">
        <v>4856</v>
      </c>
      <c r="G356" s="300" t="s">
        <v>449</v>
      </c>
    </row>
    <row r="357" spans="1:7" ht="14.5">
      <c r="A357" s="300" t="s">
        <v>926</v>
      </c>
      <c r="B357" s="300" t="s">
        <v>2032</v>
      </c>
      <c r="C357" s="300" t="s">
        <v>2033</v>
      </c>
      <c r="D357" s="300" t="s">
        <v>4864</v>
      </c>
      <c r="E357" s="300" t="s">
        <v>1490</v>
      </c>
      <c r="F357" s="300" t="s">
        <v>4856</v>
      </c>
      <c r="G357" s="300" t="s">
        <v>449</v>
      </c>
    </row>
    <row r="358" spans="1:7" ht="14.5">
      <c r="A358" s="300" t="s">
        <v>926</v>
      </c>
      <c r="B358" s="300" t="s">
        <v>2036</v>
      </c>
      <c r="C358" s="300" t="s">
        <v>2037</v>
      </c>
      <c r="D358" s="300" t="s">
        <v>4864</v>
      </c>
      <c r="E358" s="300" t="s">
        <v>1490</v>
      </c>
      <c r="F358" s="300" t="s">
        <v>4856</v>
      </c>
      <c r="G358" s="300" t="s">
        <v>449</v>
      </c>
    </row>
    <row r="359" spans="1:7" ht="14.5">
      <c r="A359" s="300" t="s">
        <v>926</v>
      </c>
      <c r="B359" s="300" t="s">
        <v>2040</v>
      </c>
      <c r="C359" s="300" t="s">
        <v>2041</v>
      </c>
      <c r="D359" s="300" t="s">
        <v>4864</v>
      </c>
      <c r="E359" s="300" t="s">
        <v>1490</v>
      </c>
      <c r="F359" s="300" t="s">
        <v>4856</v>
      </c>
      <c r="G359" s="300" t="s">
        <v>449</v>
      </c>
    </row>
    <row r="360" spans="1:7" ht="14.5">
      <c r="A360" s="300" t="s">
        <v>926</v>
      </c>
      <c r="B360" s="300" t="s">
        <v>2042</v>
      </c>
      <c r="C360" s="300" t="s">
        <v>2043</v>
      </c>
      <c r="D360" s="300" t="s">
        <v>4864</v>
      </c>
      <c r="E360" s="300" t="s">
        <v>1490</v>
      </c>
      <c r="F360" s="300" t="s">
        <v>4856</v>
      </c>
      <c r="G360" s="300" t="s">
        <v>449</v>
      </c>
    </row>
    <row r="361" spans="1:7" ht="14.5">
      <c r="A361" s="300" t="s">
        <v>926</v>
      </c>
      <c r="B361" s="300" t="s">
        <v>2044</v>
      </c>
      <c r="C361" s="300" t="s">
        <v>2045</v>
      </c>
      <c r="D361" s="300" t="s">
        <v>4864</v>
      </c>
      <c r="E361" s="300" t="s">
        <v>1490</v>
      </c>
      <c r="F361" s="300" t="s">
        <v>4856</v>
      </c>
      <c r="G361" s="300" t="s">
        <v>449</v>
      </c>
    </row>
    <row r="362" spans="1:7" ht="14.5">
      <c r="A362" s="300" t="s">
        <v>926</v>
      </c>
      <c r="B362" s="300" t="s">
        <v>2047</v>
      </c>
      <c r="C362" s="300" t="s">
        <v>2048</v>
      </c>
      <c r="D362" s="300" t="s">
        <v>4864</v>
      </c>
      <c r="E362" s="300" t="s">
        <v>1490</v>
      </c>
      <c r="F362" s="300" t="s">
        <v>4856</v>
      </c>
      <c r="G362" s="300" t="s">
        <v>449</v>
      </c>
    </row>
    <row r="363" spans="1:7" ht="14.5">
      <c r="A363" s="300" t="s">
        <v>926</v>
      </c>
      <c r="B363" s="300" t="s">
        <v>2051</v>
      </c>
      <c r="C363" s="300" t="s">
        <v>2052</v>
      </c>
      <c r="D363" s="300" t="s">
        <v>4864</v>
      </c>
      <c r="E363" s="300" t="s">
        <v>1490</v>
      </c>
      <c r="F363" s="300" t="s">
        <v>4856</v>
      </c>
      <c r="G363" s="300" t="s">
        <v>449</v>
      </c>
    </row>
    <row r="364" spans="1:7" ht="14.5">
      <c r="A364" s="300" t="s">
        <v>926</v>
      </c>
      <c r="B364" s="300" t="s">
        <v>2053</v>
      </c>
      <c r="C364" s="300" t="s">
        <v>2054</v>
      </c>
      <c r="D364" s="300" t="s">
        <v>4864</v>
      </c>
      <c r="E364" s="300" t="s">
        <v>1490</v>
      </c>
      <c r="F364" s="300" t="s">
        <v>4856</v>
      </c>
      <c r="G364" s="300" t="s">
        <v>449</v>
      </c>
    </row>
    <row r="365" spans="1:7" ht="14.5">
      <c r="A365" s="300" t="s">
        <v>926</v>
      </c>
      <c r="B365" s="300" t="s">
        <v>2056</v>
      </c>
      <c r="C365" s="300" t="s">
        <v>2057</v>
      </c>
      <c r="D365" s="300" t="s">
        <v>4864</v>
      </c>
      <c r="E365" s="300" t="s">
        <v>1490</v>
      </c>
      <c r="F365" s="300" t="s">
        <v>4856</v>
      </c>
      <c r="G365" s="300" t="s">
        <v>449</v>
      </c>
    </row>
    <row r="366" spans="1:7" ht="14.5">
      <c r="A366" s="300" t="s">
        <v>926</v>
      </c>
      <c r="B366" s="300" t="s">
        <v>2060</v>
      </c>
      <c r="C366" s="300" t="s">
        <v>2061</v>
      </c>
      <c r="D366" s="300" t="s">
        <v>4864</v>
      </c>
      <c r="E366" s="300" t="s">
        <v>1490</v>
      </c>
      <c r="F366" s="300" t="s">
        <v>4856</v>
      </c>
      <c r="G366" s="300" t="s">
        <v>449</v>
      </c>
    </row>
    <row r="367" spans="1:7" ht="14.5">
      <c r="A367" s="300" t="s">
        <v>926</v>
      </c>
      <c r="B367" s="300" t="s">
        <v>2063</v>
      </c>
      <c r="C367" s="300" t="s">
        <v>2064</v>
      </c>
      <c r="D367" s="300" t="s">
        <v>4864</v>
      </c>
      <c r="E367" s="300" t="s">
        <v>1490</v>
      </c>
      <c r="F367" s="300" t="s">
        <v>4856</v>
      </c>
      <c r="G367" s="300" t="s">
        <v>449</v>
      </c>
    </row>
    <row r="368" spans="1:7" ht="14.5">
      <c r="A368" s="300" t="s">
        <v>926</v>
      </c>
      <c r="B368" s="300" t="s">
        <v>2067</v>
      </c>
      <c r="C368" s="300" t="s">
        <v>2068</v>
      </c>
      <c r="D368" s="300" t="s">
        <v>4864</v>
      </c>
      <c r="E368" s="300" t="s">
        <v>1490</v>
      </c>
      <c r="F368" s="300" t="s">
        <v>4856</v>
      </c>
      <c r="G368" s="300" t="s">
        <v>449</v>
      </c>
    </row>
    <row r="369" spans="1:7" ht="14.5">
      <c r="A369" s="300" t="s">
        <v>926</v>
      </c>
      <c r="B369" s="300" t="s">
        <v>2071</v>
      </c>
      <c r="C369" s="300" t="s">
        <v>2072</v>
      </c>
      <c r="D369" s="300" t="s">
        <v>4864</v>
      </c>
      <c r="E369" s="300" t="s">
        <v>1490</v>
      </c>
      <c r="F369" s="300" t="s">
        <v>4856</v>
      </c>
      <c r="G369" s="300" t="s">
        <v>449</v>
      </c>
    </row>
    <row r="370" spans="1:7" ht="14.5">
      <c r="A370" s="300" t="s">
        <v>926</v>
      </c>
      <c r="B370" s="300" t="s">
        <v>2075</v>
      </c>
      <c r="C370" s="300" t="s">
        <v>2076</v>
      </c>
      <c r="D370" s="300" t="s">
        <v>4865</v>
      </c>
      <c r="E370" s="300" t="s">
        <v>1610</v>
      </c>
      <c r="F370" s="300" t="s">
        <v>4856</v>
      </c>
      <c r="G370" s="300" t="s">
        <v>449</v>
      </c>
    </row>
    <row r="371" spans="1:7" ht="14.5">
      <c r="A371" s="300" t="s">
        <v>926</v>
      </c>
      <c r="B371" s="300" t="s">
        <v>2079</v>
      </c>
      <c r="C371" s="300" t="s">
        <v>2080</v>
      </c>
      <c r="D371" s="300" t="s">
        <v>4864</v>
      </c>
      <c r="E371" s="300" t="s">
        <v>1490</v>
      </c>
      <c r="F371" s="300" t="s">
        <v>4856</v>
      </c>
      <c r="G371" s="300" t="s">
        <v>449</v>
      </c>
    </row>
    <row r="372" spans="1:7" ht="14.5">
      <c r="A372" s="300" t="s">
        <v>926</v>
      </c>
      <c r="B372" s="300" t="s">
        <v>2082</v>
      </c>
      <c r="C372" s="300" t="s">
        <v>2083</v>
      </c>
      <c r="D372" s="300" t="s">
        <v>4864</v>
      </c>
      <c r="E372" s="300" t="s">
        <v>1490</v>
      </c>
      <c r="F372" s="300" t="s">
        <v>4856</v>
      </c>
      <c r="G372" s="300" t="s">
        <v>449</v>
      </c>
    </row>
    <row r="373" spans="1:7" ht="14.5">
      <c r="A373" s="300" t="s">
        <v>926</v>
      </c>
      <c r="B373" s="300" t="s">
        <v>2086</v>
      </c>
      <c r="C373" s="300" t="s">
        <v>2087</v>
      </c>
      <c r="D373" s="300" t="s">
        <v>4864</v>
      </c>
      <c r="E373" s="300" t="s">
        <v>1490</v>
      </c>
      <c r="F373" s="300" t="s">
        <v>4856</v>
      </c>
      <c r="G373" s="300" t="s">
        <v>449</v>
      </c>
    </row>
    <row r="374" spans="1:7" ht="14.5">
      <c r="A374" s="300" t="s">
        <v>926</v>
      </c>
      <c r="B374" s="300" t="s">
        <v>2090</v>
      </c>
      <c r="C374" s="300" t="s">
        <v>2091</v>
      </c>
      <c r="D374" s="300" t="s">
        <v>4864</v>
      </c>
      <c r="E374" s="300" t="s">
        <v>1490</v>
      </c>
      <c r="F374" s="300" t="s">
        <v>4856</v>
      </c>
      <c r="G374" s="300" t="s">
        <v>449</v>
      </c>
    </row>
    <row r="375" spans="1:7" ht="14.5">
      <c r="A375" s="300" t="s">
        <v>926</v>
      </c>
      <c r="B375" s="300" t="s">
        <v>2094</v>
      </c>
      <c r="C375" s="300" t="s">
        <v>2095</v>
      </c>
      <c r="D375" s="300" t="s">
        <v>4862</v>
      </c>
      <c r="E375" s="300" t="s">
        <v>1374</v>
      </c>
      <c r="F375" s="300" t="s">
        <v>4856</v>
      </c>
      <c r="G375" s="300" t="s">
        <v>449</v>
      </c>
    </row>
    <row r="376" spans="1:7" ht="14.5">
      <c r="A376" s="300" t="s">
        <v>926</v>
      </c>
      <c r="B376" s="300" t="s">
        <v>2098</v>
      </c>
      <c r="C376" s="300" t="s">
        <v>2099</v>
      </c>
      <c r="D376" s="300" t="s">
        <v>4864</v>
      </c>
      <c r="E376" s="300" t="s">
        <v>1490</v>
      </c>
      <c r="F376" s="300" t="s">
        <v>4856</v>
      </c>
      <c r="G376" s="300" t="s">
        <v>449</v>
      </c>
    </row>
    <row r="377" spans="1:7" ht="14.5">
      <c r="A377" s="300" t="s">
        <v>926</v>
      </c>
      <c r="B377" s="300" t="s">
        <v>2102</v>
      </c>
      <c r="C377" s="300" t="s">
        <v>2103</v>
      </c>
      <c r="D377" s="300" t="s">
        <v>4864</v>
      </c>
      <c r="E377" s="300" t="s">
        <v>1490</v>
      </c>
      <c r="F377" s="300" t="s">
        <v>4856</v>
      </c>
      <c r="G377" s="300" t="s">
        <v>449</v>
      </c>
    </row>
    <row r="378" spans="1:7" ht="14.5">
      <c r="A378" s="300" t="s">
        <v>926</v>
      </c>
      <c r="B378" s="300" t="s">
        <v>2106</v>
      </c>
      <c r="C378" s="300" t="s">
        <v>2107</v>
      </c>
      <c r="D378" s="300" t="s">
        <v>4864</v>
      </c>
      <c r="E378" s="300" t="s">
        <v>1490</v>
      </c>
      <c r="F378" s="300" t="s">
        <v>4856</v>
      </c>
      <c r="G378" s="300" t="s">
        <v>449</v>
      </c>
    </row>
    <row r="379" spans="1:7" ht="14.5">
      <c r="A379" s="300" t="s">
        <v>926</v>
      </c>
      <c r="B379" s="300" t="s">
        <v>2110</v>
      </c>
      <c r="C379" s="300" t="s">
        <v>2111</v>
      </c>
      <c r="D379" s="300" t="s">
        <v>4864</v>
      </c>
      <c r="E379" s="300" t="s">
        <v>1490</v>
      </c>
      <c r="F379" s="300" t="s">
        <v>4856</v>
      </c>
      <c r="G379" s="300" t="s">
        <v>449</v>
      </c>
    </row>
    <row r="380" spans="1:7" ht="14.5">
      <c r="A380" s="300" t="s">
        <v>926</v>
      </c>
      <c r="B380" s="300" t="s">
        <v>2112</v>
      </c>
      <c r="C380" s="300" t="s">
        <v>2113</v>
      </c>
      <c r="D380" s="300" t="s">
        <v>4864</v>
      </c>
      <c r="E380" s="300" t="s">
        <v>1490</v>
      </c>
      <c r="F380" s="300" t="s">
        <v>4856</v>
      </c>
      <c r="G380" s="300" t="s">
        <v>449</v>
      </c>
    </row>
    <row r="381" spans="1:7" ht="14.5">
      <c r="A381" s="300" t="s">
        <v>926</v>
      </c>
      <c r="B381" s="300" t="s">
        <v>2115</v>
      </c>
      <c r="C381" s="300" t="s">
        <v>2116</v>
      </c>
      <c r="D381" s="300" t="s">
        <v>4864</v>
      </c>
      <c r="E381" s="300" t="s">
        <v>1490</v>
      </c>
      <c r="F381" s="300" t="s">
        <v>4856</v>
      </c>
      <c r="G381" s="300" t="s">
        <v>449</v>
      </c>
    </row>
    <row r="382" spans="1:7" ht="14.5">
      <c r="A382" s="300" t="s">
        <v>926</v>
      </c>
      <c r="B382" s="300" t="s">
        <v>2119</v>
      </c>
      <c r="C382" s="300" t="s">
        <v>2120</v>
      </c>
      <c r="D382" s="300" t="s">
        <v>4864</v>
      </c>
      <c r="E382" s="300" t="s">
        <v>1490</v>
      </c>
      <c r="F382" s="300" t="s">
        <v>4856</v>
      </c>
      <c r="G382" s="300" t="s">
        <v>449</v>
      </c>
    </row>
    <row r="383" spans="1:7" ht="14.5">
      <c r="A383" s="300" t="s">
        <v>926</v>
      </c>
      <c r="B383" s="300" t="s">
        <v>2121</v>
      </c>
      <c r="C383" s="300" t="s">
        <v>2122</v>
      </c>
      <c r="D383" s="300" t="s">
        <v>4864</v>
      </c>
      <c r="E383" s="300" t="s">
        <v>1490</v>
      </c>
      <c r="F383" s="300" t="s">
        <v>4856</v>
      </c>
      <c r="G383" s="300" t="s">
        <v>449</v>
      </c>
    </row>
    <row r="384" spans="1:7" ht="14.5">
      <c r="A384" s="300" t="s">
        <v>926</v>
      </c>
      <c r="B384" s="300" t="s">
        <v>2125</v>
      </c>
      <c r="C384" s="300" t="s">
        <v>2126</v>
      </c>
      <c r="D384" s="300" t="s">
        <v>4864</v>
      </c>
      <c r="E384" s="300" t="s">
        <v>1490</v>
      </c>
      <c r="F384" s="300" t="s">
        <v>4856</v>
      </c>
      <c r="G384" s="300" t="s">
        <v>449</v>
      </c>
    </row>
    <row r="385" spans="1:7" ht="14.5">
      <c r="A385" s="300" t="s">
        <v>926</v>
      </c>
      <c r="B385" s="300" t="s">
        <v>2129</v>
      </c>
      <c r="C385" s="300" t="s">
        <v>2130</v>
      </c>
      <c r="D385" s="300" t="s">
        <v>4864</v>
      </c>
      <c r="E385" s="300" t="s">
        <v>1490</v>
      </c>
      <c r="F385" s="300" t="s">
        <v>4856</v>
      </c>
      <c r="G385" s="300" t="s">
        <v>449</v>
      </c>
    </row>
    <row r="386" spans="1:7" ht="14.5">
      <c r="A386" s="300" t="s">
        <v>926</v>
      </c>
      <c r="B386" s="300" t="s">
        <v>2131</v>
      </c>
      <c r="C386" s="300" t="s">
        <v>2132</v>
      </c>
      <c r="D386" s="300" t="s">
        <v>4864</v>
      </c>
      <c r="E386" s="300" t="s">
        <v>1490</v>
      </c>
      <c r="F386" s="300" t="s">
        <v>4856</v>
      </c>
      <c r="G386" s="300" t="s">
        <v>449</v>
      </c>
    </row>
    <row r="387" spans="1:7" ht="14.5">
      <c r="A387" s="300" t="s">
        <v>926</v>
      </c>
      <c r="B387" s="300" t="s">
        <v>2134</v>
      </c>
      <c r="C387" s="300" t="s">
        <v>2135</v>
      </c>
      <c r="D387" s="300" t="s">
        <v>4864</v>
      </c>
      <c r="E387" s="300" t="s">
        <v>1490</v>
      </c>
      <c r="F387" s="300" t="s">
        <v>4856</v>
      </c>
      <c r="G387" s="300" t="s">
        <v>449</v>
      </c>
    </row>
    <row r="388" spans="1:7" ht="14.5">
      <c r="A388" s="300" t="s">
        <v>926</v>
      </c>
      <c r="B388" s="300" t="s">
        <v>2137</v>
      </c>
      <c r="C388" s="300" t="s">
        <v>2138</v>
      </c>
      <c r="D388" s="300" t="s">
        <v>4864</v>
      </c>
      <c r="E388" s="300" t="s">
        <v>1490</v>
      </c>
      <c r="F388" s="300" t="s">
        <v>4856</v>
      </c>
      <c r="G388" s="300" t="s">
        <v>449</v>
      </c>
    </row>
    <row r="389" spans="1:7" ht="14.5">
      <c r="A389" s="300" t="s">
        <v>926</v>
      </c>
      <c r="B389" s="300" t="s">
        <v>2141</v>
      </c>
      <c r="C389" s="300" t="s">
        <v>2142</v>
      </c>
      <c r="D389" s="300" t="s">
        <v>4864</v>
      </c>
      <c r="E389" s="300" t="s">
        <v>1490</v>
      </c>
      <c r="F389" s="300" t="s">
        <v>4856</v>
      </c>
      <c r="G389" s="300" t="s">
        <v>449</v>
      </c>
    </row>
    <row r="390" spans="1:7" ht="14.5">
      <c r="A390" s="300" t="s">
        <v>926</v>
      </c>
      <c r="B390" s="300" t="s">
        <v>2143</v>
      </c>
      <c r="C390" s="300" t="s">
        <v>2144</v>
      </c>
      <c r="D390" s="300" t="s">
        <v>4864</v>
      </c>
      <c r="E390" s="300" t="s">
        <v>1490</v>
      </c>
      <c r="F390" s="300" t="s">
        <v>4856</v>
      </c>
      <c r="G390" s="300" t="s">
        <v>449</v>
      </c>
    </row>
    <row r="391" spans="1:7" ht="14.5">
      <c r="A391" s="300" t="s">
        <v>926</v>
      </c>
      <c r="B391" s="300" t="s">
        <v>2147</v>
      </c>
      <c r="C391" s="300" t="s">
        <v>2148</v>
      </c>
      <c r="D391" s="300" t="s">
        <v>4864</v>
      </c>
      <c r="E391" s="300" t="s">
        <v>1490</v>
      </c>
      <c r="F391" s="300" t="s">
        <v>4856</v>
      </c>
      <c r="G391" s="300" t="s">
        <v>449</v>
      </c>
    </row>
    <row r="392" spans="1:7" ht="14.5">
      <c r="A392" s="300" t="s">
        <v>926</v>
      </c>
      <c r="B392" s="300" t="s">
        <v>2150</v>
      </c>
      <c r="C392" s="300" t="s">
        <v>2151</v>
      </c>
      <c r="D392" s="300" t="s">
        <v>4864</v>
      </c>
      <c r="E392" s="300" t="s">
        <v>1490</v>
      </c>
      <c r="F392" s="300" t="s">
        <v>4856</v>
      </c>
      <c r="G392" s="300" t="s">
        <v>449</v>
      </c>
    </row>
    <row r="393" spans="1:7" ht="14.5">
      <c r="A393" s="300" t="s">
        <v>926</v>
      </c>
      <c r="B393" s="300" t="s">
        <v>2154</v>
      </c>
      <c r="C393" s="300" t="s">
        <v>2155</v>
      </c>
      <c r="D393" s="300" t="s">
        <v>4864</v>
      </c>
      <c r="E393" s="300" t="s">
        <v>1490</v>
      </c>
      <c r="F393" s="300" t="s">
        <v>4856</v>
      </c>
      <c r="G393" s="300" t="s">
        <v>449</v>
      </c>
    </row>
    <row r="394" spans="1:7" ht="14.5">
      <c r="A394" s="300" t="s">
        <v>926</v>
      </c>
      <c r="B394" s="300" t="s">
        <v>2156</v>
      </c>
      <c r="C394" s="300" t="s">
        <v>2157</v>
      </c>
      <c r="D394" s="300" t="s">
        <v>4864</v>
      </c>
      <c r="E394" s="300" t="s">
        <v>1490</v>
      </c>
      <c r="F394" s="300" t="s">
        <v>4856</v>
      </c>
      <c r="G394" s="300" t="s">
        <v>449</v>
      </c>
    </row>
    <row r="395" spans="1:7" ht="14.5">
      <c r="A395" s="300" t="s">
        <v>926</v>
      </c>
      <c r="B395" s="300" t="s">
        <v>2160</v>
      </c>
      <c r="C395" s="300" t="s">
        <v>2161</v>
      </c>
      <c r="D395" s="300" t="s">
        <v>4864</v>
      </c>
      <c r="E395" s="300" t="s">
        <v>1490</v>
      </c>
      <c r="F395" s="300" t="s">
        <v>4856</v>
      </c>
      <c r="G395" s="300" t="s">
        <v>449</v>
      </c>
    </row>
    <row r="396" spans="1:7" ht="14.5">
      <c r="A396" s="300" t="s">
        <v>926</v>
      </c>
      <c r="B396" s="300" t="s">
        <v>2162</v>
      </c>
      <c r="C396" s="300" t="s">
        <v>2163</v>
      </c>
      <c r="D396" s="300" t="s">
        <v>4864</v>
      </c>
      <c r="E396" s="300" t="s">
        <v>1490</v>
      </c>
      <c r="F396" s="300" t="s">
        <v>4856</v>
      </c>
      <c r="G396" s="300" t="s">
        <v>449</v>
      </c>
    </row>
    <row r="397" spans="1:7" ht="14.5">
      <c r="A397" s="300" t="s">
        <v>926</v>
      </c>
      <c r="B397" s="300" t="s">
        <v>2166</v>
      </c>
      <c r="C397" s="300" t="s">
        <v>2167</v>
      </c>
      <c r="D397" s="300" t="s">
        <v>4864</v>
      </c>
      <c r="E397" s="300" t="s">
        <v>1490</v>
      </c>
      <c r="F397" s="300" t="s">
        <v>4856</v>
      </c>
      <c r="G397" s="300" t="s">
        <v>449</v>
      </c>
    </row>
    <row r="398" spans="1:7" ht="14.5">
      <c r="A398" s="300" t="s">
        <v>926</v>
      </c>
      <c r="B398" s="300" t="s">
        <v>2168</v>
      </c>
      <c r="C398" s="300" t="s">
        <v>2169</v>
      </c>
      <c r="D398" s="300" t="s">
        <v>4864</v>
      </c>
      <c r="E398" s="300" t="s">
        <v>1490</v>
      </c>
      <c r="F398" s="300" t="s">
        <v>4856</v>
      </c>
      <c r="G398" s="300" t="s">
        <v>449</v>
      </c>
    </row>
    <row r="399" spans="1:7" ht="14.5">
      <c r="A399" s="300" t="s">
        <v>926</v>
      </c>
      <c r="B399" s="300" t="s">
        <v>2171</v>
      </c>
      <c r="C399" s="300" t="s">
        <v>2172</v>
      </c>
      <c r="D399" s="300" t="s">
        <v>4864</v>
      </c>
      <c r="E399" s="300" t="s">
        <v>1490</v>
      </c>
      <c r="F399" s="300" t="s">
        <v>4856</v>
      </c>
      <c r="G399" s="300" t="s">
        <v>449</v>
      </c>
    </row>
    <row r="400" spans="1:7" ht="14.5">
      <c r="A400" s="300" t="s">
        <v>926</v>
      </c>
      <c r="B400" s="300" t="s">
        <v>2175</v>
      </c>
      <c r="C400" s="300" t="s">
        <v>2176</v>
      </c>
      <c r="D400" s="300" t="s">
        <v>4864</v>
      </c>
      <c r="E400" s="300" t="s">
        <v>1490</v>
      </c>
      <c r="F400" s="300" t="s">
        <v>4856</v>
      </c>
      <c r="G400" s="300" t="s">
        <v>449</v>
      </c>
    </row>
    <row r="401" spans="1:7" ht="14.5">
      <c r="A401" s="300" t="s">
        <v>926</v>
      </c>
      <c r="B401" s="300" t="s">
        <v>2179</v>
      </c>
      <c r="C401" s="300" t="s">
        <v>2180</v>
      </c>
      <c r="D401" s="300" t="s">
        <v>4864</v>
      </c>
      <c r="E401" s="300" t="s">
        <v>1490</v>
      </c>
      <c r="F401" s="300" t="s">
        <v>4856</v>
      </c>
      <c r="G401" s="300" t="s">
        <v>449</v>
      </c>
    </row>
    <row r="402" spans="1:7" ht="14.5">
      <c r="A402" s="300" t="s">
        <v>926</v>
      </c>
      <c r="B402" s="300" t="s">
        <v>2183</v>
      </c>
      <c r="C402" s="300" t="s">
        <v>2184</v>
      </c>
      <c r="D402" s="300" t="s">
        <v>4864</v>
      </c>
      <c r="E402" s="300" t="s">
        <v>1490</v>
      </c>
      <c r="F402" s="300" t="s">
        <v>4856</v>
      </c>
      <c r="G402" s="300" t="s">
        <v>449</v>
      </c>
    </row>
    <row r="403" spans="1:7" ht="14.5">
      <c r="A403" s="300" t="s">
        <v>926</v>
      </c>
      <c r="B403" s="300" t="s">
        <v>2187</v>
      </c>
      <c r="C403" s="300" t="s">
        <v>2188</v>
      </c>
      <c r="D403" s="300" t="s">
        <v>4864</v>
      </c>
      <c r="E403" s="300" t="s">
        <v>1490</v>
      </c>
      <c r="F403" s="300" t="s">
        <v>4856</v>
      </c>
      <c r="G403" s="300" t="s">
        <v>449</v>
      </c>
    </row>
    <row r="404" spans="1:7" ht="14.5">
      <c r="A404" s="300" t="s">
        <v>926</v>
      </c>
      <c r="B404" s="300" t="s">
        <v>2191</v>
      </c>
      <c r="C404" s="300" t="s">
        <v>2192</v>
      </c>
      <c r="D404" s="300" t="s">
        <v>4864</v>
      </c>
      <c r="E404" s="300" t="s">
        <v>1490</v>
      </c>
      <c r="F404" s="300" t="s">
        <v>4856</v>
      </c>
      <c r="G404" s="300" t="s">
        <v>449</v>
      </c>
    </row>
    <row r="405" spans="1:7" ht="14.5">
      <c r="A405" s="300" t="s">
        <v>926</v>
      </c>
      <c r="B405" s="300" t="s">
        <v>2193</v>
      </c>
      <c r="C405" s="300" t="s">
        <v>2194</v>
      </c>
      <c r="D405" s="300" t="s">
        <v>4864</v>
      </c>
      <c r="E405" s="300" t="s">
        <v>1490</v>
      </c>
      <c r="F405" s="300" t="s">
        <v>4856</v>
      </c>
      <c r="G405" s="300" t="s">
        <v>449</v>
      </c>
    </row>
    <row r="406" spans="1:7" ht="14.5">
      <c r="A406" s="300" t="s">
        <v>926</v>
      </c>
      <c r="B406" s="300" t="s">
        <v>2197</v>
      </c>
      <c r="C406" s="300" t="s">
        <v>2198</v>
      </c>
      <c r="D406" s="300" t="s">
        <v>4864</v>
      </c>
      <c r="E406" s="300" t="s">
        <v>1490</v>
      </c>
      <c r="F406" s="300" t="s">
        <v>4856</v>
      </c>
      <c r="G406" s="300" t="s">
        <v>449</v>
      </c>
    </row>
    <row r="407" spans="1:7" ht="14.5">
      <c r="A407" s="300" t="s">
        <v>926</v>
      </c>
      <c r="B407" s="300" t="s">
        <v>2201</v>
      </c>
      <c r="C407" s="300" t="s">
        <v>2202</v>
      </c>
      <c r="D407" s="300" t="s">
        <v>4864</v>
      </c>
      <c r="E407" s="300" t="s">
        <v>1490</v>
      </c>
      <c r="F407" s="300" t="s">
        <v>4856</v>
      </c>
      <c r="G407" s="300" t="s">
        <v>449</v>
      </c>
    </row>
    <row r="408" spans="1:7" ht="14.5">
      <c r="A408" s="300" t="s">
        <v>926</v>
      </c>
      <c r="B408" s="300" t="s">
        <v>2205</v>
      </c>
      <c r="C408" s="300" t="s">
        <v>2206</v>
      </c>
      <c r="D408" s="300" t="s">
        <v>4864</v>
      </c>
      <c r="E408" s="300" t="s">
        <v>1490</v>
      </c>
      <c r="F408" s="300" t="s">
        <v>4856</v>
      </c>
      <c r="G408" s="300" t="s">
        <v>449</v>
      </c>
    </row>
    <row r="409" spans="1:7" ht="14.5">
      <c r="A409" s="300" t="s">
        <v>926</v>
      </c>
      <c r="B409" s="300" t="s">
        <v>2207</v>
      </c>
      <c r="C409" s="300" t="s">
        <v>2208</v>
      </c>
      <c r="D409" s="300" t="s">
        <v>4864</v>
      </c>
      <c r="E409" s="300" t="s">
        <v>1490</v>
      </c>
      <c r="F409" s="300" t="s">
        <v>4856</v>
      </c>
      <c r="G409" s="300" t="s">
        <v>449</v>
      </c>
    </row>
    <row r="410" spans="1:7" ht="14.5">
      <c r="A410" s="300" t="s">
        <v>926</v>
      </c>
      <c r="B410" s="300" t="s">
        <v>2210</v>
      </c>
      <c r="C410" s="300" t="s">
        <v>2211</v>
      </c>
      <c r="D410" s="300" t="s">
        <v>4864</v>
      </c>
      <c r="E410" s="300" t="s">
        <v>1490</v>
      </c>
      <c r="F410" s="300" t="s">
        <v>4856</v>
      </c>
      <c r="G410" s="300" t="s">
        <v>449</v>
      </c>
    </row>
    <row r="411" spans="1:7" ht="14.5">
      <c r="A411" s="300" t="s">
        <v>926</v>
      </c>
      <c r="B411" s="300" t="s">
        <v>2214</v>
      </c>
      <c r="C411" s="300" t="s">
        <v>2215</v>
      </c>
      <c r="D411" s="300" t="s">
        <v>4864</v>
      </c>
      <c r="E411" s="300" t="s">
        <v>1490</v>
      </c>
      <c r="F411" s="300" t="s">
        <v>4856</v>
      </c>
      <c r="G411" s="300" t="s">
        <v>449</v>
      </c>
    </row>
    <row r="412" spans="1:7" ht="14.5">
      <c r="A412" s="300" t="s">
        <v>926</v>
      </c>
      <c r="B412" s="300" t="s">
        <v>2216</v>
      </c>
      <c r="C412" s="300" t="s">
        <v>2217</v>
      </c>
      <c r="D412" s="300" t="s">
        <v>4864</v>
      </c>
      <c r="E412" s="300" t="s">
        <v>1490</v>
      </c>
      <c r="F412" s="300" t="s">
        <v>4856</v>
      </c>
      <c r="G412" s="300" t="s">
        <v>449</v>
      </c>
    </row>
    <row r="413" spans="1:7" ht="14.5">
      <c r="A413" s="300" t="s">
        <v>926</v>
      </c>
      <c r="B413" s="300" t="s">
        <v>2218</v>
      </c>
      <c r="C413" s="300" t="s">
        <v>2219</v>
      </c>
      <c r="D413" s="300" t="s">
        <v>4864</v>
      </c>
      <c r="E413" s="300" t="s">
        <v>1490</v>
      </c>
      <c r="F413" s="300" t="s">
        <v>4856</v>
      </c>
      <c r="G413" s="300" t="s">
        <v>449</v>
      </c>
    </row>
    <row r="414" spans="1:7" ht="14.5">
      <c r="A414" s="300" t="s">
        <v>926</v>
      </c>
      <c r="B414" s="300" t="s">
        <v>2222</v>
      </c>
      <c r="C414" s="300" t="s">
        <v>2223</v>
      </c>
      <c r="D414" s="300" t="s">
        <v>4864</v>
      </c>
      <c r="E414" s="300" t="s">
        <v>1490</v>
      </c>
      <c r="F414" s="300" t="s">
        <v>4856</v>
      </c>
      <c r="G414" s="300" t="s">
        <v>449</v>
      </c>
    </row>
    <row r="415" spans="1:7" ht="14.5">
      <c r="A415" s="300" t="s">
        <v>926</v>
      </c>
      <c r="B415" s="300" t="s">
        <v>2224</v>
      </c>
      <c r="C415" s="300" t="s">
        <v>2225</v>
      </c>
      <c r="D415" s="300" t="s">
        <v>4867</v>
      </c>
      <c r="E415" s="300" t="s">
        <v>1763</v>
      </c>
      <c r="F415" s="300" t="s">
        <v>4856</v>
      </c>
      <c r="G415" s="300" t="s">
        <v>449</v>
      </c>
    </row>
    <row r="416" spans="1:7" ht="14.5">
      <c r="A416" s="300" t="s">
        <v>926</v>
      </c>
      <c r="B416" s="300" t="s">
        <v>2227</v>
      </c>
      <c r="C416" s="300" t="s">
        <v>2228</v>
      </c>
      <c r="D416" s="300" t="s">
        <v>4867</v>
      </c>
      <c r="E416" s="300" t="s">
        <v>1763</v>
      </c>
      <c r="F416" s="300" t="s">
        <v>4856</v>
      </c>
      <c r="G416" s="300" t="s">
        <v>449</v>
      </c>
    </row>
    <row r="417" spans="1:7" ht="14.5">
      <c r="A417" s="300" t="s">
        <v>926</v>
      </c>
      <c r="B417" s="300" t="s">
        <v>2230</v>
      </c>
      <c r="C417" s="300" t="s">
        <v>2231</v>
      </c>
      <c r="D417" s="300" t="s">
        <v>4867</v>
      </c>
      <c r="E417" s="300" t="s">
        <v>1763</v>
      </c>
      <c r="F417" s="300" t="s">
        <v>4856</v>
      </c>
      <c r="G417" s="300" t="s">
        <v>449</v>
      </c>
    </row>
    <row r="418" spans="1:7" ht="14.5">
      <c r="A418" s="300" t="s">
        <v>926</v>
      </c>
      <c r="B418" s="300" t="s">
        <v>2234</v>
      </c>
      <c r="C418" s="300" t="s">
        <v>2235</v>
      </c>
      <c r="D418" s="300" t="s">
        <v>4867</v>
      </c>
      <c r="E418" s="300" t="s">
        <v>1763</v>
      </c>
      <c r="F418" s="300" t="s">
        <v>4856</v>
      </c>
      <c r="G418" s="300" t="s">
        <v>449</v>
      </c>
    </row>
    <row r="419" spans="1:7" ht="14.5">
      <c r="A419" s="300" t="s">
        <v>926</v>
      </c>
      <c r="B419" s="300" t="s">
        <v>2238</v>
      </c>
      <c r="C419" s="300" t="s">
        <v>2239</v>
      </c>
      <c r="D419" s="300" t="s">
        <v>4867</v>
      </c>
      <c r="E419" s="300" t="s">
        <v>1763</v>
      </c>
      <c r="F419" s="300" t="s">
        <v>4856</v>
      </c>
      <c r="G419" s="300" t="s">
        <v>449</v>
      </c>
    </row>
    <row r="420" spans="1:7" ht="14.5">
      <c r="A420" s="300" t="s">
        <v>926</v>
      </c>
      <c r="B420" s="300" t="s">
        <v>2241</v>
      </c>
      <c r="C420" s="300" t="s">
        <v>2242</v>
      </c>
      <c r="D420" s="300" t="s">
        <v>4867</v>
      </c>
      <c r="E420" s="300" t="s">
        <v>1763</v>
      </c>
      <c r="F420" s="300" t="s">
        <v>4856</v>
      </c>
      <c r="G420" s="300" t="s">
        <v>449</v>
      </c>
    </row>
    <row r="421" spans="1:7" ht="14.5">
      <c r="A421" s="300" t="s">
        <v>926</v>
      </c>
      <c r="B421" s="300" t="s">
        <v>2245</v>
      </c>
      <c r="C421" s="300" t="s">
        <v>2246</v>
      </c>
      <c r="D421" s="300" t="s">
        <v>4867</v>
      </c>
      <c r="E421" s="300" t="s">
        <v>1763</v>
      </c>
      <c r="F421" s="300" t="s">
        <v>4856</v>
      </c>
      <c r="G421" s="300" t="s">
        <v>449</v>
      </c>
    </row>
    <row r="422" spans="1:7" ht="14.5">
      <c r="A422" s="300" t="s">
        <v>926</v>
      </c>
      <c r="B422" s="300" t="s">
        <v>2248</v>
      </c>
      <c r="C422" s="300" t="s">
        <v>2249</v>
      </c>
      <c r="D422" s="300" t="s">
        <v>4867</v>
      </c>
      <c r="E422" s="300" t="s">
        <v>1763</v>
      </c>
      <c r="F422" s="300" t="s">
        <v>4856</v>
      </c>
      <c r="G422" s="300" t="s">
        <v>449</v>
      </c>
    </row>
    <row r="423" spans="1:7" ht="14.5">
      <c r="A423" s="300" t="s">
        <v>926</v>
      </c>
      <c r="B423" s="300" t="s">
        <v>2252</v>
      </c>
      <c r="C423" s="300" t="s">
        <v>2253</v>
      </c>
      <c r="D423" s="300" t="s">
        <v>4867</v>
      </c>
      <c r="E423" s="300" t="s">
        <v>1763</v>
      </c>
      <c r="F423" s="300" t="s">
        <v>4856</v>
      </c>
      <c r="G423" s="300" t="s">
        <v>449</v>
      </c>
    </row>
    <row r="424" spans="1:7" ht="14.5">
      <c r="A424" s="300" t="s">
        <v>926</v>
      </c>
      <c r="B424" s="300" t="s">
        <v>2254</v>
      </c>
      <c r="C424" s="300" t="s">
        <v>2255</v>
      </c>
      <c r="D424" s="300" t="s">
        <v>4867</v>
      </c>
      <c r="E424" s="300" t="s">
        <v>1763</v>
      </c>
      <c r="F424" s="300" t="s">
        <v>4856</v>
      </c>
      <c r="G424" s="300" t="s">
        <v>449</v>
      </c>
    </row>
    <row r="425" spans="1:7" ht="14.5">
      <c r="A425" s="300" t="s">
        <v>926</v>
      </c>
      <c r="B425" s="300" t="s">
        <v>2258</v>
      </c>
      <c r="C425" s="300" t="s">
        <v>2259</v>
      </c>
      <c r="D425" s="300" t="s">
        <v>4867</v>
      </c>
      <c r="E425" s="300" t="s">
        <v>1763</v>
      </c>
      <c r="F425" s="300" t="s">
        <v>4856</v>
      </c>
      <c r="G425" s="300" t="s">
        <v>449</v>
      </c>
    </row>
    <row r="426" spans="1:7" ht="14.5">
      <c r="A426" s="300" t="s">
        <v>926</v>
      </c>
      <c r="B426" s="300" t="s">
        <v>2262</v>
      </c>
      <c r="C426" s="300" t="s">
        <v>2263</v>
      </c>
      <c r="D426" s="300" t="s">
        <v>4867</v>
      </c>
      <c r="E426" s="300" t="s">
        <v>1763</v>
      </c>
      <c r="F426" s="300" t="s">
        <v>4856</v>
      </c>
      <c r="G426" s="300" t="s">
        <v>449</v>
      </c>
    </row>
    <row r="427" spans="1:7" ht="14.5">
      <c r="A427" s="300" t="s">
        <v>926</v>
      </c>
      <c r="B427" s="300" t="s">
        <v>2264</v>
      </c>
      <c r="C427" s="300" t="s">
        <v>2265</v>
      </c>
      <c r="D427" s="300" t="s">
        <v>4867</v>
      </c>
      <c r="E427" s="300" t="s">
        <v>1763</v>
      </c>
      <c r="F427" s="300" t="s">
        <v>4856</v>
      </c>
      <c r="G427" s="300" t="s">
        <v>449</v>
      </c>
    </row>
    <row r="428" spans="1:7" ht="14.5">
      <c r="A428" s="300" t="s">
        <v>926</v>
      </c>
      <c r="B428" s="300" t="s">
        <v>2266</v>
      </c>
      <c r="C428" s="300" t="s">
        <v>2267</v>
      </c>
      <c r="D428" s="300" t="s">
        <v>4867</v>
      </c>
      <c r="E428" s="300" t="s">
        <v>1763</v>
      </c>
      <c r="F428" s="300" t="s">
        <v>4856</v>
      </c>
      <c r="G428" s="300" t="s">
        <v>449</v>
      </c>
    </row>
    <row r="429" spans="1:7" ht="14.5">
      <c r="A429" s="300" t="s">
        <v>926</v>
      </c>
      <c r="B429" s="300" t="s">
        <v>2270</v>
      </c>
      <c r="C429" s="300" t="s">
        <v>2271</v>
      </c>
      <c r="D429" s="300" t="s">
        <v>4867</v>
      </c>
      <c r="E429" s="300" t="s">
        <v>1763</v>
      </c>
      <c r="F429" s="300" t="s">
        <v>4856</v>
      </c>
      <c r="G429" s="300" t="s">
        <v>449</v>
      </c>
    </row>
    <row r="430" spans="1:7" ht="14.5">
      <c r="A430" s="300" t="s">
        <v>926</v>
      </c>
      <c r="B430" s="300" t="s">
        <v>2273</v>
      </c>
      <c r="C430" s="300" t="s">
        <v>2274</v>
      </c>
      <c r="D430" s="300" t="s">
        <v>4867</v>
      </c>
      <c r="E430" s="300" t="s">
        <v>1763</v>
      </c>
      <c r="F430" s="300" t="s">
        <v>4856</v>
      </c>
      <c r="G430" s="300" t="s">
        <v>449</v>
      </c>
    </row>
    <row r="431" spans="1:7" ht="14.5">
      <c r="A431" s="300" t="s">
        <v>926</v>
      </c>
      <c r="B431" s="300" t="s">
        <v>2277</v>
      </c>
      <c r="C431" s="300" t="s">
        <v>2278</v>
      </c>
      <c r="D431" s="300" t="s">
        <v>4867</v>
      </c>
      <c r="E431" s="300" t="s">
        <v>1763</v>
      </c>
      <c r="F431" s="300" t="s">
        <v>4856</v>
      </c>
      <c r="G431" s="300" t="s">
        <v>449</v>
      </c>
    </row>
    <row r="432" spans="1:7" ht="14.5">
      <c r="A432" s="300" t="s">
        <v>926</v>
      </c>
      <c r="B432" s="300" t="s">
        <v>2281</v>
      </c>
      <c r="C432" s="300" t="s">
        <v>2282</v>
      </c>
      <c r="D432" s="300" t="s">
        <v>4867</v>
      </c>
      <c r="E432" s="300" t="s">
        <v>1763</v>
      </c>
      <c r="F432" s="300" t="s">
        <v>4856</v>
      </c>
      <c r="G432" s="300" t="s">
        <v>449</v>
      </c>
    </row>
    <row r="433" spans="1:7" ht="14.5">
      <c r="A433" s="300" t="s">
        <v>926</v>
      </c>
      <c r="B433" s="300" t="s">
        <v>2283</v>
      </c>
      <c r="C433" s="300" t="s">
        <v>2284</v>
      </c>
      <c r="D433" s="300" t="s">
        <v>4867</v>
      </c>
      <c r="E433" s="300" t="s">
        <v>1763</v>
      </c>
      <c r="F433" s="300" t="s">
        <v>4856</v>
      </c>
      <c r="G433" s="300" t="s">
        <v>449</v>
      </c>
    </row>
    <row r="434" spans="1:7" ht="14.5">
      <c r="A434" s="300" t="s">
        <v>926</v>
      </c>
      <c r="B434" s="300" t="s">
        <v>2287</v>
      </c>
      <c r="C434" s="300" t="s">
        <v>2288</v>
      </c>
      <c r="D434" s="300" t="s">
        <v>4867</v>
      </c>
      <c r="E434" s="300" t="s">
        <v>1763</v>
      </c>
      <c r="F434" s="300" t="s">
        <v>4856</v>
      </c>
      <c r="G434" s="300" t="s">
        <v>449</v>
      </c>
    </row>
    <row r="435" spans="1:7" ht="14.5">
      <c r="A435" s="300" t="s">
        <v>926</v>
      </c>
      <c r="B435" s="300" t="s">
        <v>2290</v>
      </c>
      <c r="C435" s="300" t="s">
        <v>2291</v>
      </c>
      <c r="D435" s="300" t="s">
        <v>4867</v>
      </c>
      <c r="E435" s="300" t="s">
        <v>1763</v>
      </c>
      <c r="F435" s="300" t="s">
        <v>4856</v>
      </c>
      <c r="G435" s="300" t="s">
        <v>449</v>
      </c>
    </row>
    <row r="436" spans="1:7" ht="14.5">
      <c r="A436" s="300" t="s">
        <v>926</v>
      </c>
      <c r="B436" s="300" t="s">
        <v>2294</v>
      </c>
      <c r="C436" s="300" t="s">
        <v>2295</v>
      </c>
      <c r="D436" s="300" t="s">
        <v>4867</v>
      </c>
      <c r="E436" s="300" t="s">
        <v>1763</v>
      </c>
      <c r="F436" s="300" t="s">
        <v>4856</v>
      </c>
      <c r="G436" s="300" t="s">
        <v>449</v>
      </c>
    </row>
    <row r="437" spans="1:7" ht="14.5">
      <c r="A437" s="300" t="s">
        <v>926</v>
      </c>
      <c r="B437" s="300" t="s">
        <v>2296</v>
      </c>
      <c r="C437" s="300" t="s">
        <v>2297</v>
      </c>
      <c r="D437" s="300" t="s">
        <v>4867</v>
      </c>
      <c r="E437" s="300" t="s">
        <v>1763</v>
      </c>
      <c r="F437" s="300" t="s">
        <v>4856</v>
      </c>
      <c r="G437" s="300" t="s">
        <v>449</v>
      </c>
    </row>
    <row r="438" spans="1:7" ht="14.5">
      <c r="A438" s="300" t="s">
        <v>926</v>
      </c>
      <c r="B438" s="300" t="s">
        <v>2298</v>
      </c>
      <c r="C438" s="300" t="s">
        <v>2299</v>
      </c>
      <c r="D438" s="300" t="s">
        <v>4867</v>
      </c>
      <c r="E438" s="300" t="s">
        <v>1763</v>
      </c>
      <c r="F438" s="300" t="s">
        <v>4856</v>
      </c>
      <c r="G438" s="300" t="s">
        <v>449</v>
      </c>
    </row>
    <row r="439" spans="1:7" ht="14.5">
      <c r="A439" s="300" t="s">
        <v>926</v>
      </c>
      <c r="B439" s="300" t="s">
        <v>2300</v>
      </c>
      <c r="C439" s="300" t="s">
        <v>2301</v>
      </c>
      <c r="D439" s="300" t="s">
        <v>4867</v>
      </c>
      <c r="E439" s="300" t="s">
        <v>1763</v>
      </c>
      <c r="F439" s="300" t="s">
        <v>4856</v>
      </c>
      <c r="G439" s="300" t="s">
        <v>449</v>
      </c>
    </row>
    <row r="440" spans="1:7" ht="14.5">
      <c r="A440" s="300" t="s">
        <v>926</v>
      </c>
      <c r="B440" s="300" t="s">
        <v>2304</v>
      </c>
      <c r="C440" s="300" t="s">
        <v>2305</v>
      </c>
      <c r="D440" s="300" t="s">
        <v>4867</v>
      </c>
      <c r="E440" s="300" t="s">
        <v>1763</v>
      </c>
      <c r="F440" s="300" t="s">
        <v>4856</v>
      </c>
      <c r="G440" s="300" t="s">
        <v>449</v>
      </c>
    </row>
    <row r="441" spans="1:7" ht="14.5">
      <c r="A441" s="300" t="s">
        <v>926</v>
      </c>
      <c r="B441" s="300" t="s">
        <v>2306</v>
      </c>
      <c r="C441" s="300" t="s">
        <v>2307</v>
      </c>
      <c r="D441" s="300" t="s">
        <v>4867</v>
      </c>
      <c r="E441" s="300" t="s">
        <v>1763</v>
      </c>
      <c r="F441" s="300" t="s">
        <v>4856</v>
      </c>
      <c r="G441" s="300" t="s">
        <v>449</v>
      </c>
    </row>
    <row r="442" spans="1:7" ht="14.5">
      <c r="A442" s="300" t="s">
        <v>926</v>
      </c>
      <c r="B442" s="300" t="s">
        <v>2308</v>
      </c>
      <c r="C442" s="300" t="s">
        <v>2309</v>
      </c>
      <c r="D442" s="300" t="s">
        <v>4862</v>
      </c>
      <c r="E442" s="300" t="s">
        <v>1374</v>
      </c>
      <c r="F442" s="300" t="s">
        <v>4856</v>
      </c>
      <c r="G442" s="300" t="s">
        <v>449</v>
      </c>
    </row>
    <row r="443" spans="1:7" ht="14.5">
      <c r="A443" s="300" t="s">
        <v>926</v>
      </c>
      <c r="B443" s="300" t="s">
        <v>2311</v>
      </c>
      <c r="C443" s="300" t="s">
        <v>2312</v>
      </c>
      <c r="D443" s="300" t="s">
        <v>4862</v>
      </c>
      <c r="E443" s="300" t="s">
        <v>1374</v>
      </c>
      <c r="F443" s="300" t="s">
        <v>4856</v>
      </c>
      <c r="G443" s="300" t="s">
        <v>449</v>
      </c>
    </row>
    <row r="444" spans="1:7" ht="14.5">
      <c r="A444" s="300" t="s">
        <v>926</v>
      </c>
      <c r="B444" s="300" t="s">
        <v>2313</v>
      </c>
      <c r="C444" s="300" t="s">
        <v>2314</v>
      </c>
      <c r="D444" s="300" t="s">
        <v>4862</v>
      </c>
      <c r="E444" s="300" t="s">
        <v>1374</v>
      </c>
      <c r="F444" s="300" t="s">
        <v>4856</v>
      </c>
      <c r="G444" s="300" t="s">
        <v>449</v>
      </c>
    </row>
    <row r="445" spans="1:7" ht="14.5">
      <c r="A445" s="300" t="s">
        <v>926</v>
      </c>
      <c r="B445" s="300" t="s">
        <v>2317</v>
      </c>
      <c r="C445" s="300" t="s">
        <v>2318</v>
      </c>
      <c r="D445" s="300" t="s">
        <v>4862</v>
      </c>
      <c r="E445" s="300" t="s">
        <v>1374</v>
      </c>
      <c r="F445" s="300" t="s">
        <v>4856</v>
      </c>
      <c r="G445" s="300" t="s">
        <v>449</v>
      </c>
    </row>
    <row r="446" spans="1:7" ht="14.5">
      <c r="A446" s="300" t="s">
        <v>926</v>
      </c>
      <c r="B446" s="300" t="s">
        <v>2321</v>
      </c>
      <c r="C446" s="300" t="s">
        <v>2322</v>
      </c>
      <c r="D446" s="300" t="s">
        <v>4862</v>
      </c>
      <c r="E446" s="300" t="s">
        <v>1374</v>
      </c>
      <c r="F446" s="300" t="s">
        <v>4856</v>
      </c>
      <c r="G446" s="300" t="s">
        <v>449</v>
      </c>
    </row>
    <row r="447" spans="1:7" ht="14.5">
      <c r="A447" s="300" t="s">
        <v>926</v>
      </c>
      <c r="B447" s="300" t="s">
        <v>2323</v>
      </c>
      <c r="C447" s="300" t="s">
        <v>2324</v>
      </c>
      <c r="D447" s="300" t="s">
        <v>4862</v>
      </c>
      <c r="E447" s="300" t="s">
        <v>1374</v>
      </c>
      <c r="F447" s="300" t="s">
        <v>4856</v>
      </c>
      <c r="G447" s="300" t="s">
        <v>449</v>
      </c>
    </row>
    <row r="448" spans="1:7" ht="14.5">
      <c r="A448" s="300" t="s">
        <v>926</v>
      </c>
      <c r="B448" s="300" t="s">
        <v>2325</v>
      </c>
      <c r="C448" s="300" t="s">
        <v>2326</v>
      </c>
      <c r="D448" s="300" t="s">
        <v>4862</v>
      </c>
      <c r="E448" s="300" t="s">
        <v>1374</v>
      </c>
      <c r="F448" s="300" t="s">
        <v>4856</v>
      </c>
      <c r="G448" s="300" t="s">
        <v>449</v>
      </c>
    </row>
    <row r="449" spans="1:7" ht="14.5">
      <c r="A449" s="300" t="s">
        <v>926</v>
      </c>
      <c r="B449" s="300" t="s">
        <v>2328</v>
      </c>
      <c r="C449" s="300" t="s">
        <v>2329</v>
      </c>
      <c r="D449" s="300" t="s">
        <v>4862</v>
      </c>
      <c r="E449" s="300" t="s">
        <v>1374</v>
      </c>
      <c r="F449" s="300" t="s">
        <v>4856</v>
      </c>
      <c r="G449" s="300" t="s">
        <v>449</v>
      </c>
    </row>
    <row r="450" spans="1:7" ht="14.5">
      <c r="A450" s="300" t="s">
        <v>926</v>
      </c>
      <c r="B450" s="300" t="s">
        <v>2331</v>
      </c>
      <c r="C450" s="300" t="s">
        <v>2332</v>
      </c>
      <c r="D450" s="300" t="s">
        <v>4862</v>
      </c>
      <c r="E450" s="300" t="s">
        <v>1374</v>
      </c>
      <c r="F450" s="300" t="s">
        <v>4856</v>
      </c>
      <c r="G450" s="300" t="s">
        <v>449</v>
      </c>
    </row>
    <row r="451" spans="1:7" ht="14.5">
      <c r="A451" s="300" t="s">
        <v>926</v>
      </c>
      <c r="B451" s="300" t="s">
        <v>2335</v>
      </c>
      <c r="C451" s="300" t="s">
        <v>2336</v>
      </c>
      <c r="D451" s="300" t="s">
        <v>4862</v>
      </c>
      <c r="E451" s="300" t="s">
        <v>1374</v>
      </c>
      <c r="F451" s="300" t="s">
        <v>4856</v>
      </c>
      <c r="G451" s="300" t="s">
        <v>449</v>
      </c>
    </row>
    <row r="452" spans="1:7" ht="14.5">
      <c r="A452" s="300" t="s">
        <v>926</v>
      </c>
      <c r="B452" s="300" t="s">
        <v>2339</v>
      </c>
      <c r="C452" s="300" t="s">
        <v>2340</v>
      </c>
      <c r="D452" s="300" t="s">
        <v>4862</v>
      </c>
      <c r="E452" s="300" t="s">
        <v>1374</v>
      </c>
      <c r="F452" s="300" t="s">
        <v>4856</v>
      </c>
      <c r="G452" s="300" t="s">
        <v>449</v>
      </c>
    </row>
    <row r="453" spans="1:7" ht="14.5">
      <c r="A453" s="300" t="s">
        <v>926</v>
      </c>
      <c r="B453" s="300" t="s">
        <v>2342</v>
      </c>
      <c r="C453" s="300" t="s">
        <v>2343</v>
      </c>
      <c r="D453" s="300" t="s">
        <v>4862</v>
      </c>
      <c r="E453" s="300" t="s">
        <v>1374</v>
      </c>
      <c r="F453" s="300" t="s">
        <v>4856</v>
      </c>
      <c r="G453" s="300" t="s">
        <v>449</v>
      </c>
    </row>
    <row r="454" spans="1:7" ht="14.5">
      <c r="A454" s="300" t="s">
        <v>926</v>
      </c>
      <c r="B454" s="300" t="s">
        <v>2346</v>
      </c>
      <c r="C454" s="300" t="s">
        <v>2347</v>
      </c>
      <c r="D454" s="300" t="s">
        <v>4862</v>
      </c>
      <c r="E454" s="300" t="s">
        <v>1374</v>
      </c>
      <c r="F454" s="300" t="s">
        <v>4856</v>
      </c>
      <c r="G454" s="300" t="s">
        <v>449</v>
      </c>
    </row>
    <row r="455" spans="1:7" ht="14.5">
      <c r="A455" s="300" t="s">
        <v>926</v>
      </c>
      <c r="B455" s="300" t="s">
        <v>2350</v>
      </c>
      <c r="C455" s="300" t="s">
        <v>2351</v>
      </c>
      <c r="D455" s="300" t="s">
        <v>4862</v>
      </c>
      <c r="E455" s="300" t="s">
        <v>1374</v>
      </c>
      <c r="F455" s="300" t="s">
        <v>4856</v>
      </c>
      <c r="G455" s="300" t="s">
        <v>449</v>
      </c>
    </row>
    <row r="456" spans="1:7" ht="14.5">
      <c r="A456" s="300" t="s">
        <v>926</v>
      </c>
      <c r="B456" s="300" t="s">
        <v>2353</v>
      </c>
      <c r="C456" s="300" t="s">
        <v>2354</v>
      </c>
      <c r="D456" s="300" t="s">
        <v>4862</v>
      </c>
      <c r="E456" s="300" t="s">
        <v>1374</v>
      </c>
      <c r="F456" s="300" t="s">
        <v>4856</v>
      </c>
      <c r="G456" s="300" t="s">
        <v>449</v>
      </c>
    </row>
    <row r="457" spans="1:7" ht="14.5">
      <c r="A457" s="300" t="s">
        <v>926</v>
      </c>
      <c r="B457" s="300" t="s">
        <v>2357</v>
      </c>
      <c r="C457" s="300" t="s">
        <v>2358</v>
      </c>
      <c r="D457" s="300" t="s">
        <v>4862</v>
      </c>
      <c r="E457" s="300" t="s">
        <v>1374</v>
      </c>
      <c r="F457" s="300" t="s">
        <v>4856</v>
      </c>
      <c r="G457" s="300" t="s">
        <v>449</v>
      </c>
    </row>
    <row r="458" spans="1:7" ht="14.5">
      <c r="A458" s="300" t="s">
        <v>926</v>
      </c>
      <c r="B458" s="300" t="s">
        <v>2361</v>
      </c>
      <c r="C458" s="300" t="s">
        <v>2362</v>
      </c>
      <c r="D458" s="300" t="s">
        <v>4862</v>
      </c>
      <c r="E458" s="300" t="s">
        <v>1374</v>
      </c>
      <c r="F458" s="300" t="s">
        <v>4856</v>
      </c>
      <c r="G458" s="300" t="s">
        <v>449</v>
      </c>
    </row>
    <row r="459" spans="1:7" ht="14.5">
      <c r="A459" s="300" t="s">
        <v>926</v>
      </c>
      <c r="B459" s="300" t="s">
        <v>2363</v>
      </c>
      <c r="C459" s="300" t="s">
        <v>2364</v>
      </c>
      <c r="D459" s="300" t="s">
        <v>4862</v>
      </c>
      <c r="E459" s="300" t="s">
        <v>1374</v>
      </c>
      <c r="F459" s="300" t="s">
        <v>4856</v>
      </c>
      <c r="G459" s="300" t="s">
        <v>449</v>
      </c>
    </row>
    <row r="460" spans="1:7" ht="14.5">
      <c r="A460" s="300" t="s">
        <v>926</v>
      </c>
      <c r="B460" s="300" t="s">
        <v>2366</v>
      </c>
      <c r="C460" s="300" t="s">
        <v>2367</v>
      </c>
      <c r="D460" s="300" t="s">
        <v>4862</v>
      </c>
      <c r="E460" s="300" t="s">
        <v>1374</v>
      </c>
      <c r="F460" s="300" t="s">
        <v>4856</v>
      </c>
      <c r="G460" s="300" t="s">
        <v>449</v>
      </c>
    </row>
    <row r="461" spans="1:7" ht="14.5">
      <c r="A461" s="300" t="s">
        <v>926</v>
      </c>
      <c r="B461" s="300" t="s">
        <v>2370</v>
      </c>
      <c r="C461" s="300" t="s">
        <v>2371</v>
      </c>
      <c r="D461" s="300" t="s">
        <v>4862</v>
      </c>
      <c r="E461" s="300" t="s">
        <v>1374</v>
      </c>
      <c r="F461" s="300" t="s">
        <v>4856</v>
      </c>
      <c r="G461" s="300" t="s">
        <v>449</v>
      </c>
    </row>
    <row r="462" spans="1:7" ht="14.5">
      <c r="A462" s="300" t="s">
        <v>926</v>
      </c>
      <c r="B462" s="300" t="s">
        <v>2373</v>
      </c>
      <c r="C462" s="300" t="s">
        <v>2374</v>
      </c>
      <c r="D462" s="300" t="s">
        <v>4862</v>
      </c>
      <c r="E462" s="300" t="s">
        <v>1374</v>
      </c>
      <c r="F462" s="300" t="s">
        <v>4856</v>
      </c>
      <c r="G462" s="300" t="s">
        <v>449</v>
      </c>
    </row>
    <row r="463" spans="1:7" ht="14.5">
      <c r="A463" s="300" t="s">
        <v>926</v>
      </c>
      <c r="B463" s="300" t="s">
        <v>2377</v>
      </c>
      <c r="C463" s="300" t="s">
        <v>2378</v>
      </c>
      <c r="D463" s="300" t="s">
        <v>4862</v>
      </c>
      <c r="E463" s="300" t="s">
        <v>1374</v>
      </c>
      <c r="F463" s="300" t="s">
        <v>4856</v>
      </c>
      <c r="G463" s="300" t="s">
        <v>449</v>
      </c>
    </row>
    <row r="464" spans="1:7" ht="14.5">
      <c r="A464" s="300" t="s">
        <v>926</v>
      </c>
      <c r="B464" s="300" t="s">
        <v>2379</v>
      </c>
      <c r="C464" s="300" t="s">
        <v>2380</v>
      </c>
      <c r="D464" s="300" t="s">
        <v>4862</v>
      </c>
      <c r="E464" s="300" t="s">
        <v>1374</v>
      </c>
      <c r="F464" s="300" t="s">
        <v>4856</v>
      </c>
      <c r="G464" s="300" t="s">
        <v>449</v>
      </c>
    </row>
    <row r="465" spans="1:7" ht="14.5">
      <c r="A465" s="300" t="s">
        <v>926</v>
      </c>
      <c r="B465" s="300" t="s">
        <v>2383</v>
      </c>
      <c r="C465" s="300" t="s">
        <v>2384</v>
      </c>
      <c r="D465" s="300" t="s">
        <v>4862</v>
      </c>
      <c r="E465" s="300" t="s">
        <v>1374</v>
      </c>
      <c r="F465" s="300" t="s">
        <v>4856</v>
      </c>
      <c r="G465" s="300" t="s">
        <v>449</v>
      </c>
    </row>
    <row r="466" spans="1:7" ht="14.5">
      <c r="A466" s="300" t="s">
        <v>926</v>
      </c>
      <c r="B466" s="300" t="s">
        <v>2386</v>
      </c>
      <c r="C466" s="300" t="s">
        <v>2387</v>
      </c>
      <c r="D466" s="300" t="s">
        <v>4862</v>
      </c>
      <c r="E466" s="300" t="s">
        <v>1374</v>
      </c>
      <c r="F466" s="300" t="s">
        <v>4856</v>
      </c>
      <c r="G466" s="300" t="s">
        <v>449</v>
      </c>
    </row>
    <row r="467" spans="1:7" ht="14.5">
      <c r="A467" s="300" t="s">
        <v>926</v>
      </c>
      <c r="B467" s="300" t="s">
        <v>2390</v>
      </c>
      <c r="C467" s="300" t="s">
        <v>2391</v>
      </c>
      <c r="D467" s="300" t="s">
        <v>4862</v>
      </c>
      <c r="E467" s="300" t="s">
        <v>1374</v>
      </c>
      <c r="F467" s="300" t="s">
        <v>4856</v>
      </c>
      <c r="G467" s="300" t="s">
        <v>449</v>
      </c>
    </row>
    <row r="468" spans="1:7" ht="14.5">
      <c r="A468" s="300" t="s">
        <v>926</v>
      </c>
      <c r="B468" s="300" t="s">
        <v>2394</v>
      </c>
      <c r="C468" s="300" t="s">
        <v>2395</v>
      </c>
      <c r="D468" s="300" t="s">
        <v>4862</v>
      </c>
      <c r="E468" s="300" t="s">
        <v>1374</v>
      </c>
      <c r="F468" s="300" t="s">
        <v>4856</v>
      </c>
      <c r="G468" s="300" t="s">
        <v>449</v>
      </c>
    </row>
    <row r="469" spans="1:7" ht="14.5">
      <c r="A469" s="300" t="s">
        <v>926</v>
      </c>
      <c r="B469" s="300" t="s">
        <v>2398</v>
      </c>
      <c r="C469" s="300" t="s">
        <v>2399</v>
      </c>
      <c r="D469" s="300" t="s">
        <v>4862</v>
      </c>
      <c r="E469" s="300" t="s">
        <v>1374</v>
      </c>
      <c r="F469" s="300" t="s">
        <v>4856</v>
      </c>
      <c r="G469" s="300" t="s">
        <v>449</v>
      </c>
    </row>
    <row r="470" spans="1:7" ht="14.5">
      <c r="A470" s="300" t="s">
        <v>926</v>
      </c>
      <c r="B470" s="300" t="s">
        <v>2400</v>
      </c>
      <c r="C470" s="300" t="s">
        <v>2401</v>
      </c>
      <c r="D470" s="300" t="s">
        <v>4864</v>
      </c>
      <c r="E470" s="300" t="s">
        <v>1490</v>
      </c>
      <c r="F470" s="300" t="s">
        <v>4856</v>
      </c>
      <c r="G470" s="300" t="s">
        <v>449</v>
      </c>
    </row>
    <row r="471" spans="1:7" ht="14.5">
      <c r="A471" s="300" t="s">
        <v>926</v>
      </c>
      <c r="B471" s="300" t="s">
        <v>2403</v>
      </c>
      <c r="C471" s="300" t="s">
        <v>2404</v>
      </c>
      <c r="D471" s="300" t="s">
        <v>4864</v>
      </c>
      <c r="E471" s="300" t="s">
        <v>1490</v>
      </c>
      <c r="F471" s="300" t="s">
        <v>4856</v>
      </c>
      <c r="G471" s="300" t="s">
        <v>449</v>
      </c>
    </row>
    <row r="472" spans="1:7" ht="14.5">
      <c r="A472" s="300" t="s">
        <v>926</v>
      </c>
      <c r="B472" s="300" t="s">
        <v>2406</v>
      </c>
      <c r="C472" s="300" t="s">
        <v>2407</v>
      </c>
      <c r="D472" s="300" t="s">
        <v>4864</v>
      </c>
      <c r="E472" s="300" t="s">
        <v>1490</v>
      </c>
      <c r="F472" s="300" t="s">
        <v>4856</v>
      </c>
      <c r="G472" s="300" t="s">
        <v>449</v>
      </c>
    </row>
    <row r="473" spans="1:7" ht="14.5">
      <c r="A473" s="300" t="s">
        <v>926</v>
      </c>
      <c r="B473" s="300" t="s">
        <v>2410</v>
      </c>
      <c r="C473" s="300" t="s">
        <v>2411</v>
      </c>
      <c r="D473" s="300" t="s">
        <v>4864</v>
      </c>
      <c r="E473" s="300" t="s">
        <v>1490</v>
      </c>
      <c r="F473" s="300" t="s">
        <v>4856</v>
      </c>
      <c r="G473" s="300" t="s">
        <v>449</v>
      </c>
    </row>
    <row r="474" spans="1:7" ht="14.5">
      <c r="A474" s="300" t="s">
        <v>926</v>
      </c>
      <c r="B474" s="300" t="s">
        <v>2414</v>
      </c>
      <c r="C474" s="300" t="s">
        <v>2415</v>
      </c>
      <c r="D474" s="300" t="s">
        <v>4864</v>
      </c>
      <c r="E474" s="300" t="s">
        <v>1490</v>
      </c>
      <c r="F474" s="300" t="s">
        <v>4856</v>
      </c>
      <c r="G474" s="300" t="s">
        <v>449</v>
      </c>
    </row>
    <row r="475" spans="1:7" ht="14.5">
      <c r="A475" s="300" t="s">
        <v>926</v>
      </c>
      <c r="B475" s="300" t="s">
        <v>2416</v>
      </c>
      <c r="C475" s="300" t="s">
        <v>2417</v>
      </c>
      <c r="D475" s="300" t="s">
        <v>4864</v>
      </c>
      <c r="E475" s="300" t="s">
        <v>1490</v>
      </c>
      <c r="F475" s="300" t="s">
        <v>4856</v>
      </c>
      <c r="G475" s="300" t="s">
        <v>449</v>
      </c>
    </row>
    <row r="476" spans="1:7" ht="14.5">
      <c r="A476" s="300" t="s">
        <v>926</v>
      </c>
      <c r="B476" s="300" t="s">
        <v>2420</v>
      </c>
      <c r="C476" s="300" t="s">
        <v>2421</v>
      </c>
      <c r="D476" s="300" t="s">
        <v>4864</v>
      </c>
      <c r="E476" s="300" t="s">
        <v>1490</v>
      </c>
      <c r="F476" s="300" t="s">
        <v>4856</v>
      </c>
      <c r="G476" s="300" t="s">
        <v>449</v>
      </c>
    </row>
    <row r="477" spans="1:7" ht="14.5">
      <c r="A477" s="300" t="s">
        <v>926</v>
      </c>
      <c r="B477" s="300" t="s">
        <v>2422</v>
      </c>
      <c r="C477" s="300" t="s">
        <v>2423</v>
      </c>
      <c r="D477" s="300" t="s">
        <v>4864</v>
      </c>
      <c r="E477" s="300" t="s">
        <v>1490</v>
      </c>
      <c r="F477" s="300" t="s">
        <v>4856</v>
      </c>
      <c r="G477" s="300" t="s">
        <v>449</v>
      </c>
    </row>
    <row r="478" spans="1:7" ht="14.5">
      <c r="A478" s="300" t="s">
        <v>926</v>
      </c>
      <c r="B478" s="300" t="s">
        <v>2424</v>
      </c>
      <c r="C478" s="300" t="s">
        <v>2425</v>
      </c>
      <c r="D478" s="300" t="s">
        <v>4864</v>
      </c>
      <c r="E478" s="300" t="s">
        <v>1490</v>
      </c>
      <c r="F478" s="300" t="s">
        <v>4856</v>
      </c>
      <c r="G478" s="300" t="s">
        <v>449</v>
      </c>
    </row>
    <row r="479" spans="1:7" ht="14.5">
      <c r="A479" s="300" t="s">
        <v>926</v>
      </c>
      <c r="B479" s="300" t="s">
        <v>2428</v>
      </c>
      <c r="C479" s="300" t="s">
        <v>2429</v>
      </c>
      <c r="D479" s="300" t="s">
        <v>4869</v>
      </c>
      <c r="E479" s="300" t="s">
        <v>1843</v>
      </c>
      <c r="F479" s="300" t="s">
        <v>4856</v>
      </c>
      <c r="G479" s="300" t="s">
        <v>449</v>
      </c>
    </row>
    <row r="480" spans="1:7" ht="14.5">
      <c r="A480" s="300" t="s">
        <v>926</v>
      </c>
      <c r="B480" s="300" t="s">
        <v>2430</v>
      </c>
      <c r="C480" s="300" t="s">
        <v>2431</v>
      </c>
      <c r="D480" s="300" t="s">
        <v>4864</v>
      </c>
      <c r="E480" s="300" t="s">
        <v>1490</v>
      </c>
      <c r="F480" s="300" t="s">
        <v>4856</v>
      </c>
      <c r="G480" s="300" t="s">
        <v>449</v>
      </c>
    </row>
    <row r="481" spans="1:7" ht="14.5">
      <c r="A481" s="300" t="s">
        <v>926</v>
      </c>
      <c r="B481" s="300" t="s">
        <v>2432</v>
      </c>
      <c r="C481" s="300" t="s">
        <v>2433</v>
      </c>
      <c r="D481" s="300" t="s">
        <v>4864</v>
      </c>
      <c r="E481" s="300" t="s">
        <v>1490</v>
      </c>
      <c r="F481" s="300" t="s">
        <v>4856</v>
      </c>
      <c r="G481" s="300" t="s">
        <v>449</v>
      </c>
    </row>
    <row r="482" spans="1:7" ht="14.5">
      <c r="A482" s="300" t="s">
        <v>926</v>
      </c>
      <c r="B482" s="300" t="s">
        <v>2436</v>
      </c>
      <c r="C482" s="300" t="s">
        <v>2437</v>
      </c>
      <c r="D482" s="300" t="s">
        <v>4864</v>
      </c>
      <c r="E482" s="300" t="s">
        <v>1490</v>
      </c>
      <c r="F482" s="300" t="s">
        <v>4856</v>
      </c>
      <c r="G482" s="300" t="s">
        <v>449</v>
      </c>
    </row>
    <row r="483" spans="1:7" ht="14.5">
      <c r="A483" s="300" t="s">
        <v>926</v>
      </c>
      <c r="B483" s="300" t="s">
        <v>2440</v>
      </c>
      <c r="C483" s="300" t="s">
        <v>2441</v>
      </c>
      <c r="D483" s="300" t="s">
        <v>4864</v>
      </c>
      <c r="E483" s="300" t="s">
        <v>1490</v>
      </c>
      <c r="F483" s="300" t="s">
        <v>4856</v>
      </c>
      <c r="G483" s="300" t="s">
        <v>449</v>
      </c>
    </row>
    <row r="484" spans="1:7" ht="14.5">
      <c r="A484" s="300" t="s">
        <v>926</v>
      </c>
      <c r="B484" s="300" t="s">
        <v>2442</v>
      </c>
      <c r="C484" s="300" t="s">
        <v>2443</v>
      </c>
      <c r="D484" s="300" t="s">
        <v>4864</v>
      </c>
      <c r="E484" s="300" t="s">
        <v>1490</v>
      </c>
      <c r="F484" s="300" t="s">
        <v>4856</v>
      </c>
      <c r="G484" s="300" t="s">
        <v>449</v>
      </c>
    </row>
    <row r="485" spans="1:7" ht="14.5">
      <c r="A485" s="300" t="s">
        <v>926</v>
      </c>
      <c r="B485" s="300" t="s">
        <v>2444</v>
      </c>
      <c r="C485" s="300" t="s">
        <v>2445</v>
      </c>
      <c r="D485" s="300" t="s">
        <v>4864</v>
      </c>
      <c r="E485" s="300" t="s">
        <v>1490</v>
      </c>
      <c r="F485" s="300" t="s">
        <v>4856</v>
      </c>
      <c r="G485" s="300" t="s">
        <v>449</v>
      </c>
    </row>
    <row r="486" spans="1:7" ht="14.5">
      <c r="A486" s="300" t="s">
        <v>926</v>
      </c>
      <c r="B486" s="300" t="s">
        <v>2448</v>
      </c>
      <c r="C486" s="300" t="s">
        <v>2449</v>
      </c>
      <c r="D486" s="300" t="s">
        <v>4864</v>
      </c>
      <c r="E486" s="300" t="s">
        <v>1490</v>
      </c>
      <c r="F486" s="300" t="s">
        <v>4856</v>
      </c>
      <c r="G486" s="300" t="s">
        <v>449</v>
      </c>
    </row>
    <row r="487" spans="1:7" ht="14.5">
      <c r="A487" s="300" t="s">
        <v>926</v>
      </c>
      <c r="B487" s="300" t="s">
        <v>2450</v>
      </c>
      <c r="C487" s="300" t="s">
        <v>2451</v>
      </c>
      <c r="D487" s="300" t="s">
        <v>4864</v>
      </c>
      <c r="E487" s="300" t="s">
        <v>1490</v>
      </c>
      <c r="F487" s="300" t="s">
        <v>4856</v>
      </c>
      <c r="G487" s="300" t="s">
        <v>449</v>
      </c>
    </row>
    <row r="488" spans="1:7" ht="14.5">
      <c r="A488" s="300" t="s">
        <v>926</v>
      </c>
      <c r="B488" s="300" t="s">
        <v>2452</v>
      </c>
      <c r="C488" s="300" t="s">
        <v>2453</v>
      </c>
      <c r="D488" s="300" t="s">
        <v>4864</v>
      </c>
      <c r="E488" s="300" t="s">
        <v>1490</v>
      </c>
      <c r="F488" s="300" t="s">
        <v>4856</v>
      </c>
      <c r="G488" s="300" t="s">
        <v>449</v>
      </c>
    </row>
    <row r="489" spans="1:7" ht="14.5">
      <c r="A489" s="300" t="s">
        <v>926</v>
      </c>
      <c r="B489" s="300" t="s">
        <v>2454</v>
      </c>
      <c r="C489" s="300" t="s">
        <v>2455</v>
      </c>
      <c r="D489" s="300" t="s">
        <v>4862</v>
      </c>
      <c r="E489" s="300" t="s">
        <v>1374</v>
      </c>
      <c r="F489" s="300" t="s">
        <v>4856</v>
      </c>
      <c r="G489" s="300" t="s">
        <v>449</v>
      </c>
    </row>
    <row r="490" spans="1:7" ht="14.5">
      <c r="A490" s="300" t="s">
        <v>926</v>
      </c>
      <c r="B490" s="300" t="s">
        <v>2456</v>
      </c>
      <c r="C490" s="300" t="s">
        <v>2457</v>
      </c>
      <c r="D490" s="300" t="s">
        <v>4868</v>
      </c>
      <c r="E490" s="300" t="s">
        <v>1818</v>
      </c>
      <c r="F490" s="300" t="s">
        <v>4858</v>
      </c>
      <c r="G490" s="300" t="s">
        <v>446</v>
      </c>
    </row>
    <row r="491" spans="1:7" ht="14.5">
      <c r="A491" s="300" t="s">
        <v>926</v>
      </c>
      <c r="B491" s="300" t="s">
        <v>2459</v>
      </c>
      <c r="C491" s="300" t="s">
        <v>2460</v>
      </c>
      <c r="D491" s="300" t="s">
        <v>4868</v>
      </c>
      <c r="E491" s="300" t="s">
        <v>1818</v>
      </c>
      <c r="F491" s="300" t="s">
        <v>4858</v>
      </c>
      <c r="G491" s="300" t="s">
        <v>446</v>
      </c>
    </row>
    <row r="492" spans="1:7" ht="14.5">
      <c r="A492" s="300" t="s">
        <v>926</v>
      </c>
      <c r="B492" s="300" t="s">
        <v>2461</v>
      </c>
      <c r="C492" s="300" t="s">
        <v>2462</v>
      </c>
      <c r="D492" s="300" t="s">
        <v>4864</v>
      </c>
      <c r="E492" s="300" t="s">
        <v>1490</v>
      </c>
      <c r="F492" s="300" t="s">
        <v>4856</v>
      </c>
      <c r="G492" s="300" t="s">
        <v>449</v>
      </c>
    </row>
    <row r="493" spans="1:7" ht="14.5">
      <c r="A493" s="300" t="s">
        <v>926</v>
      </c>
      <c r="B493" s="300" t="s">
        <v>2463</v>
      </c>
      <c r="C493" s="300" t="s">
        <v>2464</v>
      </c>
      <c r="D493" s="300" t="s">
        <v>4864</v>
      </c>
      <c r="E493" s="300" t="s">
        <v>1490</v>
      </c>
      <c r="F493" s="300" t="s">
        <v>4856</v>
      </c>
      <c r="G493" s="300" t="s">
        <v>449</v>
      </c>
    </row>
    <row r="494" spans="1:7" ht="14.5">
      <c r="A494" s="300" t="s">
        <v>926</v>
      </c>
      <c r="B494" s="300" t="s">
        <v>2465</v>
      </c>
      <c r="C494" s="300" t="s">
        <v>2466</v>
      </c>
      <c r="D494" s="300" t="s">
        <v>4871</v>
      </c>
      <c r="E494" s="300" t="s">
        <v>2468</v>
      </c>
      <c r="F494" s="300" t="s">
        <v>4858</v>
      </c>
      <c r="G494" s="300" t="s">
        <v>446</v>
      </c>
    </row>
    <row r="495" spans="1:7" ht="14.5">
      <c r="A495" s="300" t="s">
        <v>926</v>
      </c>
      <c r="B495" s="300" t="s">
        <v>2469</v>
      </c>
      <c r="C495" s="300" t="s">
        <v>2470</v>
      </c>
      <c r="D495" s="300" t="s">
        <v>4871</v>
      </c>
      <c r="E495" s="300" t="s">
        <v>2468</v>
      </c>
      <c r="F495" s="300" t="s">
        <v>4858</v>
      </c>
      <c r="G495" s="300" t="s">
        <v>446</v>
      </c>
    </row>
    <row r="496" spans="1:7" ht="14.5">
      <c r="A496" s="300" t="s">
        <v>926</v>
      </c>
      <c r="B496" s="300" t="s">
        <v>2473</v>
      </c>
      <c r="C496" s="300" t="s">
        <v>2474</v>
      </c>
      <c r="D496" s="300" t="s">
        <v>4871</v>
      </c>
      <c r="E496" s="300" t="s">
        <v>2468</v>
      </c>
      <c r="F496" s="300" t="s">
        <v>4858</v>
      </c>
      <c r="G496" s="300" t="s">
        <v>446</v>
      </c>
    </row>
    <row r="497" spans="1:7" ht="14.5">
      <c r="A497" s="300" t="s">
        <v>926</v>
      </c>
      <c r="B497" s="300" t="s">
        <v>2475</v>
      </c>
      <c r="C497" s="300" t="s">
        <v>2476</v>
      </c>
      <c r="D497" s="300" t="s">
        <v>4871</v>
      </c>
      <c r="E497" s="300" t="s">
        <v>2468</v>
      </c>
      <c r="F497" s="300" t="s">
        <v>4858</v>
      </c>
      <c r="G497" s="300" t="s">
        <v>446</v>
      </c>
    </row>
    <row r="498" spans="1:7" ht="14.5">
      <c r="A498" s="300" t="s">
        <v>926</v>
      </c>
      <c r="B498" s="300" t="s">
        <v>2477</v>
      </c>
      <c r="C498" s="300" t="s">
        <v>2478</v>
      </c>
      <c r="D498" s="300" t="s">
        <v>4871</v>
      </c>
      <c r="E498" s="300" t="s">
        <v>2468</v>
      </c>
      <c r="F498" s="300" t="s">
        <v>4858</v>
      </c>
      <c r="G498" s="300" t="s">
        <v>446</v>
      </c>
    </row>
    <row r="499" spans="1:7" ht="14.5">
      <c r="A499" s="300" t="s">
        <v>926</v>
      </c>
      <c r="B499" s="300" t="s">
        <v>2479</v>
      </c>
      <c r="C499" s="300" t="s">
        <v>2480</v>
      </c>
      <c r="D499" s="300" t="s">
        <v>4871</v>
      </c>
      <c r="E499" s="300" t="s">
        <v>2468</v>
      </c>
      <c r="F499" s="300" t="s">
        <v>4858</v>
      </c>
      <c r="G499" s="300" t="s">
        <v>446</v>
      </c>
    </row>
    <row r="500" spans="1:7" ht="14.5">
      <c r="A500" s="300" t="s">
        <v>926</v>
      </c>
      <c r="B500" s="300" t="s">
        <v>2482</v>
      </c>
      <c r="C500" s="300" t="s">
        <v>2483</v>
      </c>
      <c r="D500" s="300" t="s">
        <v>4871</v>
      </c>
      <c r="E500" s="300" t="s">
        <v>2468</v>
      </c>
      <c r="F500" s="300" t="s">
        <v>4858</v>
      </c>
      <c r="G500" s="300" t="s">
        <v>446</v>
      </c>
    </row>
    <row r="501" spans="1:7" ht="14.5">
      <c r="A501" s="300" t="s">
        <v>926</v>
      </c>
      <c r="B501" s="300" t="s">
        <v>2486</v>
      </c>
      <c r="C501" s="300" t="s">
        <v>2487</v>
      </c>
      <c r="D501" s="300" t="s">
        <v>4871</v>
      </c>
      <c r="E501" s="300" t="s">
        <v>2468</v>
      </c>
      <c r="F501" s="300" t="s">
        <v>4858</v>
      </c>
      <c r="G501" s="300" t="s">
        <v>446</v>
      </c>
    </row>
    <row r="502" spans="1:7" ht="14.5">
      <c r="A502" s="300" t="s">
        <v>926</v>
      </c>
      <c r="B502" s="300" t="s">
        <v>2490</v>
      </c>
      <c r="C502" s="300" t="s">
        <v>2491</v>
      </c>
      <c r="D502" s="300" t="s">
        <v>4871</v>
      </c>
      <c r="E502" s="300" t="s">
        <v>2468</v>
      </c>
      <c r="F502" s="300" t="s">
        <v>4858</v>
      </c>
      <c r="G502" s="300" t="s">
        <v>446</v>
      </c>
    </row>
    <row r="503" spans="1:7" ht="14.5">
      <c r="A503" s="300" t="s">
        <v>926</v>
      </c>
      <c r="B503" s="300" t="s">
        <v>2492</v>
      </c>
      <c r="C503" s="300" t="s">
        <v>2493</v>
      </c>
      <c r="D503" s="300" t="s">
        <v>4871</v>
      </c>
      <c r="E503" s="300" t="s">
        <v>2468</v>
      </c>
      <c r="F503" s="300" t="s">
        <v>4858</v>
      </c>
      <c r="G503" s="300" t="s">
        <v>446</v>
      </c>
    </row>
    <row r="504" spans="1:7" ht="14.5">
      <c r="A504" s="300" t="s">
        <v>926</v>
      </c>
      <c r="B504" s="300" t="s">
        <v>2496</v>
      </c>
      <c r="C504" s="300" t="s">
        <v>2497</v>
      </c>
      <c r="D504" s="300" t="s">
        <v>4871</v>
      </c>
      <c r="E504" s="300" t="s">
        <v>2468</v>
      </c>
      <c r="F504" s="300" t="s">
        <v>4858</v>
      </c>
      <c r="G504" s="300" t="s">
        <v>446</v>
      </c>
    </row>
    <row r="505" spans="1:7" ht="14.5">
      <c r="A505" s="300" t="s">
        <v>926</v>
      </c>
      <c r="B505" s="300" t="s">
        <v>2499</v>
      </c>
      <c r="C505" s="300" t="s">
        <v>2500</v>
      </c>
      <c r="D505" s="300" t="s">
        <v>4871</v>
      </c>
      <c r="E505" s="300" t="s">
        <v>2468</v>
      </c>
      <c r="F505" s="300" t="s">
        <v>4858</v>
      </c>
      <c r="G505" s="300" t="s">
        <v>446</v>
      </c>
    </row>
    <row r="506" spans="1:7" ht="14.5">
      <c r="A506" s="300" t="s">
        <v>926</v>
      </c>
      <c r="B506" s="300" t="s">
        <v>2503</v>
      </c>
      <c r="C506" s="300" t="s">
        <v>2504</v>
      </c>
      <c r="D506" s="300" t="s">
        <v>4871</v>
      </c>
      <c r="E506" s="300" t="s">
        <v>2468</v>
      </c>
      <c r="F506" s="300" t="s">
        <v>4858</v>
      </c>
      <c r="G506" s="300" t="s">
        <v>446</v>
      </c>
    </row>
    <row r="507" spans="1:7" ht="14.5">
      <c r="A507" s="300" t="s">
        <v>926</v>
      </c>
      <c r="B507" s="300" t="s">
        <v>2507</v>
      </c>
      <c r="C507" s="300" t="s">
        <v>2508</v>
      </c>
      <c r="D507" s="300" t="s">
        <v>4871</v>
      </c>
      <c r="E507" s="300" t="s">
        <v>2468</v>
      </c>
      <c r="F507" s="300" t="s">
        <v>4858</v>
      </c>
      <c r="G507" s="300" t="s">
        <v>446</v>
      </c>
    </row>
    <row r="508" spans="1:7" ht="14.5">
      <c r="A508" s="300" t="s">
        <v>926</v>
      </c>
      <c r="B508" s="300" t="s">
        <v>2509</v>
      </c>
      <c r="C508" s="300" t="s">
        <v>2510</v>
      </c>
      <c r="D508" s="300" t="s">
        <v>4871</v>
      </c>
      <c r="E508" s="300" t="s">
        <v>2468</v>
      </c>
      <c r="F508" s="300" t="s">
        <v>4858</v>
      </c>
      <c r="G508" s="300" t="s">
        <v>446</v>
      </c>
    </row>
    <row r="509" spans="1:7" ht="14.5">
      <c r="A509" s="300" t="s">
        <v>926</v>
      </c>
      <c r="B509" s="300" t="s">
        <v>2511</v>
      </c>
      <c r="C509" s="300" t="s">
        <v>2512</v>
      </c>
      <c r="D509" s="300" t="s">
        <v>4871</v>
      </c>
      <c r="E509" s="300" t="s">
        <v>2468</v>
      </c>
      <c r="F509" s="300" t="s">
        <v>4858</v>
      </c>
      <c r="G509" s="300" t="s">
        <v>446</v>
      </c>
    </row>
    <row r="510" spans="1:7" ht="14.5">
      <c r="A510" s="300" t="s">
        <v>926</v>
      </c>
      <c r="B510" s="300" t="s">
        <v>2515</v>
      </c>
      <c r="C510" s="300" t="s">
        <v>2516</v>
      </c>
      <c r="D510" s="300" t="s">
        <v>4871</v>
      </c>
      <c r="E510" s="300" t="s">
        <v>2468</v>
      </c>
      <c r="F510" s="300" t="s">
        <v>4858</v>
      </c>
      <c r="G510" s="300" t="s">
        <v>446</v>
      </c>
    </row>
    <row r="511" spans="1:7" ht="14.5">
      <c r="A511" s="300" t="s">
        <v>926</v>
      </c>
      <c r="B511" s="300" t="s">
        <v>2519</v>
      </c>
      <c r="C511" s="300" t="s">
        <v>2520</v>
      </c>
      <c r="D511" s="300" t="s">
        <v>4871</v>
      </c>
      <c r="E511" s="300" t="s">
        <v>2468</v>
      </c>
      <c r="F511" s="300" t="s">
        <v>4858</v>
      </c>
      <c r="G511" s="300" t="s">
        <v>446</v>
      </c>
    </row>
    <row r="512" spans="1:7" ht="14.5">
      <c r="A512" s="300" t="s">
        <v>926</v>
      </c>
      <c r="B512" s="300" t="s">
        <v>2521</v>
      </c>
      <c r="C512" s="300" t="s">
        <v>2522</v>
      </c>
      <c r="D512" s="300" t="s">
        <v>4871</v>
      </c>
      <c r="E512" s="300" t="s">
        <v>2468</v>
      </c>
      <c r="F512" s="300" t="s">
        <v>4858</v>
      </c>
      <c r="G512" s="300" t="s">
        <v>446</v>
      </c>
    </row>
    <row r="513" spans="1:7" ht="14.5">
      <c r="A513" s="300" t="s">
        <v>926</v>
      </c>
      <c r="B513" s="300" t="s">
        <v>2525</v>
      </c>
      <c r="C513" s="300" t="s">
        <v>2526</v>
      </c>
      <c r="D513" s="300" t="s">
        <v>4871</v>
      </c>
      <c r="E513" s="300" t="s">
        <v>2468</v>
      </c>
      <c r="F513" s="300" t="s">
        <v>4858</v>
      </c>
      <c r="G513" s="300" t="s">
        <v>446</v>
      </c>
    </row>
    <row r="514" spans="1:7" ht="14.5">
      <c r="A514" s="300" t="s">
        <v>926</v>
      </c>
      <c r="B514" s="300" t="s">
        <v>2527</v>
      </c>
      <c r="C514" s="300" t="s">
        <v>2528</v>
      </c>
      <c r="D514" s="300" t="s">
        <v>4871</v>
      </c>
      <c r="E514" s="300" t="s">
        <v>2468</v>
      </c>
      <c r="F514" s="300" t="s">
        <v>4858</v>
      </c>
      <c r="G514" s="300" t="s">
        <v>446</v>
      </c>
    </row>
    <row r="515" spans="1:7" ht="14.5">
      <c r="A515" s="300" t="s">
        <v>926</v>
      </c>
      <c r="B515" s="300" t="s">
        <v>2530</v>
      </c>
      <c r="C515" s="300" t="s">
        <v>2531</v>
      </c>
      <c r="D515" s="300" t="s">
        <v>4871</v>
      </c>
      <c r="E515" s="300" t="s">
        <v>2468</v>
      </c>
      <c r="F515" s="300" t="s">
        <v>4858</v>
      </c>
      <c r="G515" s="300" t="s">
        <v>446</v>
      </c>
    </row>
    <row r="516" spans="1:7" ht="14.5">
      <c r="A516" s="300" t="s">
        <v>926</v>
      </c>
      <c r="B516" s="300" t="s">
        <v>2534</v>
      </c>
      <c r="C516" s="300" t="s">
        <v>2535</v>
      </c>
      <c r="D516" s="300" t="s">
        <v>4871</v>
      </c>
      <c r="E516" s="300" t="s">
        <v>2468</v>
      </c>
      <c r="F516" s="300" t="s">
        <v>4858</v>
      </c>
      <c r="G516" s="300" t="s">
        <v>446</v>
      </c>
    </row>
    <row r="517" spans="1:7" ht="14.5">
      <c r="A517" s="300" t="s">
        <v>926</v>
      </c>
      <c r="B517" s="300" t="s">
        <v>2536</v>
      </c>
      <c r="C517" s="300" t="s">
        <v>2537</v>
      </c>
      <c r="D517" s="300" t="s">
        <v>4871</v>
      </c>
      <c r="E517" s="300" t="s">
        <v>2468</v>
      </c>
      <c r="F517" s="300" t="s">
        <v>4858</v>
      </c>
      <c r="G517" s="300" t="s">
        <v>446</v>
      </c>
    </row>
    <row r="518" spans="1:7" ht="14.5">
      <c r="A518" s="300" t="s">
        <v>926</v>
      </c>
      <c r="B518" s="300" t="s">
        <v>2538</v>
      </c>
      <c r="C518" s="300" t="s">
        <v>2539</v>
      </c>
      <c r="D518" s="300" t="s">
        <v>4871</v>
      </c>
      <c r="E518" s="300" t="s">
        <v>2468</v>
      </c>
      <c r="F518" s="300" t="s">
        <v>4858</v>
      </c>
      <c r="G518" s="300" t="s">
        <v>446</v>
      </c>
    </row>
    <row r="519" spans="1:7" ht="14.5">
      <c r="A519" s="300" t="s">
        <v>926</v>
      </c>
      <c r="B519" s="300" t="s">
        <v>2540</v>
      </c>
      <c r="C519" s="300" t="s">
        <v>2541</v>
      </c>
      <c r="D519" s="300" t="s">
        <v>4871</v>
      </c>
      <c r="E519" s="300" t="s">
        <v>2468</v>
      </c>
      <c r="F519" s="300" t="s">
        <v>4858</v>
      </c>
      <c r="G519" s="300" t="s">
        <v>446</v>
      </c>
    </row>
    <row r="520" spans="1:7" ht="14.5">
      <c r="A520" s="300" t="s">
        <v>926</v>
      </c>
      <c r="B520" s="300" t="s">
        <v>2542</v>
      </c>
      <c r="C520" s="300" t="s">
        <v>2543</v>
      </c>
      <c r="D520" s="300" t="s">
        <v>4871</v>
      </c>
      <c r="E520" s="300" t="s">
        <v>2468</v>
      </c>
      <c r="F520" s="300" t="s">
        <v>4858</v>
      </c>
      <c r="G520" s="300" t="s">
        <v>446</v>
      </c>
    </row>
    <row r="521" spans="1:7" ht="14.5">
      <c r="A521" s="300" t="s">
        <v>926</v>
      </c>
      <c r="B521" s="300" t="s">
        <v>2544</v>
      </c>
      <c r="C521" s="300" t="s">
        <v>2545</v>
      </c>
      <c r="D521" s="300" t="s">
        <v>4871</v>
      </c>
      <c r="E521" s="300" t="s">
        <v>2468</v>
      </c>
      <c r="F521" s="300" t="s">
        <v>4858</v>
      </c>
      <c r="G521" s="300" t="s">
        <v>446</v>
      </c>
    </row>
    <row r="522" spans="1:7" ht="14.5">
      <c r="A522" s="300" t="s">
        <v>926</v>
      </c>
      <c r="B522" s="300" t="s">
        <v>2546</v>
      </c>
      <c r="C522" s="300" t="s">
        <v>2547</v>
      </c>
      <c r="D522" s="300" t="s">
        <v>4871</v>
      </c>
      <c r="E522" s="300" t="s">
        <v>2468</v>
      </c>
      <c r="F522" s="300" t="s">
        <v>4858</v>
      </c>
      <c r="G522" s="300" t="s">
        <v>446</v>
      </c>
    </row>
    <row r="523" spans="1:7" ht="14.5">
      <c r="A523" s="300" t="s">
        <v>926</v>
      </c>
      <c r="B523" s="300" t="s">
        <v>2548</v>
      </c>
      <c r="C523" s="300" t="s">
        <v>2549</v>
      </c>
      <c r="D523" s="300" t="s">
        <v>4871</v>
      </c>
      <c r="E523" s="300" t="s">
        <v>2468</v>
      </c>
      <c r="F523" s="300" t="s">
        <v>4858</v>
      </c>
      <c r="G523" s="300" t="s">
        <v>446</v>
      </c>
    </row>
    <row r="524" spans="1:7" ht="14.5">
      <c r="A524" s="300" t="s">
        <v>926</v>
      </c>
      <c r="B524" s="300" t="s">
        <v>2551</v>
      </c>
      <c r="C524" s="300" t="s">
        <v>2552</v>
      </c>
      <c r="D524" s="300" t="s">
        <v>4871</v>
      </c>
      <c r="E524" s="300" t="s">
        <v>2468</v>
      </c>
      <c r="F524" s="300" t="s">
        <v>4858</v>
      </c>
      <c r="G524" s="300" t="s">
        <v>446</v>
      </c>
    </row>
    <row r="525" spans="1:7" ht="14.5">
      <c r="A525" s="300" t="s">
        <v>926</v>
      </c>
      <c r="B525" s="300" t="s">
        <v>2553</v>
      </c>
      <c r="C525" s="300" t="s">
        <v>2554</v>
      </c>
      <c r="D525" s="300" t="s">
        <v>4871</v>
      </c>
      <c r="E525" s="300" t="s">
        <v>2468</v>
      </c>
      <c r="F525" s="300" t="s">
        <v>4858</v>
      </c>
      <c r="G525" s="300" t="s">
        <v>446</v>
      </c>
    </row>
    <row r="526" spans="1:7" ht="14.5">
      <c r="A526" s="300" t="s">
        <v>926</v>
      </c>
      <c r="B526" s="300" t="s">
        <v>2557</v>
      </c>
      <c r="C526" s="300" t="s">
        <v>2558</v>
      </c>
      <c r="D526" s="300" t="s">
        <v>4871</v>
      </c>
      <c r="E526" s="300" t="s">
        <v>2468</v>
      </c>
      <c r="F526" s="300" t="s">
        <v>4858</v>
      </c>
      <c r="G526" s="300" t="s">
        <v>446</v>
      </c>
    </row>
    <row r="527" spans="1:7" ht="14.5">
      <c r="A527" s="300" t="s">
        <v>926</v>
      </c>
      <c r="B527" s="300" t="s">
        <v>2561</v>
      </c>
      <c r="C527" s="300" t="s">
        <v>2562</v>
      </c>
      <c r="D527" s="300" t="s">
        <v>4871</v>
      </c>
      <c r="E527" s="300" t="s">
        <v>2468</v>
      </c>
      <c r="F527" s="300" t="s">
        <v>4858</v>
      </c>
      <c r="G527" s="300" t="s">
        <v>446</v>
      </c>
    </row>
    <row r="528" spans="1:7" ht="14.5">
      <c r="A528" s="300" t="s">
        <v>926</v>
      </c>
      <c r="B528" s="300" t="s">
        <v>2565</v>
      </c>
      <c r="C528" s="300" t="s">
        <v>2566</v>
      </c>
      <c r="D528" s="300" t="s">
        <v>4871</v>
      </c>
      <c r="E528" s="300" t="s">
        <v>2468</v>
      </c>
      <c r="F528" s="300" t="s">
        <v>4858</v>
      </c>
      <c r="G528" s="300" t="s">
        <v>446</v>
      </c>
    </row>
    <row r="529" spans="1:7" ht="14.5">
      <c r="A529" s="300" t="s">
        <v>926</v>
      </c>
      <c r="B529" s="300" t="s">
        <v>2567</v>
      </c>
      <c r="C529" s="300" t="s">
        <v>2568</v>
      </c>
      <c r="D529" s="300" t="s">
        <v>4871</v>
      </c>
      <c r="E529" s="300" t="s">
        <v>2468</v>
      </c>
      <c r="F529" s="300" t="s">
        <v>4858</v>
      </c>
      <c r="G529" s="300" t="s">
        <v>446</v>
      </c>
    </row>
    <row r="530" spans="1:7" ht="14.5">
      <c r="A530" s="300" t="s">
        <v>926</v>
      </c>
      <c r="B530" s="300" t="s">
        <v>2571</v>
      </c>
      <c r="C530" s="300" t="s">
        <v>2572</v>
      </c>
      <c r="D530" s="300" t="s">
        <v>4871</v>
      </c>
      <c r="E530" s="300" t="s">
        <v>2468</v>
      </c>
      <c r="F530" s="300" t="s">
        <v>4858</v>
      </c>
      <c r="G530" s="300" t="s">
        <v>446</v>
      </c>
    </row>
    <row r="531" spans="1:7" ht="14.5">
      <c r="A531" s="300" t="s">
        <v>926</v>
      </c>
      <c r="B531" s="300" t="s">
        <v>2573</v>
      </c>
      <c r="C531" s="300" t="s">
        <v>2574</v>
      </c>
      <c r="D531" s="300" t="s">
        <v>4871</v>
      </c>
      <c r="E531" s="300" t="s">
        <v>2468</v>
      </c>
      <c r="F531" s="300" t="s">
        <v>4858</v>
      </c>
      <c r="G531" s="300" t="s">
        <v>446</v>
      </c>
    </row>
    <row r="532" spans="1:7" ht="14.5">
      <c r="A532" s="300" t="s">
        <v>926</v>
      </c>
      <c r="B532" s="300" t="s">
        <v>2575</v>
      </c>
      <c r="C532" s="300" t="s">
        <v>2576</v>
      </c>
      <c r="D532" s="300" t="s">
        <v>4871</v>
      </c>
      <c r="E532" s="300" t="s">
        <v>2468</v>
      </c>
      <c r="F532" s="300" t="s">
        <v>4858</v>
      </c>
      <c r="G532" s="300" t="s">
        <v>446</v>
      </c>
    </row>
    <row r="533" spans="1:7" ht="14.5">
      <c r="A533" s="300" t="s">
        <v>926</v>
      </c>
      <c r="B533" s="300" t="s">
        <v>2578</v>
      </c>
      <c r="C533" s="300" t="s">
        <v>2579</v>
      </c>
      <c r="D533" s="300" t="s">
        <v>4871</v>
      </c>
      <c r="E533" s="300" t="s">
        <v>2468</v>
      </c>
      <c r="F533" s="300" t="s">
        <v>4858</v>
      </c>
      <c r="G533" s="300" t="s">
        <v>446</v>
      </c>
    </row>
    <row r="534" spans="1:7" ht="14.5">
      <c r="A534" s="300" t="s">
        <v>926</v>
      </c>
      <c r="B534" s="300" t="s">
        <v>2582</v>
      </c>
      <c r="C534" s="300" t="s">
        <v>2583</v>
      </c>
      <c r="D534" s="300" t="s">
        <v>4871</v>
      </c>
      <c r="E534" s="300" t="s">
        <v>2468</v>
      </c>
      <c r="F534" s="300" t="s">
        <v>4858</v>
      </c>
      <c r="G534" s="300" t="s">
        <v>446</v>
      </c>
    </row>
    <row r="535" spans="1:7" ht="14.5">
      <c r="A535" s="300" t="s">
        <v>926</v>
      </c>
      <c r="B535" s="300" t="s">
        <v>2586</v>
      </c>
      <c r="C535" s="300" t="s">
        <v>2587</v>
      </c>
      <c r="D535" s="300" t="s">
        <v>4871</v>
      </c>
      <c r="E535" s="300" t="s">
        <v>2468</v>
      </c>
      <c r="F535" s="300" t="s">
        <v>4858</v>
      </c>
      <c r="G535" s="300" t="s">
        <v>446</v>
      </c>
    </row>
    <row r="536" spans="1:7" ht="14.5">
      <c r="A536" s="300" t="s">
        <v>926</v>
      </c>
      <c r="B536" s="300" t="s">
        <v>2590</v>
      </c>
      <c r="C536" s="300" t="s">
        <v>2591</v>
      </c>
      <c r="D536" s="300" t="s">
        <v>4871</v>
      </c>
      <c r="E536" s="300" t="s">
        <v>2468</v>
      </c>
      <c r="F536" s="300" t="s">
        <v>4858</v>
      </c>
      <c r="G536" s="300" t="s">
        <v>446</v>
      </c>
    </row>
    <row r="537" spans="1:7" ht="14.5">
      <c r="A537" s="300" t="s">
        <v>926</v>
      </c>
      <c r="B537" s="300" t="s">
        <v>2594</v>
      </c>
      <c r="C537" s="300" t="s">
        <v>2595</v>
      </c>
      <c r="D537" s="300" t="s">
        <v>4871</v>
      </c>
      <c r="E537" s="300" t="s">
        <v>2468</v>
      </c>
      <c r="F537" s="300" t="s">
        <v>4858</v>
      </c>
      <c r="G537" s="300" t="s">
        <v>446</v>
      </c>
    </row>
    <row r="538" spans="1:7" ht="14.5">
      <c r="A538" s="300" t="s">
        <v>926</v>
      </c>
      <c r="B538" s="300" t="s">
        <v>2598</v>
      </c>
      <c r="C538" s="300" t="s">
        <v>2599</v>
      </c>
      <c r="D538" s="300" t="s">
        <v>4871</v>
      </c>
      <c r="E538" s="300" t="s">
        <v>2468</v>
      </c>
      <c r="F538" s="300" t="s">
        <v>4858</v>
      </c>
      <c r="G538" s="300" t="s">
        <v>446</v>
      </c>
    </row>
    <row r="539" spans="1:7" ht="14.5">
      <c r="A539" s="300" t="s">
        <v>926</v>
      </c>
      <c r="B539" s="300" t="s">
        <v>2600</v>
      </c>
      <c r="C539" s="300" t="s">
        <v>2601</v>
      </c>
      <c r="D539" s="300" t="s">
        <v>4871</v>
      </c>
      <c r="E539" s="300" t="s">
        <v>2468</v>
      </c>
      <c r="F539" s="300" t="s">
        <v>4858</v>
      </c>
      <c r="G539" s="300" t="s">
        <v>446</v>
      </c>
    </row>
    <row r="540" spans="1:7" ht="14.5">
      <c r="A540" s="300" t="s">
        <v>926</v>
      </c>
      <c r="B540" s="300" t="s">
        <v>2604</v>
      </c>
      <c r="C540" s="300" t="s">
        <v>2605</v>
      </c>
      <c r="D540" s="300" t="s">
        <v>4871</v>
      </c>
      <c r="E540" s="300" t="s">
        <v>2468</v>
      </c>
      <c r="F540" s="300" t="s">
        <v>4858</v>
      </c>
      <c r="G540" s="300" t="s">
        <v>446</v>
      </c>
    </row>
    <row r="541" spans="1:7" ht="14.5">
      <c r="A541" s="300" t="s">
        <v>926</v>
      </c>
      <c r="B541" s="300" t="s">
        <v>2607</v>
      </c>
      <c r="C541" s="300" t="s">
        <v>2608</v>
      </c>
      <c r="D541" s="300" t="s">
        <v>4871</v>
      </c>
      <c r="E541" s="300" t="s">
        <v>2468</v>
      </c>
      <c r="F541" s="300" t="s">
        <v>4858</v>
      </c>
      <c r="G541" s="300" t="s">
        <v>446</v>
      </c>
    </row>
    <row r="542" spans="1:7" ht="14.5">
      <c r="A542" s="300" t="s">
        <v>926</v>
      </c>
      <c r="B542" s="300" t="s">
        <v>2611</v>
      </c>
      <c r="C542" s="300" t="s">
        <v>2612</v>
      </c>
      <c r="D542" s="300" t="s">
        <v>4871</v>
      </c>
      <c r="E542" s="300" t="s">
        <v>2468</v>
      </c>
      <c r="F542" s="300" t="s">
        <v>4858</v>
      </c>
      <c r="G542" s="300" t="s">
        <v>446</v>
      </c>
    </row>
    <row r="543" spans="1:7" ht="14.5">
      <c r="A543" s="300" t="s">
        <v>926</v>
      </c>
      <c r="B543" s="300" t="s">
        <v>2613</v>
      </c>
      <c r="C543" s="300" t="s">
        <v>2614</v>
      </c>
      <c r="D543" s="300" t="s">
        <v>4871</v>
      </c>
      <c r="E543" s="300" t="s">
        <v>2468</v>
      </c>
      <c r="F543" s="300" t="s">
        <v>4858</v>
      </c>
      <c r="G543" s="300" t="s">
        <v>446</v>
      </c>
    </row>
    <row r="544" spans="1:7" ht="14.5">
      <c r="A544" s="300" t="s">
        <v>926</v>
      </c>
      <c r="B544" s="300" t="s">
        <v>2615</v>
      </c>
      <c r="C544" s="300" t="s">
        <v>2616</v>
      </c>
      <c r="D544" s="300" t="s">
        <v>4871</v>
      </c>
      <c r="E544" s="300" t="s">
        <v>2468</v>
      </c>
      <c r="F544" s="300" t="s">
        <v>4858</v>
      </c>
      <c r="G544" s="300" t="s">
        <v>446</v>
      </c>
    </row>
    <row r="545" spans="1:7" ht="14.5">
      <c r="A545" s="300" t="s">
        <v>926</v>
      </c>
      <c r="B545" s="300" t="s">
        <v>2617</v>
      </c>
      <c r="C545" s="300" t="s">
        <v>2618</v>
      </c>
      <c r="D545" s="300" t="s">
        <v>4871</v>
      </c>
      <c r="E545" s="300" t="s">
        <v>2468</v>
      </c>
      <c r="F545" s="300" t="s">
        <v>4858</v>
      </c>
      <c r="G545" s="300" t="s">
        <v>446</v>
      </c>
    </row>
    <row r="546" spans="1:7" ht="14.5">
      <c r="A546" s="300" t="s">
        <v>926</v>
      </c>
      <c r="B546" s="300" t="s">
        <v>2619</v>
      </c>
      <c r="C546" s="300" t="s">
        <v>2620</v>
      </c>
      <c r="D546" s="300" t="s">
        <v>4871</v>
      </c>
      <c r="E546" s="300" t="s">
        <v>2468</v>
      </c>
      <c r="F546" s="300" t="s">
        <v>4858</v>
      </c>
      <c r="G546" s="300" t="s">
        <v>446</v>
      </c>
    </row>
    <row r="547" spans="1:7" ht="14.5">
      <c r="A547" s="300" t="s">
        <v>926</v>
      </c>
      <c r="B547" s="300" t="s">
        <v>2621</v>
      </c>
      <c r="C547" s="300" t="s">
        <v>2622</v>
      </c>
      <c r="D547" s="300" t="s">
        <v>4871</v>
      </c>
      <c r="E547" s="300" t="s">
        <v>2468</v>
      </c>
      <c r="F547" s="300" t="s">
        <v>4858</v>
      </c>
      <c r="G547" s="300" t="s">
        <v>446</v>
      </c>
    </row>
    <row r="548" spans="1:7" ht="14.5">
      <c r="A548" s="300" t="s">
        <v>926</v>
      </c>
      <c r="B548" s="300" t="s">
        <v>2625</v>
      </c>
      <c r="C548" s="300" t="s">
        <v>2626</v>
      </c>
      <c r="D548" s="300" t="s">
        <v>4871</v>
      </c>
      <c r="E548" s="300" t="s">
        <v>2468</v>
      </c>
      <c r="F548" s="300" t="s">
        <v>4858</v>
      </c>
      <c r="G548" s="300" t="s">
        <v>446</v>
      </c>
    </row>
    <row r="549" spans="1:7" ht="14.5">
      <c r="A549" s="300" t="s">
        <v>926</v>
      </c>
      <c r="B549" s="300" t="s">
        <v>2627</v>
      </c>
      <c r="C549" s="300" t="s">
        <v>2628</v>
      </c>
      <c r="D549" s="300" t="s">
        <v>4871</v>
      </c>
      <c r="E549" s="300" t="s">
        <v>2468</v>
      </c>
      <c r="F549" s="300" t="s">
        <v>4858</v>
      </c>
      <c r="G549" s="300" t="s">
        <v>446</v>
      </c>
    </row>
    <row r="550" spans="1:7" ht="14.5">
      <c r="A550" s="300" t="s">
        <v>926</v>
      </c>
      <c r="B550" s="300" t="s">
        <v>2631</v>
      </c>
      <c r="C550" s="300" t="s">
        <v>2632</v>
      </c>
      <c r="D550" s="300" t="s">
        <v>4871</v>
      </c>
      <c r="E550" s="300" t="s">
        <v>2468</v>
      </c>
      <c r="F550" s="300" t="s">
        <v>4858</v>
      </c>
      <c r="G550" s="300" t="s">
        <v>446</v>
      </c>
    </row>
    <row r="551" spans="1:7" ht="14.5">
      <c r="A551" s="300" t="s">
        <v>926</v>
      </c>
      <c r="B551" s="300" t="s">
        <v>2633</v>
      </c>
      <c r="C551" s="300" t="s">
        <v>2634</v>
      </c>
      <c r="D551" s="300" t="s">
        <v>4871</v>
      </c>
      <c r="E551" s="300" t="s">
        <v>2468</v>
      </c>
      <c r="F551" s="300" t="s">
        <v>4858</v>
      </c>
      <c r="G551" s="300" t="s">
        <v>446</v>
      </c>
    </row>
    <row r="552" spans="1:7" ht="14.5">
      <c r="A552" s="300" t="s">
        <v>926</v>
      </c>
      <c r="B552" s="300" t="s">
        <v>2635</v>
      </c>
      <c r="C552" s="300" t="s">
        <v>2636</v>
      </c>
      <c r="D552" s="300" t="s">
        <v>4871</v>
      </c>
      <c r="E552" s="300" t="s">
        <v>2468</v>
      </c>
      <c r="F552" s="300" t="s">
        <v>4858</v>
      </c>
      <c r="G552" s="300" t="s">
        <v>446</v>
      </c>
    </row>
    <row r="553" spans="1:7" ht="14.5">
      <c r="A553" s="300" t="s">
        <v>926</v>
      </c>
      <c r="B553" s="300" t="s">
        <v>2637</v>
      </c>
      <c r="C553" s="300" t="s">
        <v>2638</v>
      </c>
      <c r="D553" s="300" t="s">
        <v>4871</v>
      </c>
      <c r="E553" s="300" t="s">
        <v>2468</v>
      </c>
      <c r="F553" s="300" t="s">
        <v>4858</v>
      </c>
      <c r="G553" s="300" t="s">
        <v>446</v>
      </c>
    </row>
    <row r="554" spans="1:7" ht="14.5">
      <c r="A554" s="300" t="s">
        <v>926</v>
      </c>
      <c r="B554" s="300" t="s">
        <v>2639</v>
      </c>
      <c r="C554" s="300" t="s">
        <v>2640</v>
      </c>
      <c r="D554" s="300" t="s">
        <v>4871</v>
      </c>
      <c r="E554" s="300" t="s">
        <v>2468</v>
      </c>
      <c r="F554" s="300" t="s">
        <v>4858</v>
      </c>
      <c r="G554" s="300" t="s">
        <v>446</v>
      </c>
    </row>
    <row r="555" spans="1:7" ht="14.5">
      <c r="A555" s="300" t="s">
        <v>926</v>
      </c>
      <c r="B555" s="300" t="s">
        <v>2641</v>
      </c>
      <c r="C555" s="300" t="s">
        <v>2642</v>
      </c>
      <c r="D555" s="300" t="s">
        <v>4871</v>
      </c>
      <c r="E555" s="300" t="s">
        <v>2468</v>
      </c>
      <c r="F555" s="300" t="s">
        <v>4858</v>
      </c>
      <c r="G555" s="300" t="s">
        <v>446</v>
      </c>
    </row>
    <row r="556" spans="1:7" ht="14.5">
      <c r="A556" s="300" t="s">
        <v>926</v>
      </c>
      <c r="B556" s="300" t="s">
        <v>2643</v>
      </c>
      <c r="C556" s="300" t="s">
        <v>2644</v>
      </c>
      <c r="D556" s="300" t="s">
        <v>4871</v>
      </c>
      <c r="E556" s="300" t="s">
        <v>2468</v>
      </c>
      <c r="F556" s="300" t="s">
        <v>4858</v>
      </c>
      <c r="G556" s="300" t="s">
        <v>446</v>
      </c>
    </row>
    <row r="557" spans="1:7" ht="14.5">
      <c r="A557" s="300" t="s">
        <v>926</v>
      </c>
      <c r="B557" s="300" t="s">
        <v>2645</v>
      </c>
      <c r="C557" s="300" t="s">
        <v>2646</v>
      </c>
      <c r="D557" s="300" t="s">
        <v>4871</v>
      </c>
      <c r="E557" s="300" t="s">
        <v>2468</v>
      </c>
      <c r="F557" s="300" t="s">
        <v>4858</v>
      </c>
      <c r="G557" s="300" t="s">
        <v>446</v>
      </c>
    </row>
    <row r="558" spans="1:7" ht="14.5">
      <c r="A558" s="300" t="s">
        <v>926</v>
      </c>
      <c r="B558" s="300" t="s">
        <v>2647</v>
      </c>
      <c r="C558" s="300" t="s">
        <v>2648</v>
      </c>
      <c r="D558" s="300" t="s">
        <v>4871</v>
      </c>
      <c r="E558" s="300" t="s">
        <v>2468</v>
      </c>
      <c r="F558" s="300" t="s">
        <v>4858</v>
      </c>
      <c r="G558" s="300" t="s">
        <v>446</v>
      </c>
    </row>
    <row r="559" spans="1:7" ht="14.5">
      <c r="A559" s="300" t="s">
        <v>926</v>
      </c>
      <c r="B559" s="300" t="s">
        <v>2649</v>
      </c>
      <c r="C559" s="300" t="s">
        <v>2650</v>
      </c>
      <c r="D559" s="300" t="s">
        <v>4871</v>
      </c>
      <c r="E559" s="300" t="s">
        <v>2468</v>
      </c>
      <c r="F559" s="300" t="s">
        <v>4858</v>
      </c>
      <c r="G559" s="300" t="s">
        <v>446</v>
      </c>
    </row>
    <row r="560" spans="1:7" ht="14.5">
      <c r="A560" s="300" t="s">
        <v>926</v>
      </c>
      <c r="B560" s="300" t="s">
        <v>2653</v>
      </c>
      <c r="C560" s="300" t="s">
        <v>2654</v>
      </c>
      <c r="D560" s="300" t="s">
        <v>4871</v>
      </c>
      <c r="E560" s="300" t="s">
        <v>2468</v>
      </c>
      <c r="F560" s="300" t="s">
        <v>4858</v>
      </c>
      <c r="G560" s="300" t="s">
        <v>446</v>
      </c>
    </row>
    <row r="561" spans="1:7" ht="14.5">
      <c r="A561" s="300" t="s">
        <v>926</v>
      </c>
      <c r="B561" s="300" t="s">
        <v>2657</v>
      </c>
      <c r="C561" s="300" t="s">
        <v>2658</v>
      </c>
      <c r="D561" s="300" t="s">
        <v>4871</v>
      </c>
      <c r="E561" s="300" t="s">
        <v>2468</v>
      </c>
      <c r="F561" s="300" t="s">
        <v>4858</v>
      </c>
      <c r="G561" s="300" t="s">
        <v>446</v>
      </c>
    </row>
    <row r="562" spans="1:7" ht="14.5">
      <c r="A562" s="300" t="s">
        <v>926</v>
      </c>
      <c r="B562" s="300" t="s">
        <v>2661</v>
      </c>
      <c r="C562" s="300" t="s">
        <v>2662</v>
      </c>
      <c r="D562" s="300" t="s">
        <v>4871</v>
      </c>
      <c r="E562" s="300" t="s">
        <v>2468</v>
      </c>
      <c r="F562" s="300" t="s">
        <v>4858</v>
      </c>
      <c r="G562" s="300" t="s">
        <v>446</v>
      </c>
    </row>
    <row r="563" spans="1:7" ht="14.5">
      <c r="A563" s="300" t="s">
        <v>926</v>
      </c>
      <c r="B563" s="300" t="s">
        <v>2665</v>
      </c>
      <c r="C563" s="300" t="s">
        <v>2666</v>
      </c>
      <c r="D563" s="300" t="s">
        <v>4871</v>
      </c>
      <c r="E563" s="300" t="s">
        <v>2468</v>
      </c>
      <c r="F563" s="300" t="s">
        <v>4858</v>
      </c>
      <c r="G563" s="300" t="s">
        <v>446</v>
      </c>
    </row>
    <row r="564" spans="1:7" ht="14.5">
      <c r="A564" s="300" t="s">
        <v>926</v>
      </c>
      <c r="B564" s="300" t="s">
        <v>2667</v>
      </c>
      <c r="C564" s="300" t="s">
        <v>2668</v>
      </c>
      <c r="D564" s="300" t="s">
        <v>4871</v>
      </c>
      <c r="E564" s="300" t="s">
        <v>2468</v>
      </c>
      <c r="F564" s="300" t="s">
        <v>4858</v>
      </c>
      <c r="G564" s="300" t="s">
        <v>446</v>
      </c>
    </row>
    <row r="565" spans="1:7" ht="14.5">
      <c r="A565" s="300" t="s">
        <v>926</v>
      </c>
      <c r="B565" s="300" t="s">
        <v>2669</v>
      </c>
      <c r="C565" s="300" t="s">
        <v>2670</v>
      </c>
      <c r="D565" s="300" t="s">
        <v>4871</v>
      </c>
      <c r="E565" s="300" t="s">
        <v>2468</v>
      </c>
      <c r="F565" s="300" t="s">
        <v>4858</v>
      </c>
      <c r="G565" s="300" t="s">
        <v>446</v>
      </c>
    </row>
    <row r="566" spans="1:7" ht="14.5">
      <c r="A566" s="300" t="s">
        <v>926</v>
      </c>
      <c r="B566" s="300" t="s">
        <v>2671</v>
      </c>
      <c r="C566" s="300" t="s">
        <v>2672</v>
      </c>
      <c r="D566" s="300" t="s">
        <v>4871</v>
      </c>
      <c r="E566" s="300" t="s">
        <v>2468</v>
      </c>
      <c r="F566" s="300" t="s">
        <v>4858</v>
      </c>
      <c r="G566" s="300" t="s">
        <v>446</v>
      </c>
    </row>
    <row r="567" spans="1:7" ht="14.5">
      <c r="A567" s="300" t="s">
        <v>926</v>
      </c>
      <c r="B567" s="300" t="s">
        <v>2675</v>
      </c>
      <c r="C567" s="300" t="s">
        <v>2676</v>
      </c>
      <c r="D567" s="300" t="s">
        <v>4871</v>
      </c>
      <c r="E567" s="300" t="s">
        <v>2468</v>
      </c>
      <c r="F567" s="300" t="s">
        <v>4858</v>
      </c>
      <c r="G567" s="300" t="s">
        <v>446</v>
      </c>
    </row>
    <row r="568" spans="1:7" ht="14.5">
      <c r="A568" s="300" t="s">
        <v>926</v>
      </c>
      <c r="B568" s="300" t="s">
        <v>2677</v>
      </c>
      <c r="C568" s="300" t="s">
        <v>2678</v>
      </c>
      <c r="D568" s="300" t="s">
        <v>4871</v>
      </c>
      <c r="E568" s="300" t="s">
        <v>2468</v>
      </c>
      <c r="F568" s="300" t="s">
        <v>4858</v>
      </c>
      <c r="G568" s="300" t="s">
        <v>446</v>
      </c>
    </row>
    <row r="569" spans="1:7" ht="14.5">
      <c r="A569" s="300" t="s">
        <v>926</v>
      </c>
      <c r="B569" s="300" t="s">
        <v>2679</v>
      </c>
      <c r="C569" s="300" t="s">
        <v>2680</v>
      </c>
      <c r="D569" s="300" t="s">
        <v>4871</v>
      </c>
      <c r="E569" s="300" t="s">
        <v>2468</v>
      </c>
      <c r="F569" s="300" t="s">
        <v>4858</v>
      </c>
      <c r="G569" s="300" t="s">
        <v>446</v>
      </c>
    </row>
    <row r="570" spans="1:7" ht="14.5">
      <c r="A570" s="300" t="s">
        <v>926</v>
      </c>
      <c r="B570" s="300" t="s">
        <v>2681</v>
      </c>
      <c r="C570" s="300" t="s">
        <v>2682</v>
      </c>
      <c r="D570" s="300" t="s">
        <v>4871</v>
      </c>
      <c r="E570" s="300" t="s">
        <v>2468</v>
      </c>
      <c r="F570" s="300" t="s">
        <v>4858</v>
      </c>
      <c r="G570" s="300" t="s">
        <v>446</v>
      </c>
    </row>
    <row r="571" spans="1:7" ht="14.5">
      <c r="A571" s="300" t="s">
        <v>926</v>
      </c>
      <c r="B571" s="300" t="s">
        <v>2683</v>
      </c>
      <c r="C571" s="300" t="s">
        <v>2684</v>
      </c>
      <c r="D571" s="300" t="s">
        <v>4871</v>
      </c>
      <c r="E571" s="300" t="s">
        <v>2468</v>
      </c>
      <c r="F571" s="300" t="s">
        <v>4858</v>
      </c>
      <c r="G571" s="300" t="s">
        <v>446</v>
      </c>
    </row>
    <row r="572" spans="1:7" ht="14.5">
      <c r="A572" s="300" t="s">
        <v>926</v>
      </c>
      <c r="B572" s="300" t="s">
        <v>2685</v>
      </c>
      <c r="C572" s="300" t="s">
        <v>2686</v>
      </c>
      <c r="D572" s="300" t="s">
        <v>4871</v>
      </c>
      <c r="E572" s="300" t="s">
        <v>2468</v>
      </c>
      <c r="F572" s="300" t="s">
        <v>4858</v>
      </c>
      <c r="G572" s="300" t="s">
        <v>446</v>
      </c>
    </row>
    <row r="573" spans="1:7" ht="14.5">
      <c r="A573" s="300" t="s">
        <v>926</v>
      </c>
      <c r="B573" s="300" t="s">
        <v>2687</v>
      </c>
      <c r="C573" s="300" t="s">
        <v>2688</v>
      </c>
      <c r="D573" s="300" t="s">
        <v>4871</v>
      </c>
      <c r="E573" s="300" t="s">
        <v>2468</v>
      </c>
      <c r="F573" s="300" t="s">
        <v>4858</v>
      </c>
      <c r="G573" s="300" t="s">
        <v>446</v>
      </c>
    </row>
    <row r="574" spans="1:7" ht="14.5">
      <c r="A574" s="300" t="s">
        <v>926</v>
      </c>
      <c r="B574" s="300" t="s">
        <v>2689</v>
      </c>
      <c r="C574" s="300" t="s">
        <v>2690</v>
      </c>
      <c r="D574" s="300" t="s">
        <v>4871</v>
      </c>
      <c r="E574" s="300" t="s">
        <v>2468</v>
      </c>
      <c r="F574" s="300" t="s">
        <v>4858</v>
      </c>
      <c r="G574" s="300" t="s">
        <v>446</v>
      </c>
    </row>
    <row r="575" spans="1:7" ht="14.5">
      <c r="A575" s="300" t="s">
        <v>926</v>
      </c>
      <c r="B575" s="300" t="s">
        <v>2693</v>
      </c>
      <c r="C575" s="300" t="s">
        <v>2694</v>
      </c>
      <c r="D575" s="300" t="s">
        <v>4871</v>
      </c>
      <c r="E575" s="300" t="s">
        <v>2468</v>
      </c>
      <c r="F575" s="300" t="s">
        <v>4858</v>
      </c>
      <c r="G575" s="300" t="s">
        <v>446</v>
      </c>
    </row>
    <row r="576" spans="1:7" ht="14.5">
      <c r="A576" s="300" t="s">
        <v>926</v>
      </c>
      <c r="B576" s="300" t="s">
        <v>2695</v>
      </c>
      <c r="C576" s="300" t="s">
        <v>2696</v>
      </c>
      <c r="D576" s="300" t="s">
        <v>4872</v>
      </c>
      <c r="E576" s="300" t="s">
        <v>448</v>
      </c>
      <c r="F576" s="300" t="s">
        <v>4858</v>
      </c>
      <c r="G576" s="300" t="s">
        <v>446</v>
      </c>
    </row>
    <row r="577" spans="1:7" ht="14.5">
      <c r="A577" s="300" t="s">
        <v>926</v>
      </c>
      <c r="B577" s="300" t="s">
        <v>2698</v>
      </c>
      <c r="C577" s="300" t="s">
        <v>2699</v>
      </c>
      <c r="D577" s="300" t="s">
        <v>4872</v>
      </c>
      <c r="E577" s="300" t="s">
        <v>448</v>
      </c>
      <c r="F577" s="300" t="s">
        <v>4858</v>
      </c>
      <c r="G577" s="300" t="s">
        <v>446</v>
      </c>
    </row>
    <row r="578" spans="1:7" ht="14.5">
      <c r="A578" s="300" t="s">
        <v>926</v>
      </c>
      <c r="B578" s="300" t="s">
        <v>2702</v>
      </c>
      <c r="C578" s="300" t="s">
        <v>2703</v>
      </c>
      <c r="D578" s="300" t="s">
        <v>4872</v>
      </c>
      <c r="E578" s="300" t="s">
        <v>448</v>
      </c>
      <c r="F578" s="300" t="s">
        <v>4858</v>
      </c>
      <c r="G578" s="300" t="s">
        <v>446</v>
      </c>
    </row>
    <row r="579" spans="1:7" ht="14.5">
      <c r="A579" s="300" t="s">
        <v>926</v>
      </c>
      <c r="B579" s="300" t="s">
        <v>2704</v>
      </c>
      <c r="C579" s="300" t="s">
        <v>2705</v>
      </c>
      <c r="D579" s="300" t="s">
        <v>4872</v>
      </c>
      <c r="E579" s="300" t="s">
        <v>448</v>
      </c>
      <c r="F579" s="300" t="s">
        <v>4858</v>
      </c>
      <c r="G579" s="300" t="s">
        <v>446</v>
      </c>
    </row>
    <row r="580" spans="1:7" ht="14.5">
      <c r="A580" s="300" t="s">
        <v>926</v>
      </c>
      <c r="B580" s="300" t="s">
        <v>2708</v>
      </c>
      <c r="C580" s="300" t="s">
        <v>2709</v>
      </c>
      <c r="D580" s="300" t="s">
        <v>4872</v>
      </c>
      <c r="E580" s="300" t="s">
        <v>448</v>
      </c>
      <c r="F580" s="300" t="s">
        <v>4858</v>
      </c>
      <c r="G580" s="300" t="s">
        <v>446</v>
      </c>
    </row>
    <row r="581" spans="1:7" ht="14.5">
      <c r="A581" s="300" t="s">
        <v>926</v>
      </c>
      <c r="B581" s="300" t="s">
        <v>2711</v>
      </c>
      <c r="C581" s="300" t="s">
        <v>2712</v>
      </c>
      <c r="D581" s="300" t="s">
        <v>4872</v>
      </c>
      <c r="E581" s="300" t="s">
        <v>448</v>
      </c>
      <c r="F581" s="300" t="s">
        <v>4858</v>
      </c>
      <c r="G581" s="300" t="s">
        <v>446</v>
      </c>
    </row>
    <row r="582" spans="1:7" ht="14.5">
      <c r="A582" s="300" t="s">
        <v>926</v>
      </c>
      <c r="B582" s="300" t="s">
        <v>2715</v>
      </c>
      <c r="C582" s="300" t="s">
        <v>2716</v>
      </c>
      <c r="D582" s="300" t="s">
        <v>4857</v>
      </c>
      <c r="E582" s="300" t="s">
        <v>1040</v>
      </c>
      <c r="F582" s="300" t="s">
        <v>4858</v>
      </c>
      <c r="G582" s="300" t="s">
        <v>446</v>
      </c>
    </row>
    <row r="583" spans="1:7" ht="14.5">
      <c r="A583" s="300" t="s">
        <v>926</v>
      </c>
      <c r="B583" s="300" t="s">
        <v>2719</v>
      </c>
      <c r="C583" s="300" t="s">
        <v>2720</v>
      </c>
      <c r="D583" s="300" t="s">
        <v>4872</v>
      </c>
      <c r="E583" s="300" t="s">
        <v>448</v>
      </c>
      <c r="F583" s="300" t="s">
        <v>4858</v>
      </c>
      <c r="G583" s="300" t="s">
        <v>446</v>
      </c>
    </row>
    <row r="584" spans="1:7" ht="14.5">
      <c r="A584" s="300" t="s">
        <v>926</v>
      </c>
      <c r="B584" s="300" t="s">
        <v>2723</v>
      </c>
      <c r="C584" s="300" t="s">
        <v>2724</v>
      </c>
      <c r="D584" s="300" t="s">
        <v>4872</v>
      </c>
      <c r="E584" s="300" t="s">
        <v>448</v>
      </c>
      <c r="F584" s="300" t="s">
        <v>4858</v>
      </c>
      <c r="G584" s="300" t="s">
        <v>446</v>
      </c>
    </row>
    <row r="585" spans="1:7" ht="14.5">
      <c r="A585" s="300" t="s">
        <v>926</v>
      </c>
      <c r="B585" s="300" t="s">
        <v>2725</v>
      </c>
      <c r="C585" s="300" t="s">
        <v>2726</v>
      </c>
      <c r="D585" s="300" t="s">
        <v>4872</v>
      </c>
      <c r="E585" s="300" t="s">
        <v>448</v>
      </c>
      <c r="F585" s="300" t="s">
        <v>4858</v>
      </c>
      <c r="G585" s="300" t="s">
        <v>446</v>
      </c>
    </row>
    <row r="586" spans="1:7" ht="14.5">
      <c r="A586" s="300" t="s">
        <v>926</v>
      </c>
      <c r="B586" s="300" t="s">
        <v>2729</v>
      </c>
      <c r="C586" s="300" t="s">
        <v>2730</v>
      </c>
      <c r="D586" s="300" t="s">
        <v>4872</v>
      </c>
      <c r="E586" s="300" t="s">
        <v>448</v>
      </c>
      <c r="F586" s="300" t="s">
        <v>4858</v>
      </c>
      <c r="G586" s="300" t="s">
        <v>446</v>
      </c>
    </row>
    <row r="587" spans="1:7" ht="14.5">
      <c r="A587" s="300" t="s">
        <v>926</v>
      </c>
      <c r="B587" s="300" t="s">
        <v>2733</v>
      </c>
      <c r="C587" s="300" t="s">
        <v>2734</v>
      </c>
      <c r="D587" s="300" t="s">
        <v>4872</v>
      </c>
      <c r="E587" s="300" t="s">
        <v>448</v>
      </c>
      <c r="F587" s="300" t="s">
        <v>4858</v>
      </c>
      <c r="G587" s="300" t="s">
        <v>446</v>
      </c>
    </row>
    <row r="588" spans="1:7" ht="14.5">
      <c r="A588" s="300" t="s">
        <v>926</v>
      </c>
      <c r="B588" s="300" t="s">
        <v>2735</v>
      </c>
      <c r="C588" s="300" t="s">
        <v>2736</v>
      </c>
      <c r="D588" s="300" t="s">
        <v>4872</v>
      </c>
      <c r="E588" s="300" t="s">
        <v>448</v>
      </c>
      <c r="F588" s="300" t="s">
        <v>4858</v>
      </c>
      <c r="G588" s="300" t="s">
        <v>446</v>
      </c>
    </row>
    <row r="589" spans="1:7" ht="14.5">
      <c r="A589" s="300" t="s">
        <v>926</v>
      </c>
      <c r="B589" s="300" t="s">
        <v>2738</v>
      </c>
      <c r="C589" s="300" t="s">
        <v>2739</v>
      </c>
      <c r="D589" s="300" t="s">
        <v>4872</v>
      </c>
      <c r="E589" s="300" t="s">
        <v>448</v>
      </c>
      <c r="F589" s="300" t="s">
        <v>4858</v>
      </c>
      <c r="G589" s="300" t="s">
        <v>446</v>
      </c>
    </row>
    <row r="590" spans="1:7" ht="14.5">
      <c r="A590" s="300" t="s">
        <v>926</v>
      </c>
      <c r="B590" s="300" t="s">
        <v>2742</v>
      </c>
      <c r="C590" s="300" t="s">
        <v>2743</v>
      </c>
      <c r="D590" s="300" t="s">
        <v>4872</v>
      </c>
      <c r="E590" s="300" t="s">
        <v>448</v>
      </c>
      <c r="F590" s="300" t="s">
        <v>4858</v>
      </c>
      <c r="G590" s="300" t="s">
        <v>446</v>
      </c>
    </row>
    <row r="591" spans="1:7" ht="14.5">
      <c r="A591" s="300" t="s">
        <v>926</v>
      </c>
      <c r="B591" s="300" t="s">
        <v>2746</v>
      </c>
      <c r="C591" s="300" t="s">
        <v>2747</v>
      </c>
      <c r="D591" s="300" t="s">
        <v>4872</v>
      </c>
      <c r="E591" s="300" t="s">
        <v>448</v>
      </c>
      <c r="F591" s="300" t="s">
        <v>4858</v>
      </c>
      <c r="G591" s="300" t="s">
        <v>446</v>
      </c>
    </row>
    <row r="592" spans="1:7" ht="14.5">
      <c r="A592" s="300" t="s">
        <v>926</v>
      </c>
      <c r="B592" s="300" t="s">
        <v>2750</v>
      </c>
      <c r="C592" s="300" t="s">
        <v>2751</v>
      </c>
      <c r="D592" s="300" t="s">
        <v>4872</v>
      </c>
      <c r="E592" s="300" t="s">
        <v>448</v>
      </c>
      <c r="F592" s="300" t="s">
        <v>4858</v>
      </c>
      <c r="G592" s="300" t="s">
        <v>446</v>
      </c>
    </row>
    <row r="593" spans="1:7" ht="14.5">
      <c r="A593" s="300" t="s">
        <v>926</v>
      </c>
      <c r="B593" s="300" t="s">
        <v>2752</v>
      </c>
      <c r="C593" s="300" t="s">
        <v>2753</v>
      </c>
      <c r="D593" s="300" t="s">
        <v>4872</v>
      </c>
      <c r="E593" s="300" t="s">
        <v>448</v>
      </c>
      <c r="F593" s="300" t="s">
        <v>4858</v>
      </c>
      <c r="G593" s="300" t="s">
        <v>446</v>
      </c>
    </row>
    <row r="594" spans="1:7" ht="14.5">
      <c r="A594" s="300" t="s">
        <v>926</v>
      </c>
      <c r="B594" s="300" t="s">
        <v>2756</v>
      </c>
      <c r="C594" s="300" t="s">
        <v>2757</v>
      </c>
      <c r="D594" s="300" t="s">
        <v>4872</v>
      </c>
      <c r="E594" s="300" t="s">
        <v>448</v>
      </c>
      <c r="F594" s="300" t="s">
        <v>4858</v>
      </c>
      <c r="G594" s="300" t="s">
        <v>446</v>
      </c>
    </row>
    <row r="595" spans="1:7" ht="14.5">
      <c r="A595" s="300" t="s">
        <v>926</v>
      </c>
      <c r="B595" s="300" t="s">
        <v>2758</v>
      </c>
      <c r="C595" s="300" t="s">
        <v>2759</v>
      </c>
      <c r="D595" s="300" t="s">
        <v>4872</v>
      </c>
      <c r="E595" s="300" t="s">
        <v>448</v>
      </c>
      <c r="F595" s="300" t="s">
        <v>4858</v>
      </c>
      <c r="G595" s="300" t="s">
        <v>446</v>
      </c>
    </row>
    <row r="596" spans="1:7" ht="14.5">
      <c r="A596" s="300" t="s">
        <v>926</v>
      </c>
      <c r="B596" s="300" t="s">
        <v>2762</v>
      </c>
      <c r="C596" s="300" t="s">
        <v>2763</v>
      </c>
      <c r="D596" s="300" t="s">
        <v>4872</v>
      </c>
      <c r="E596" s="300" t="s">
        <v>448</v>
      </c>
      <c r="F596" s="300" t="s">
        <v>4858</v>
      </c>
      <c r="G596" s="300" t="s">
        <v>446</v>
      </c>
    </row>
    <row r="597" spans="1:7" ht="14.5">
      <c r="A597" s="300" t="s">
        <v>926</v>
      </c>
      <c r="B597" s="300" t="s">
        <v>2766</v>
      </c>
      <c r="C597" s="300" t="s">
        <v>2767</v>
      </c>
      <c r="D597" s="300" t="s">
        <v>4872</v>
      </c>
      <c r="E597" s="300" t="s">
        <v>448</v>
      </c>
      <c r="F597" s="300" t="s">
        <v>4858</v>
      </c>
      <c r="G597" s="300" t="s">
        <v>446</v>
      </c>
    </row>
    <row r="598" spans="1:7" ht="14.5">
      <c r="A598" s="300" t="s">
        <v>926</v>
      </c>
      <c r="B598" s="300" t="s">
        <v>2769</v>
      </c>
      <c r="C598" s="300" t="s">
        <v>2770</v>
      </c>
      <c r="D598" s="300" t="s">
        <v>4872</v>
      </c>
      <c r="E598" s="300" t="s">
        <v>448</v>
      </c>
      <c r="F598" s="300" t="s">
        <v>4858</v>
      </c>
      <c r="G598" s="300" t="s">
        <v>446</v>
      </c>
    </row>
    <row r="599" spans="1:7" ht="14.5">
      <c r="A599" s="300" t="s">
        <v>926</v>
      </c>
      <c r="B599" s="300" t="s">
        <v>2773</v>
      </c>
      <c r="C599" s="300" t="s">
        <v>2774</v>
      </c>
      <c r="D599" s="300" t="s">
        <v>4872</v>
      </c>
      <c r="E599" s="300" t="s">
        <v>448</v>
      </c>
      <c r="F599" s="300" t="s">
        <v>4858</v>
      </c>
      <c r="G599" s="300" t="s">
        <v>446</v>
      </c>
    </row>
    <row r="600" spans="1:7" ht="14.5">
      <c r="A600" s="300" t="s">
        <v>926</v>
      </c>
      <c r="B600" s="300" t="s">
        <v>2777</v>
      </c>
      <c r="C600" s="300" t="s">
        <v>2778</v>
      </c>
      <c r="D600" s="300" t="s">
        <v>4872</v>
      </c>
      <c r="E600" s="300" t="s">
        <v>448</v>
      </c>
      <c r="F600" s="300" t="s">
        <v>4858</v>
      </c>
      <c r="G600" s="300" t="s">
        <v>446</v>
      </c>
    </row>
    <row r="601" spans="1:7" ht="14.5">
      <c r="A601" s="300" t="s">
        <v>926</v>
      </c>
      <c r="B601" s="300" t="s">
        <v>2781</v>
      </c>
      <c r="C601" s="300" t="s">
        <v>2782</v>
      </c>
      <c r="D601" s="300" t="s">
        <v>4872</v>
      </c>
      <c r="E601" s="300" t="s">
        <v>448</v>
      </c>
      <c r="F601" s="300" t="s">
        <v>4858</v>
      </c>
      <c r="G601" s="300" t="s">
        <v>446</v>
      </c>
    </row>
    <row r="602" spans="1:7" ht="14.5">
      <c r="A602" s="300" t="s">
        <v>926</v>
      </c>
      <c r="B602" s="300" t="s">
        <v>2784</v>
      </c>
      <c r="C602" s="300" t="s">
        <v>2785</v>
      </c>
      <c r="D602" s="300" t="s">
        <v>4872</v>
      </c>
      <c r="E602" s="300" t="s">
        <v>448</v>
      </c>
      <c r="F602" s="300" t="s">
        <v>4858</v>
      </c>
      <c r="G602" s="300" t="s">
        <v>446</v>
      </c>
    </row>
    <row r="603" spans="1:7" ht="14.5">
      <c r="A603" s="300" t="s">
        <v>926</v>
      </c>
      <c r="B603" s="300" t="s">
        <v>2788</v>
      </c>
      <c r="C603" s="300" t="s">
        <v>2789</v>
      </c>
      <c r="D603" s="300" t="s">
        <v>4872</v>
      </c>
      <c r="E603" s="300" t="s">
        <v>448</v>
      </c>
      <c r="F603" s="300" t="s">
        <v>4858</v>
      </c>
      <c r="G603" s="300" t="s">
        <v>446</v>
      </c>
    </row>
    <row r="604" spans="1:7" ht="14.5">
      <c r="A604" s="300" t="s">
        <v>926</v>
      </c>
      <c r="B604" s="300" t="s">
        <v>2792</v>
      </c>
      <c r="C604" s="300" t="s">
        <v>2793</v>
      </c>
      <c r="D604" s="300" t="s">
        <v>4872</v>
      </c>
      <c r="E604" s="300" t="s">
        <v>448</v>
      </c>
      <c r="F604" s="300" t="s">
        <v>4858</v>
      </c>
      <c r="G604" s="300" t="s">
        <v>446</v>
      </c>
    </row>
    <row r="605" spans="1:7" ht="14.5">
      <c r="A605" s="300" t="s">
        <v>926</v>
      </c>
      <c r="B605" s="300" t="s">
        <v>2796</v>
      </c>
      <c r="C605" s="300" t="s">
        <v>2797</v>
      </c>
      <c r="D605" s="300" t="s">
        <v>4872</v>
      </c>
      <c r="E605" s="300" t="s">
        <v>448</v>
      </c>
      <c r="F605" s="300" t="s">
        <v>4858</v>
      </c>
      <c r="G605" s="300" t="s">
        <v>446</v>
      </c>
    </row>
    <row r="606" spans="1:7" ht="14.5">
      <c r="A606" s="300" t="s">
        <v>926</v>
      </c>
      <c r="B606" s="300" t="s">
        <v>2800</v>
      </c>
      <c r="C606" s="300" t="s">
        <v>2801</v>
      </c>
      <c r="D606" s="300" t="s">
        <v>4872</v>
      </c>
      <c r="E606" s="300" t="s">
        <v>448</v>
      </c>
      <c r="F606" s="300" t="s">
        <v>4858</v>
      </c>
      <c r="G606" s="300" t="s">
        <v>446</v>
      </c>
    </row>
    <row r="607" spans="1:7" ht="14.5">
      <c r="A607" s="300" t="s">
        <v>926</v>
      </c>
      <c r="B607" s="300" t="s">
        <v>2804</v>
      </c>
      <c r="C607" s="300" t="s">
        <v>2805</v>
      </c>
      <c r="D607" s="300" t="s">
        <v>4872</v>
      </c>
      <c r="E607" s="300" t="s">
        <v>448</v>
      </c>
      <c r="F607" s="300" t="s">
        <v>4858</v>
      </c>
      <c r="G607" s="300" t="s">
        <v>446</v>
      </c>
    </row>
    <row r="608" spans="1:7" ht="14.5">
      <c r="A608" s="300" t="s">
        <v>926</v>
      </c>
      <c r="B608" s="300" t="s">
        <v>2808</v>
      </c>
      <c r="C608" s="300" t="s">
        <v>2809</v>
      </c>
      <c r="D608" s="300" t="s">
        <v>4872</v>
      </c>
      <c r="E608" s="300" t="s">
        <v>448</v>
      </c>
      <c r="F608" s="300" t="s">
        <v>4858</v>
      </c>
      <c r="G608" s="300" t="s">
        <v>446</v>
      </c>
    </row>
    <row r="609" spans="1:7" ht="14.5">
      <c r="A609" s="300" t="s">
        <v>926</v>
      </c>
      <c r="B609" s="300" t="s">
        <v>2811</v>
      </c>
      <c r="C609" s="300" t="s">
        <v>2812</v>
      </c>
      <c r="D609" s="300" t="s">
        <v>4872</v>
      </c>
      <c r="E609" s="300" t="s">
        <v>448</v>
      </c>
      <c r="F609" s="300" t="s">
        <v>4858</v>
      </c>
      <c r="G609" s="300" t="s">
        <v>446</v>
      </c>
    </row>
    <row r="610" spans="1:7" ht="14.5">
      <c r="A610" s="300" t="s">
        <v>926</v>
      </c>
      <c r="B610" s="300" t="s">
        <v>2815</v>
      </c>
      <c r="C610" s="300" t="s">
        <v>2816</v>
      </c>
      <c r="D610" s="300" t="s">
        <v>4872</v>
      </c>
      <c r="E610" s="300" t="s">
        <v>448</v>
      </c>
      <c r="F610" s="300" t="s">
        <v>4858</v>
      </c>
      <c r="G610" s="300" t="s">
        <v>446</v>
      </c>
    </row>
    <row r="611" spans="1:7" ht="14.5">
      <c r="A611" s="300" t="s">
        <v>926</v>
      </c>
      <c r="B611" s="300" t="s">
        <v>2819</v>
      </c>
      <c r="C611" s="300" t="s">
        <v>2820</v>
      </c>
      <c r="D611" s="300" t="s">
        <v>4872</v>
      </c>
      <c r="E611" s="300" t="s">
        <v>448</v>
      </c>
      <c r="F611" s="300" t="s">
        <v>4858</v>
      </c>
      <c r="G611" s="300" t="s">
        <v>446</v>
      </c>
    </row>
    <row r="612" spans="1:7" ht="14.5">
      <c r="A612" s="300" t="s">
        <v>926</v>
      </c>
      <c r="B612" s="300" t="s">
        <v>2823</v>
      </c>
      <c r="C612" s="300" t="s">
        <v>2824</v>
      </c>
      <c r="D612" s="300" t="s">
        <v>4872</v>
      </c>
      <c r="E612" s="300" t="s">
        <v>448</v>
      </c>
      <c r="F612" s="300" t="s">
        <v>4858</v>
      </c>
      <c r="G612" s="300" t="s">
        <v>446</v>
      </c>
    </row>
    <row r="613" spans="1:7" ht="14.5">
      <c r="A613" s="300" t="s">
        <v>926</v>
      </c>
      <c r="B613" s="300" t="s">
        <v>2827</v>
      </c>
      <c r="C613" s="300" t="s">
        <v>2828</v>
      </c>
      <c r="D613" s="300" t="s">
        <v>4872</v>
      </c>
      <c r="E613" s="300" t="s">
        <v>448</v>
      </c>
      <c r="F613" s="300" t="s">
        <v>4858</v>
      </c>
      <c r="G613" s="300" t="s">
        <v>446</v>
      </c>
    </row>
    <row r="614" spans="1:7" ht="14.5">
      <c r="A614" s="300" t="s">
        <v>926</v>
      </c>
      <c r="B614" s="300" t="s">
        <v>2831</v>
      </c>
      <c r="C614" s="300" t="s">
        <v>2832</v>
      </c>
      <c r="D614" s="300" t="s">
        <v>4872</v>
      </c>
      <c r="E614" s="300" t="s">
        <v>448</v>
      </c>
      <c r="F614" s="300" t="s">
        <v>4858</v>
      </c>
      <c r="G614" s="300" t="s">
        <v>446</v>
      </c>
    </row>
    <row r="615" spans="1:7" ht="14.5">
      <c r="A615" s="300" t="s">
        <v>926</v>
      </c>
      <c r="B615" s="300" t="s">
        <v>2833</v>
      </c>
      <c r="C615" s="300" t="s">
        <v>2834</v>
      </c>
      <c r="D615" s="300" t="s">
        <v>4872</v>
      </c>
      <c r="E615" s="300" t="s">
        <v>448</v>
      </c>
      <c r="F615" s="300" t="s">
        <v>4858</v>
      </c>
      <c r="G615" s="300" t="s">
        <v>446</v>
      </c>
    </row>
    <row r="616" spans="1:7" ht="14.5">
      <c r="A616" s="300" t="s">
        <v>926</v>
      </c>
      <c r="B616" s="300" t="s">
        <v>2837</v>
      </c>
      <c r="C616" s="300" t="s">
        <v>2832</v>
      </c>
      <c r="D616" s="300" t="s">
        <v>4872</v>
      </c>
      <c r="E616" s="300" t="s">
        <v>448</v>
      </c>
      <c r="F616" s="300" t="s">
        <v>4858</v>
      </c>
      <c r="G616" s="300" t="s">
        <v>446</v>
      </c>
    </row>
    <row r="617" spans="1:7" ht="14.5">
      <c r="A617" s="300" t="s">
        <v>926</v>
      </c>
      <c r="B617" s="300" t="s">
        <v>2838</v>
      </c>
      <c r="C617" s="300" t="s">
        <v>2839</v>
      </c>
      <c r="D617" s="300" t="s">
        <v>4872</v>
      </c>
      <c r="E617" s="300" t="s">
        <v>448</v>
      </c>
      <c r="F617" s="300" t="s">
        <v>4858</v>
      </c>
      <c r="G617" s="300" t="s">
        <v>446</v>
      </c>
    </row>
    <row r="618" spans="1:7" ht="14.5">
      <c r="A618" s="300" t="s">
        <v>926</v>
      </c>
      <c r="B618" s="300" t="s">
        <v>2842</v>
      </c>
      <c r="C618" s="300" t="s">
        <v>2843</v>
      </c>
      <c r="D618" s="300" t="s">
        <v>4871</v>
      </c>
      <c r="E618" s="300" t="s">
        <v>2468</v>
      </c>
      <c r="F618" s="300" t="s">
        <v>4858</v>
      </c>
      <c r="G618" s="300" t="s">
        <v>446</v>
      </c>
    </row>
    <row r="619" spans="1:7" ht="14.5">
      <c r="A619" s="300" t="s">
        <v>926</v>
      </c>
      <c r="B619" s="300" t="s">
        <v>2844</v>
      </c>
      <c r="C619" s="300" t="s">
        <v>2845</v>
      </c>
      <c r="D619" s="300" t="s">
        <v>4872</v>
      </c>
      <c r="E619" s="300" t="s">
        <v>448</v>
      </c>
      <c r="F619" s="300" t="s">
        <v>4858</v>
      </c>
      <c r="G619" s="300" t="s">
        <v>446</v>
      </c>
    </row>
    <row r="620" spans="1:7" ht="14.5">
      <c r="A620" s="300" t="s">
        <v>926</v>
      </c>
      <c r="B620" s="300" t="s">
        <v>2848</v>
      </c>
      <c r="C620" s="300" t="s">
        <v>2849</v>
      </c>
      <c r="D620" s="300" t="s">
        <v>4872</v>
      </c>
      <c r="E620" s="300" t="s">
        <v>448</v>
      </c>
      <c r="F620" s="300" t="s">
        <v>4858</v>
      </c>
      <c r="G620" s="300" t="s">
        <v>446</v>
      </c>
    </row>
    <row r="621" spans="1:7" ht="14.5">
      <c r="A621" s="300" t="s">
        <v>926</v>
      </c>
      <c r="B621" s="300" t="s">
        <v>2850</v>
      </c>
      <c r="C621" s="300" t="s">
        <v>2851</v>
      </c>
      <c r="D621" s="300" t="s">
        <v>4872</v>
      </c>
      <c r="E621" s="300" t="s">
        <v>448</v>
      </c>
      <c r="F621" s="300" t="s">
        <v>4858</v>
      </c>
      <c r="G621" s="300" t="s">
        <v>446</v>
      </c>
    </row>
    <row r="622" spans="1:7" ht="14.5">
      <c r="A622" s="300" t="s">
        <v>926</v>
      </c>
      <c r="B622" s="300" t="s">
        <v>2853</v>
      </c>
      <c r="C622" s="300" t="s">
        <v>2854</v>
      </c>
      <c r="D622" s="300" t="s">
        <v>4872</v>
      </c>
      <c r="E622" s="300" t="s">
        <v>448</v>
      </c>
      <c r="F622" s="300" t="s">
        <v>4858</v>
      </c>
      <c r="G622" s="300" t="s">
        <v>446</v>
      </c>
    </row>
    <row r="623" spans="1:7" ht="14.5">
      <c r="A623" s="300" t="s">
        <v>926</v>
      </c>
      <c r="B623" s="300" t="s">
        <v>2856</v>
      </c>
      <c r="C623" s="300" t="s">
        <v>2857</v>
      </c>
      <c r="D623" s="300" t="s">
        <v>4872</v>
      </c>
      <c r="E623" s="300" t="s">
        <v>448</v>
      </c>
      <c r="F623" s="300" t="s">
        <v>4858</v>
      </c>
      <c r="G623" s="300" t="s">
        <v>446</v>
      </c>
    </row>
    <row r="624" spans="1:7" ht="14.5">
      <c r="A624" s="300" t="s">
        <v>926</v>
      </c>
      <c r="B624" s="300" t="s">
        <v>2859</v>
      </c>
      <c r="C624" s="300" t="s">
        <v>2860</v>
      </c>
      <c r="D624" s="300" t="s">
        <v>4872</v>
      </c>
      <c r="E624" s="300" t="s">
        <v>448</v>
      </c>
      <c r="F624" s="300" t="s">
        <v>4858</v>
      </c>
      <c r="G624" s="300" t="s">
        <v>446</v>
      </c>
    </row>
    <row r="625" spans="1:7" ht="14.5">
      <c r="A625" s="300" t="s">
        <v>926</v>
      </c>
      <c r="B625" s="300" t="s">
        <v>2862</v>
      </c>
      <c r="C625" s="300" t="s">
        <v>2863</v>
      </c>
      <c r="D625" s="300" t="s">
        <v>4872</v>
      </c>
      <c r="E625" s="300" t="s">
        <v>448</v>
      </c>
      <c r="F625" s="300" t="s">
        <v>4858</v>
      </c>
      <c r="G625" s="300" t="s">
        <v>446</v>
      </c>
    </row>
    <row r="626" spans="1:7" ht="14.5">
      <c r="A626" s="300" t="s">
        <v>926</v>
      </c>
      <c r="B626" s="300" t="s">
        <v>2866</v>
      </c>
      <c r="C626" s="300" t="s">
        <v>2867</v>
      </c>
      <c r="D626" s="300" t="s">
        <v>4873</v>
      </c>
      <c r="E626" s="300" t="s">
        <v>2868</v>
      </c>
      <c r="F626" s="300" t="s">
        <v>4858</v>
      </c>
      <c r="G626" s="300" t="s">
        <v>446</v>
      </c>
    </row>
    <row r="627" spans="1:7" ht="14.5">
      <c r="A627" s="300" t="s">
        <v>926</v>
      </c>
      <c r="B627" s="300" t="s">
        <v>2869</v>
      </c>
      <c r="C627" s="300" t="s">
        <v>2870</v>
      </c>
      <c r="D627" s="300" t="s">
        <v>4874</v>
      </c>
      <c r="E627" s="300" t="s">
        <v>2873</v>
      </c>
      <c r="F627" s="300" t="s">
        <v>4858</v>
      </c>
      <c r="G627" s="300" t="s">
        <v>446</v>
      </c>
    </row>
    <row r="628" spans="1:7" ht="14.5">
      <c r="A628" s="300" t="s">
        <v>926</v>
      </c>
      <c r="B628" s="300" t="s">
        <v>2874</v>
      </c>
      <c r="C628" s="300" t="s">
        <v>2873</v>
      </c>
      <c r="D628" s="300" t="s">
        <v>4874</v>
      </c>
      <c r="E628" s="300" t="s">
        <v>2873</v>
      </c>
      <c r="F628" s="300" t="s">
        <v>4858</v>
      </c>
      <c r="G628" s="300" t="s">
        <v>446</v>
      </c>
    </row>
    <row r="629" spans="1:7" ht="14.5">
      <c r="A629" s="300" t="s">
        <v>926</v>
      </c>
      <c r="B629" s="300" t="s">
        <v>2875</v>
      </c>
      <c r="C629" s="300" t="s">
        <v>2876</v>
      </c>
      <c r="D629" s="300" t="s">
        <v>4873</v>
      </c>
      <c r="E629" s="300" t="s">
        <v>2868</v>
      </c>
      <c r="F629" s="300" t="s">
        <v>4858</v>
      </c>
      <c r="G629" s="300" t="s">
        <v>446</v>
      </c>
    </row>
    <row r="630" spans="1:7" ht="14.5">
      <c r="A630" s="300" t="s">
        <v>926</v>
      </c>
      <c r="B630" s="300" t="s">
        <v>2877</v>
      </c>
      <c r="C630" s="300" t="s">
        <v>2878</v>
      </c>
      <c r="D630" s="300" t="s">
        <v>4873</v>
      </c>
      <c r="E630" s="300" t="s">
        <v>2868</v>
      </c>
      <c r="F630" s="300" t="s">
        <v>4858</v>
      </c>
      <c r="G630" s="300" t="s">
        <v>446</v>
      </c>
    </row>
    <row r="631" spans="1:7" ht="14.5">
      <c r="A631" s="300" t="s">
        <v>926</v>
      </c>
      <c r="B631" s="300" t="s">
        <v>2881</v>
      </c>
      <c r="C631" s="300" t="s">
        <v>2882</v>
      </c>
      <c r="D631" s="300" t="s">
        <v>4873</v>
      </c>
      <c r="E631" s="300" t="s">
        <v>2868</v>
      </c>
      <c r="F631" s="300" t="s">
        <v>4858</v>
      </c>
      <c r="G631" s="300" t="s">
        <v>446</v>
      </c>
    </row>
    <row r="632" spans="1:7" ht="14.5">
      <c r="A632" s="300" t="s">
        <v>926</v>
      </c>
      <c r="B632" s="300" t="s">
        <v>2885</v>
      </c>
      <c r="C632" s="300" t="s">
        <v>1818</v>
      </c>
      <c r="D632" s="300" t="s">
        <v>4868</v>
      </c>
      <c r="E632" s="300" t="s">
        <v>1818</v>
      </c>
      <c r="F632" s="300" t="s">
        <v>4858</v>
      </c>
      <c r="G632" s="300" t="s">
        <v>446</v>
      </c>
    </row>
    <row r="633" spans="1:7" ht="14.5">
      <c r="A633" s="300" t="s">
        <v>926</v>
      </c>
      <c r="B633" s="300" t="s">
        <v>2887</v>
      </c>
      <c r="C633" s="300" t="s">
        <v>2888</v>
      </c>
      <c r="D633" s="300" t="s">
        <v>4868</v>
      </c>
      <c r="E633" s="300" t="s">
        <v>1818</v>
      </c>
      <c r="F633" s="300" t="s">
        <v>4858</v>
      </c>
      <c r="G633" s="300" t="s">
        <v>446</v>
      </c>
    </row>
    <row r="634" spans="1:7" ht="14.5">
      <c r="A634" s="300" t="s">
        <v>926</v>
      </c>
      <c r="B634" s="300" t="s">
        <v>2890</v>
      </c>
      <c r="C634" s="300" t="s">
        <v>2891</v>
      </c>
      <c r="D634" s="300" t="s">
        <v>4868</v>
      </c>
      <c r="E634" s="300" t="s">
        <v>1818</v>
      </c>
      <c r="F634" s="300" t="s">
        <v>4858</v>
      </c>
      <c r="G634" s="300" t="s">
        <v>446</v>
      </c>
    </row>
    <row r="635" spans="1:7" ht="14.5">
      <c r="A635" s="300" t="s">
        <v>926</v>
      </c>
      <c r="B635" s="300" t="s">
        <v>2893</v>
      </c>
      <c r="C635" s="300" t="s">
        <v>2894</v>
      </c>
      <c r="D635" s="300" t="s">
        <v>4868</v>
      </c>
      <c r="E635" s="300" t="s">
        <v>1818</v>
      </c>
      <c r="F635" s="300" t="s">
        <v>4858</v>
      </c>
      <c r="G635" s="300" t="s">
        <v>446</v>
      </c>
    </row>
    <row r="636" spans="1:7" ht="14.5">
      <c r="A636" s="300" t="s">
        <v>926</v>
      </c>
      <c r="B636" s="300" t="s">
        <v>2897</v>
      </c>
      <c r="C636" s="300" t="s">
        <v>2898</v>
      </c>
      <c r="D636" s="300" t="s">
        <v>4868</v>
      </c>
      <c r="E636" s="300" t="s">
        <v>1818</v>
      </c>
      <c r="F636" s="300" t="s">
        <v>4858</v>
      </c>
      <c r="G636" s="300" t="s">
        <v>446</v>
      </c>
    </row>
    <row r="637" spans="1:7" ht="14.5">
      <c r="A637" s="300" t="s">
        <v>926</v>
      </c>
      <c r="B637" s="300" t="s">
        <v>2899</v>
      </c>
      <c r="C637" s="300" t="s">
        <v>2900</v>
      </c>
      <c r="D637" s="300" t="s">
        <v>4868</v>
      </c>
      <c r="E637" s="300" t="s">
        <v>1818</v>
      </c>
      <c r="F637" s="300" t="s">
        <v>4858</v>
      </c>
      <c r="G637" s="300" t="s">
        <v>446</v>
      </c>
    </row>
    <row r="638" spans="1:7" ht="14.5">
      <c r="A638" s="300" t="s">
        <v>926</v>
      </c>
      <c r="B638" s="300" t="s">
        <v>2903</v>
      </c>
      <c r="C638" s="300" t="s">
        <v>2904</v>
      </c>
      <c r="D638" s="300" t="s">
        <v>4868</v>
      </c>
      <c r="E638" s="300" t="s">
        <v>1818</v>
      </c>
      <c r="F638" s="300" t="s">
        <v>4858</v>
      </c>
      <c r="G638" s="300" t="s">
        <v>446</v>
      </c>
    </row>
    <row r="639" spans="1:7" ht="14.5">
      <c r="A639" s="300" t="s">
        <v>926</v>
      </c>
      <c r="B639" s="300" t="s">
        <v>2905</v>
      </c>
      <c r="C639" s="300" t="s">
        <v>2906</v>
      </c>
      <c r="D639" s="300" t="s">
        <v>4868</v>
      </c>
      <c r="E639" s="300" t="s">
        <v>1818</v>
      </c>
      <c r="F639" s="300" t="s">
        <v>4858</v>
      </c>
      <c r="G639" s="300" t="s">
        <v>446</v>
      </c>
    </row>
    <row r="640" spans="1:7" ht="14.5">
      <c r="A640" s="300" t="s">
        <v>926</v>
      </c>
      <c r="B640" s="300" t="s">
        <v>2908</v>
      </c>
      <c r="C640" s="300" t="s">
        <v>2909</v>
      </c>
      <c r="D640" s="300" t="s">
        <v>4868</v>
      </c>
      <c r="E640" s="300" t="s">
        <v>1818</v>
      </c>
      <c r="F640" s="300" t="s">
        <v>4858</v>
      </c>
      <c r="G640" s="300" t="s">
        <v>446</v>
      </c>
    </row>
    <row r="641" spans="1:7" ht="14.5">
      <c r="A641" s="300" t="s">
        <v>926</v>
      </c>
      <c r="B641" s="300" t="s">
        <v>2910</v>
      </c>
      <c r="C641" s="300" t="s">
        <v>2911</v>
      </c>
      <c r="D641" s="300" t="s">
        <v>4868</v>
      </c>
      <c r="E641" s="300" t="s">
        <v>1818</v>
      </c>
      <c r="F641" s="300" t="s">
        <v>4858</v>
      </c>
      <c r="G641" s="300" t="s">
        <v>446</v>
      </c>
    </row>
    <row r="642" spans="1:7" ht="14.5">
      <c r="A642" s="300" t="s">
        <v>926</v>
      </c>
      <c r="B642" s="300" t="s">
        <v>2913</v>
      </c>
      <c r="C642" s="300" t="s">
        <v>2914</v>
      </c>
      <c r="D642" s="300" t="s">
        <v>4868</v>
      </c>
      <c r="E642" s="300" t="s">
        <v>1818</v>
      </c>
      <c r="F642" s="300" t="s">
        <v>4858</v>
      </c>
      <c r="G642" s="300" t="s">
        <v>446</v>
      </c>
    </row>
    <row r="643" spans="1:7" ht="14.5">
      <c r="A643" s="300" t="s">
        <v>926</v>
      </c>
      <c r="B643" s="300" t="s">
        <v>2915</v>
      </c>
      <c r="C643" s="300" t="s">
        <v>2916</v>
      </c>
      <c r="D643" s="300" t="s">
        <v>4868</v>
      </c>
      <c r="E643" s="300" t="s">
        <v>1818</v>
      </c>
      <c r="F643" s="300" t="s">
        <v>4858</v>
      </c>
      <c r="G643" s="300" t="s">
        <v>446</v>
      </c>
    </row>
    <row r="644" spans="1:7" ht="14.5">
      <c r="A644" s="300" t="s">
        <v>926</v>
      </c>
      <c r="B644" s="300" t="s">
        <v>2917</v>
      </c>
      <c r="C644" s="300" t="s">
        <v>2918</v>
      </c>
      <c r="D644" s="300" t="s">
        <v>4868</v>
      </c>
      <c r="E644" s="300" t="s">
        <v>1818</v>
      </c>
      <c r="F644" s="300" t="s">
        <v>4858</v>
      </c>
      <c r="G644" s="300" t="s">
        <v>446</v>
      </c>
    </row>
    <row r="645" spans="1:7" ht="14.5">
      <c r="A645" s="300" t="s">
        <v>926</v>
      </c>
      <c r="B645" s="300" t="s">
        <v>2919</v>
      </c>
      <c r="C645" s="300" t="s">
        <v>2920</v>
      </c>
      <c r="D645" s="300" t="s">
        <v>4857</v>
      </c>
      <c r="E645" s="300" t="s">
        <v>1040</v>
      </c>
      <c r="F645" s="300" t="s">
        <v>4858</v>
      </c>
      <c r="G645" s="300" t="s">
        <v>446</v>
      </c>
    </row>
    <row r="646" spans="1:7" ht="14.5">
      <c r="A646" s="300" t="s">
        <v>926</v>
      </c>
      <c r="B646" s="300" t="s">
        <v>2922</v>
      </c>
      <c r="C646" s="300" t="s">
        <v>2923</v>
      </c>
      <c r="D646" s="300" t="s">
        <v>4857</v>
      </c>
      <c r="E646" s="300" t="s">
        <v>1040</v>
      </c>
      <c r="F646" s="300" t="s">
        <v>4858</v>
      </c>
      <c r="G646" s="300" t="s">
        <v>446</v>
      </c>
    </row>
    <row r="647" spans="1:7" ht="14.5">
      <c r="A647" s="300" t="s">
        <v>926</v>
      </c>
      <c r="B647" s="300" t="s">
        <v>2925</v>
      </c>
      <c r="C647" s="300" t="s">
        <v>2926</v>
      </c>
      <c r="D647" s="300" t="s">
        <v>4857</v>
      </c>
      <c r="E647" s="300" t="s">
        <v>1040</v>
      </c>
      <c r="F647" s="300" t="s">
        <v>4858</v>
      </c>
      <c r="G647" s="300" t="s">
        <v>446</v>
      </c>
    </row>
    <row r="648" spans="1:7" ht="14.5">
      <c r="A648" s="300" t="s">
        <v>926</v>
      </c>
      <c r="B648" s="300" t="s">
        <v>2929</v>
      </c>
      <c r="C648" s="300" t="s">
        <v>2930</v>
      </c>
      <c r="D648" s="300" t="s">
        <v>4875</v>
      </c>
      <c r="E648" s="300" t="s">
        <v>2932</v>
      </c>
      <c r="F648" s="300" t="s">
        <v>4856</v>
      </c>
      <c r="G648" s="300" t="s">
        <v>449</v>
      </c>
    </row>
    <row r="649" spans="1:7" ht="14.5">
      <c r="A649" s="300" t="s">
        <v>926</v>
      </c>
      <c r="B649" s="300" t="s">
        <v>2933</v>
      </c>
      <c r="C649" s="300" t="s">
        <v>2934</v>
      </c>
      <c r="D649" s="300" t="s">
        <v>4876</v>
      </c>
      <c r="E649" s="300" t="s">
        <v>2936</v>
      </c>
      <c r="F649" s="300" t="s">
        <v>4856</v>
      </c>
      <c r="G649" s="300" t="s">
        <v>449</v>
      </c>
    </row>
    <row r="650" spans="1:7" ht="14.5">
      <c r="A650" s="300" t="s">
        <v>926</v>
      </c>
      <c r="B650" s="300" t="s">
        <v>2937</v>
      </c>
      <c r="C650" s="300" t="s">
        <v>2938</v>
      </c>
      <c r="D650" s="300" t="s">
        <v>4876</v>
      </c>
      <c r="E650" s="300" t="s">
        <v>2936</v>
      </c>
      <c r="F650" s="300" t="s">
        <v>4856</v>
      </c>
      <c r="G650" s="300" t="s">
        <v>449</v>
      </c>
    </row>
    <row r="651" spans="1:7" ht="14.5">
      <c r="A651" s="300" t="s">
        <v>926</v>
      </c>
      <c r="B651" s="300" t="s">
        <v>2941</v>
      </c>
      <c r="C651" s="300" t="s">
        <v>2942</v>
      </c>
      <c r="D651" s="300" t="s">
        <v>4875</v>
      </c>
      <c r="E651" s="300" t="s">
        <v>2932</v>
      </c>
      <c r="F651" s="300" t="s">
        <v>4856</v>
      </c>
      <c r="G651" s="300" t="s">
        <v>449</v>
      </c>
    </row>
    <row r="652" spans="1:7" ht="14.5">
      <c r="A652" s="300" t="s">
        <v>926</v>
      </c>
      <c r="B652" s="300" t="s">
        <v>2945</v>
      </c>
      <c r="C652" s="300" t="s">
        <v>2946</v>
      </c>
      <c r="D652" s="300" t="s">
        <v>4875</v>
      </c>
      <c r="E652" s="300" t="s">
        <v>2932</v>
      </c>
      <c r="F652" s="300" t="s">
        <v>4856</v>
      </c>
      <c r="G652" s="300" t="s">
        <v>449</v>
      </c>
    </row>
    <row r="653" spans="1:7" ht="14.5">
      <c r="A653" s="300" t="s">
        <v>926</v>
      </c>
      <c r="B653" s="300" t="s">
        <v>2947</v>
      </c>
      <c r="C653" s="300" t="s">
        <v>2948</v>
      </c>
      <c r="D653" s="300" t="s">
        <v>4875</v>
      </c>
      <c r="E653" s="300" t="s">
        <v>2932</v>
      </c>
      <c r="F653" s="300" t="s">
        <v>4856</v>
      </c>
      <c r="G653" s="300" t="s">
        <v>449</v>
      </c>
    </row>
    <row r="654" spans="1:7" ht="14.5">
      <c r="A654" s="300" t="s">
        <v>926</v>
      </c>
      <c r="B654" s="300" t="s">
        <v>2951</v>
      </c>
      <c r="C654" s="300" t="s">
        <v>2952</v>
      </c>
      <c r="D654" s="300" t="s">
        <v>4875</v>
      </c>
      <c r="E654" s="300" t="s">
        <v>2932</v>
      </c>
      <c r="F654" s="300" t="s">
        <v>4856</v>
      </c>
      <c r="G654" s="300" t="s">
        <v>449</v>
      </c>
    </row>
    <row r="655" spans="1:7" ht="14.5">
      <c r="A655" s="300" t="s">
        <v>926</v>
      </c>
      <c r="B655" s="300" t="s">
        <v>2953</v>
      </c>
      <c r="C655" s="300" t="s">
        <v>2930</v>
      </c>
      <c r="D655" s="300" t="s">
        <v>4875</v>
      </c>
      <c r="E655" s="300" t="s">
        <v>2932</v>
      </c>
      <c r="F655" s="300" t="s">
        <v>4856</v>
      </c>
      <c r="G655" s="300" t="s">
        <v>449</v>
      </c>
    </row>
    <row r="656" spans="1:7" ht="14.5">
      <c r="A656" s="300" t="s">
        <v>926</v>
      </c>
      <c r="B656" s="300" t="s">
        <v>2955</v>
      </c>
      <c r="C656" s="300" t="s">
        <v>2956</v>
      </c>
      <c r="D656" s="300" t="s">
        <v>4875</v>
      </c>
      <c r="E656" s="300" t="s">
        <v>2932</v>
      </c>
      <c r="F656" s="300" t="s">
        <v>4856</v>
      </c>
      <c r="G656" s="300" t="s">
        <v>449</v>
      </c>
    </row>
    <row r="657" spans="1:7" ht="14.5">
      <c r="A657" s="300" t="s">
        <v>926</v>
      </c>
      <c r="B657" s="300" t="s">
        <v>2959</v>
      </c>
      <c r="C657" s="300" t="s">
        <v>2960</v>
      </c>
      <c r="D657" s="300" t="s">
        <v>4877</v>
      </c>
      <c r="E657" s="300" t="s">
        <v>2962</v>
      </c>
      <c r="F657" s="300" t="s">
        <v>4858</v>
      </c>
      <c r="G657" s="300" t="s">
        <v>446</v>
      </c>
    </row>
    <row r="658" spans="1:7" ht="14.5">
      <c r="A658" s="300" t="s">
        <v>926</v>
      </c>
      <c r="B658" s="300" t="s">
        <v>2963</v>
      </c>
      <c r="C658" s="300" t="s">
        <v>2964</v>
      </c>
      <c r="D658" s="300" t="s">
        <v>4877</v>
      </c>
      <c r="E658" s="300" t="s">
        <v>2962</v>
      </c>
      <c r="F658" s="300" t="s">
        <v>4858</v>
      </c>
      <c r="G658" s="300" t="s">
        <v>446</v>
      </c>
    </row>
    <row r="659" spans="1:7" ht="14.5">
      <c r="A659" s="300" t="s">
        <v>926</v>
      </c>
      <c r="B659" s="300" t="s">
        <v>2965</v>
      </c>
      <c r="C659" s="300" t="s">
        <v>2966</v>
      </c>
      <c r="D659" s="300" t="s">
        <v>4877</v>
      </c>
      <c r="E659" s="300" t="s">
        <v>2962</v>
      </c>
      <c r="F659" s="300" t="s">
        <v>4858</v>
      </c>
      <c r="G659" s="300" t="s">
        <v>446</v>
      </c>
    </row>
    <row r="660" spans="1:7" ht="14.5">
      <c r="A660" s="300" t="s">
        <v>926</v>
      </c>
      <c r="B660" s="300" t="s">
        <v>2969</v>
      </c>
      <c r="C660" s="300" t="s">
        <v>2970</v>
      </c>
      <c r="D660" s="300" t="s">
        <v>4877</v>
      </c>
      <c r="E660" s="300" t="s">
        <v>2962</v>
      </c>
      <c r="F660" s="300" t="s">
        <v>4858</v>
      </c>
      <c r="G660" s="300" t="s">
        <v>446</v>
      </c>
    </row>
    <row r="661" spans="1:7" ht="14.5">
      <c r="A661" s="300" t="s">
        <v>926</v>
      </c>
      <c r="B661" s="300" t="s">
        <v>2973</v>
      </c>
      <c r="C661" s="300" t="s">
        <v>2974</v>
      </c>
      <c r="D661" s="300" t="s">
        <v>4877</v>
      </c>
      <c r="E661" s="300" t="s">
        <v>2962</v>
      </c>
      <c r="F661" s="300" t="s">
        <v>4858</v>
      </c>
      <c r="G661" s="300" t="s">
        <v>446</v>
      </c>
    </row>
    <row r="662" spans="1:7" ht="14.5">
      <c r="A662" s="300" t="s">
        <v>926</v>
      </c>
      <c r="B662" s="300" t="s">
        <v>2977</v>
      </c>
      <c r="C662" s="300" t="s">
        <v>2978</v>
      </c>
      <c r="D662" s="300" t="s">
        <v>4877</v>
      </c>
      <c r="E662" s="300" t="s">
        <v>2962</v>
      </c>
      <c r="F662" s="300" t="s">
        <v>4858</v>
      </c>
      <c r="G662" s="300" t="s">
        <v>446</v>
      </c>
    </row>
    <row r="663" spans="1:7" ht="14.5">
      <c r="A663" s="300" t="s">
        <v>926</v>
      </c>
      <c r="B663" s="300" t="s">
        <v>2981</v>
      </c>
      <c r="C663" s="300" t="s">
        <v>2982</v>
      </c>
      <c r="D663" s="300" t="s">
        <v>4877</v>
      </c>
      <c r="E663" s="300" t="s">
        <v>2962</v>
      </c>
      <c r="F663" s="300" t="s">
        <v>4858</v>
      </c>
      <c r="G663" s="300" t="s">
        <v>446</v>
      </c>
    </row>
    <row r="664" spans="1:7" ht="14.5">
      <c r="A664" s="300" t="s">
        <v>926</v>
      </c>
      <c r="B664" s="300" t="s">
        <v>2985</v>
      </c>
      <c r="C664" s="300" t="s">
        <v>2986</v>
      </c>
      <c r="D664" s="300" t="s">
        <v>4877</v>
      </c>
      <c r="E664" s="300" t="s">
        <v>2962</v>
      </c>
      <c r="F664" s="300" t="s">
        <v>4858</v>
      </c>
      <c r="G664" s="300" t="s">
        <v>446</v>
      </c>
    </row>
    <row r="665" spans="1:7" ht="14.5">
      <c r="A665" s="300" t="s">
        <v>926</v>
      </c>
      <c r="B665" s="300" t="s">
        <v>2987</v>
      </c>
      <c r="C665" s="300" t="s">
        <v>2988</v>
      </c>
      <c r="D665" s="300" t="s">
        <v>4877</v>
      </c>
      <c r="E665" s="300" t="s">
        <v>2962</v>
      </c>
      <c r="F665" s="300" t="s">
        <v>4858</v>
      </c>
      <c r="G665" s="300" t="s">
        <v>446</v>
      </c>
    </row>
    <row r="666" spans="1:7" ht="14.5">
      <c r="A666" s="300" t="s">
        <v>926</v>
      </c>
      <c r="B666" s="300" t="s">
        <v>2989</v>
      </c>
      <c r="C666" s="300" t="s">
        <v>2982</v>
      </c>
      <c r="D666" s="300" t="s">
        <v>4877</v>
      </c>
      <c r="E666" s="300" t="s">
        <v>2962</v>
      </c>
      <c r="F666" s="300" t="s">
        <v>4858</v>
      </c>
      <c r="G666" s="300" t="s">
        <v>446</v>
      </c>
    </row>
    <row r="667" spans="1:7" ht="14.5">
      <c r="A667" s="300" t="s">
        <v>926</v>
      </c>
      <c r="B667" s="300" t="s">
        <v>2990</v>
      </c>
      <c r="C667" s="300" t="s">
        <v>2991</v>
      </c>
      <c r="D667" s="300" t="s">
        <v>4877</v>
      </c>
      <c r="E667" s="300" t="s">
        <v>2962</v>
      </c>
      <c r="F667" s="300" t="s">
        <v>4858</v>
      </c>
      <c r="G667" s="300" t="s">
        <v>446</v>
      </c>
    </row>
    <row r="668" spans="1:7" ht="14.5">
      <c r="A668" s="300" t="s">
        <v>926</v>
      </c>
      <c r="B668" s="300" t="s">
        <v>2993</v>
      </c>
      <c r="C668" s="300" t="s">
        <v>2994</v>
      </c>
      <c r="D668" s="300" t="s">
        <v>4877</v>
      </c>
      <c r="E668" s="300" t="s">
        <v>2962</v>
      </c>
      <c r="F668" s="300" t="s">
        <v>4858</v>
      </c>
      <c r="G668" s="300" t="s">
        <v>446</v>
      </c>
    </row>
    <row r="669" spans="1:7" ht="14.5">
      <c r="A669" s="300" t="s">
        <v>926</v>
      </c>
      <c r="B669" s="300" t="s">
        <v>2996</v>
      </c>
      <c r="C669" s="300" t="s">
        <v>2997</v>
      </c>
      <c r="D669" s="300" t="s">
        <v>4877</v>
      </c>
      <c r="E669" s="300" t="s">
        <v>2962</v>
      </c>
      <c r="F669" s="300" t="s">
        <v>4858</v>
      </c>
      <c r="G669" s="300" t="s">
        <v>446</v>
      </c>
    </row>
    <row r="670" spans="1:7" ht="14.5">
      <c r="A670" s="300" t="s">
        <v>926</v>
      </c>
      <c r="B670" s="300" t="s">
        <v>3000</v>
      </c>
      <c r="C670" s="300" t="s">
        <v>3001</v>
      </c>
      <c r="D670" s="300" t="s">
        <v>4877</v>
      </c>
      <c r="E670" s="300" t="s">
        <v>2962</v>
      </c>
      <c r="F670" s="300" t="s">
        <v>4858</v>
      </c>
      <c r="G670" s="300" t="s">
        <v>446</v>
      </c>
    </row>
    <row r="671" spans="1:7" ht="14.5">
      <c r="A671" s="300" t="s">
        <v>926</v>
      </c>
      <c r="B671" s="300" t="s">
        <v>3002</v>
      </c>
      <c r="C671" s="300" t="s">
        <v>3003</v>
      </c>
      <c r="D671" s="300" t="s">
        <v>4877</v>
      </c>
      <c r="E671" s="300" t="s">
        <v>2962</v>
      </c>
      <c r="F671" s="300" t="s">
        <v>4858</v>
      </c>
      <c r="G671" s="300" t="s">
        <v>446</v>
      </c>
    </row>
    <row r="672" spans="1:7" ht="14.5">
      <c r="A672" s="300" t="s">
        <v>926</v>
      </c>
      <c r="B672" s="300" t="s">
        <v>3006</v>
      </c>
      <c r="C672" s="300" t="s">
        <v>3007</v>
      </c>
      <c r="D672" s="300" t="s">
        <v>4877</v>
      </c>
      <c r="E672" s="300" t="s">
        <v>2962</v>
      </c>
      <c r="F672" s="300" t="s">
        <v>4858</v>
      </c>
      <c r="G672" s="300" t="s">
        <v>446</v>
      </c>
    </row>
    <row r="673" spans="1:7" ht="14.5">
      <c r="A673" s="300" t="s">
        <v>926</v>
      </c>
      <c r="B673" s="300" t="s">
        <v>3010</v>
      </c>
      <c r="C673" s="300" t="s">
        <v>3011</v>
      </c>
      <c r="D673" s="300" t="s">
        <v>4877</v>
      </c>
      <c r="E673" s="300" t="s">
        <v>2962</v>
      </c>
      <c r="F673" s="300" t="s">
        <v>4858</v>
      </c>
      <c r="G673" s="300" t="s">
        <v>446</v>
      </c>
    </row>
    <row r="674" spans="1:7" ht="14.5">
      <c r="A674" s="300" t="s">
        <v>926</v>
      </c>
      <c r="B674" s="300" t="s">
        <v>3014</v>
      </c>
      <c r="C674" s="300" t="s">
        <v>3015</v>
      </c>
      <c r="D674" s="300" t="s">
        <v>4877</v>
      </c>
      <c r="E674" s="300" t="s">
        <v>2962</v>
      </c>
      <c r="F674" s="300" t="s">
        <v>4858</v>
      </c>
      <c r="G674" s="300" t="s">
        <v>446</v>
      </c>
    </row>
    <row r="675" spans="1:7" ht="14.5">
      <c r="A675" s="300" t="s">
        <v>926</v>
      </c>
      <c r="B675" s="300" t="s">
        <v>3018</v>
      </c>
      <c r="C675" s="300" t="s">
        <v>3019</v>
      </c>
      <c r="D675" s="300" t="s">
        <v>4877</v>
      </c>
      <c r="E675" s="300" t="s">
        <v>2962</v>
      </c>
      <c r="F675" s="300" t="s">
        <v>4858</v>
      </c>
      <c r="G675" s="300" t="s">
        <v>446</v>
      </c>
    </row>
    <row r="676" spans="1:7" ht="14.5">
      <c r="A676" s="300" t="s">
        <v>926</v>
      </c>
      <c r="B676" s="300" t="s">
        <v>3022</v>
      </c>
      <c r="C676" s="300" t="s">
        <v>3023</v>
      </c>
      <c r="D676" s="300" t="s">
        <v>4877</v>
      </c>
      <c r="E676" s="300" t="s">
        <v>2962</v>
      </c>
      <c r="F676" s="300" t="s">
        <v>4858</v>
      </c>
      <c r="G676" s="300" t="s">
        <v>446</v>
      </c>
    </row>
    <row r="677" spans="1:7" ht="14.5">
      <c r="A677" s="300" t="s">
        <v>926</v>
      </c>
      <c r="B677" s="300" t="s">
        <v>3024</v>
      </c>
      <c r="C677" s="300" t="s">
        <v>3025</v>
      </c>
      <c r="D677" s="300" t="s">
        <v>4877</v>
      </c>
      <c r="E677" s="300" t="s">
        <v>2962</v>
      </c>
      <c r="F677" s="300" t="s">
        <v>4858</v>
      </c>
      <c r="G677" s="300" t="s">
        <v>446</v>
      </c>
    </row>
    <row r="678" spans="1:7" ht="14.5">
      <c r="A678" s="300" t="s">
        <v>926</v>
      </c>
      <c r="B678" s="300" t="s">
        <v>3026</v>
      </c>
      <c r="C678" s="300" t="s">
        <v>3027</v>
      </c>
      <c r="D678" s="300" t="s">
        <v>4877</v>
      </c>
      <c r="E678" s="300" t="s">
        <v>2962</v>
      </c>
      <c r="F678" s="300" t="s">
        <v>4858</v>
      </c>
      <c r="G678" s="300" t="s">
        <v>446</v>
      </c>
    </row>
    <row r="679" spans="1:7" ht="14.5">
      <c r="A679" s="300" t="s">
        <v>926</v>
      </c>
      <c r="B679" s="300" t="s">
        <v>3029</v>
      </c>
      <c r="C679" s="300" t="s">
        <v>3030</v>
      </c>
      <c r="D679" s="300" t="s">
        <v>4877</v>
      </c>
      <c r="E679" s="300" t="s">
        <v>2962</v>
      </c>
      <c r="F679" s="300" t="s">
        <v>4858</v>
      </c>
      <c r="G679" s="300" t="s">
        <v>446</v>
      </c>
    </row>
    <row r="680" spans="1:7" ht="14.5">
      <c r="A680" s="300" t="s">
        <v>926</v>
      </c>
      <c r="B680" s="300" t="s">
        <v>3033</v>
      </c>
      <c r="C680" s="300" t="s">
        <v>3034</v>
      </c>
      <c r="D680" s="300" t="s">
        <v>4877</v>
      </c>
      <c r="E680" s="300" t="s">
        <v>2962</v>
      </c>
      <c r="F680" s="300" t="s">
        <v>4858</v>
      </c>
      <c r="G680" s="300" t="s">
        <v>446</v>
      </c>
    </row>
    <row r="681" spans="1:7" ht="14.5">
      <c r="A681" s="300" t="s">
        <v>926</v>
      </c>
      <c r="B681" s="300" t="s">
        <v>3037</v>
      </c>
      <c r="C681" s="300" t="s">
        <v>3038</v>
      </c>
      <c r="D681" s="300" t="s">
        <v>4877</v>
      </c>
      <c r="E681" s="300" t="s">
        <v>2962</v>
      </c>
      <c r="F681" s="300" t="s">
        <v>4858</v>
      </c>
      <c r="G681" s="300" t="s">
        <v>446</v>
      </c>
    </row>
    <row r="682" spans="1:7" ht="14.5">
      <c r="A682" s="300" t="s">
        <v>926</v>
      </c>
      <c r="B682" s="300" t="s">
        <v>3039</v>
      </c>
      <c r="C682" s="300" t="s">
        <v>3040</v>
      </c>
      <c r="D682" s="300" t="s">
        <v>4877</v>
      </c>
      <c r="E682" s="300" t="s">
        <v>2962</v>
      </c>
      <c r="F682" s="300" t="s">
        <v>4858</v>
      </c>
      <c r="G682" s="300" t="s">
        <v>446</v>
      </c>
    </row>
    <row r="683" spans="1:7" ht="14.5">
      <c r="A683" s="300" t="s">
        <v>926</v>
      </c>
      <c r="B683" s="300" t="s">
        <v>3042</v>
      </c>
      <c r="C683" s="300" t="s">
        <v>3043</v>
      </c>
      <c r="D683" s="300" t="s">
        <v>4877</v>
      </c>
      <c r="E683" s="300" t="s">
        <v>2962</v>
      </c>
      <c r="F683" s="300" t="s">
        <v>4858</v>
      </c>
      <c r="G683" s="300" t="s">
        <v>446</v>
      </c>
    </row>
    <row r="684" spans="1:7" ht="14.5">
      <c r="A684" s="300" t="s">
        <v>926</v>
      </c>
      <c r="B684" s="300" t="s">
        <v>3046</v>
      </c>
      <c r="C684" s="300" t="s">
        <v>3047</v>
      </c>
      <c r="D684" s="300" t="s">
        <v>4877</v>
      </c>
      <c r="E684" s="300" t="s">
        <v>2962</v>
      </c>
      <c r="F684" s="300" t="s">
        <v>4858</v>
      </c>
      <c r="G684" s="300" t="s">
        <v>446</v>
      </c>
    </row>
    <row r="685" spans="1:7" ht="14.5">
      <c r="A685" s="300" t="s">
        <v>926</v>
      </c>
      <c r="B685" s="300" t="s">
        <v>3050</v>
      </c>
      <c r="C685" s="300" t="s">
        <v>3051</v>
      </c>
      <c r="D685" s="300" t="s">
        <v>4877</v>
      </c>
      <c r="E685" s="300" t="s">
        <v>2962</v>
      </c>
      <c r="F685" s="300" t="s">
        <v>4858</v>
      </c>
      <c r="G685" s="300" t="s">
        <v>446</v>
      </c>
    </row>
    <row r="686" spans="1:7" ht="14.5">
      <c r="A686" s="300" t="s">
        <v>926</v>
      </c>
      <c r="B686" s="300" t="s">
        <v>3052</v>
      </c>
      <c r="C686" s="300" t="s">
        <v>3053</v>
      </c>
      <c r="D686" s="300" t="s">
        <v>4877</v>
      </c>
      <c r="E686" s="300" t="s">
        <v>2962</v>
      </c>
      <c r="F686" s="300" t="s">
        <v>4858</v>
      </c>
      <c r="G686" s="300" t="s">
        <v>446</v>
      </c>
    </row>
    <row r="687" spans="1:7" ht="14.5">
      <c r="A687" s="300" t="s">
        <v>926</v>
      </c>
      <c r="B687" s="300" t="s">
        <v>3056</v>
      </c>
      <c r="C687" s="300" t="s">
        <v>3057</v>
      </c>
      <c r="D687" s="300" t="s">
        <v>4877</v>
      </c>
      <c r="E687" s="300" t="s">
        <v>2962</v>
      </c>
      <c r="F687" s="300" t="s">
        <v>4858</v>
      </c>
      <c r="G687" s="300" t="s">
        <v>446</v>
      </c>
    </row>
    <row r="688" spans="1:7" ht="14.5">
      <c r="A688" s="300" t="s">
        <v>926</v>
      </c>
      <c r="B688" s="300" t="s">
        <v>3058</v>
      </c>
      <c r="C688" s="300" t="s">
        <v>3059</v>
      </c>
      <c r="D688" s="300" t="s">
        <v>4877</v>
      </c>
      <c r="E688" s="300" t="s">
        <v>2962</v>
      </c>
      <c r="F688" s="300" t="s">
        <v>4858</v>
      </c>
      <c r="G688" s="300" t="s">
        <v>446</v>
      </c>
    </row>
    <row r="689" spans="1:7" ht="14.5">
      <c r="A689" s="300" t="s">
        <v>926</v>
      </c>
      <c r="B689" s="300" t="s">
        <v>3061</v>
      </c>
      <c r="C689" s="300" t="s">
        <v>3062</v>
      </c>
      <c r="D689" s="300" t="s">
        <v>4877</v>
      </c>
      <c r="E689" s="300" t="s">
        <v>2962</v>
      </c>
      <c r="F689" s="300" t="s">
        <v>4858</v>
      </c>
      <c r="G689" s="300" t="s">
        <v>446</v>
      </c>
    </row>
    <row r="690" spans="1:7" ht="14.5">
      <c r="A690" s="300" t="s">
        <v>926</v>
      </c>
      <c r="B690" s="300" t="s">
        <v>3064</v>
      </c>
      <c r="C690" s="300" t="s">
        <v>3065</v>
      </c>
      <c r="D690" s="300" t="s">
        <v>4877</v>
      </c>
      <c r="E690" s="300" t="s">
        <v>2962</v>
      </c>
      <c r="F690" s="300" t="s">
        <v>4858</v>
      </c>
      <c r="G690" s="300" t="s">
        <v>446</v>
      </c>
    </row>
    <row r="691" spans="1:7" ht="14.5">
      <c r="A691" s="300" t="s">
        <v>926</v>
      </c>
      <c r="B691" s="300" t="s">
        <v>3068</v>
      </c>
      <c r="C691" s="300" t="s">
        <v>3069</v>
      </c>
      <c r="D691" s="300" t="s">
        <v>4877</v>
      </c>
      <c r="E691" s="300" t="s">
        <v>2962</v>
      </c>
      <c r="F691" s="300" t="s">
        <v>4858</v>
      </c>
      <c r="G691" s="300" t="s">
        <v>446</v>
      </c>
    </row>
    <row r="692" spans="1:7" ht="14.5">
      <c r="A692" s="300" t="s">
        <v>926</v>
      </c>
      <c r="B692" s="300" t="s">
        <v>3070</v>
      </c>
      <c r="C692" s="300" t="s">
        <v>3071</v>
      </c>
      <c r="D692" s="300" t="s">
        <v>4877</v>
      </c>
      <c r="E692" s="300" t="s">
        <v>2962</v>
      </c>
      <c r="F692" s="300" t="s">
        <v>4858</v>
      </c>
      <c r="G692" s="300" t="s">
        <v>446</v>
      </c>
    </row>
    <row r="693" spans="1:7" ht="14.5">
      <c r="A693" s="300" t="s">
        <v>926</v>
      </c>
      <c r="B693" s="300" t="s">
        <v>3072</v>
      </c>
      <c r="C693" s="300" t="s">
        <v>3073</v>
      </c>
      <c r="D693" s="300" t="s">
        <v>4877</v>
      </c>
      <c r="E693" s="300" t="s">
        <v>2962</v>
      </c>
      <c r="F693" s="300" t="s">
        <v>4858</v>
      </c>
      <c r="G693" s="300" t="s">
        <v>446</v>
      </c>
    </row>
    <row r="694" spans="1:7" ht="14.5">
      <c r="A694" s="300" t="s">
        <v>926</v>
      </c>
      <c r="B694" s="300" t="s">
        <v>3076</v>
      </c>
      <c r="C694" s="300" t="s">
        <v>3077</v>
      </c>
      <c r="D694" s="300" t="s">
        <v>4877</v>
      </c>
      <c r="E694" s="300" t="s">
        <v>2962</v>
      </c>
      <c r="F694" s="300" t="s">
        <v>4858</v>
      </c>
      <c r="G694" s="300" t="s">
        <v>446</v>
      </c>
    </row>
    <row r="695" spans="1:7" ht="14.5">
      <c r="A695" s="300" t="s">
        <v>926</v>
      </c>
      <c r="B695" s="300" t="s">
        <v>3078</v>
      </c>
      <c r="C695" s="300" t="s">
        <v>3079</v>
      </c>
      <c r="D695" s="300" t="s">
        <v>4877</v>
      </c>
      <c r="E695" s="300" t="s">
        <v>2962</v>
      </c>
      <c r="F695" s="300" t="s">
        <v>4858</v>
      </c>
      <c r="G695" s="300" t="s">
        <v>446</v>
      </c>
    </row>
    <row r="696" spans="1:7" ht="14.5">
      <c r="A696" s="300" t="s">
        <v>926</v>
      </c>
      <c r="B696" s="300" t="s">
        <v>3080</v>
      </c>
      <c r="C696" s="300" t="s">
        <v>3081</v>
      </c>
      <c r="D696" s="300" t="s">
        <v>4877</v>
      </c>
      <c r="E696" s="300" t="s">
        <v>2962</v>
      </c>
      <c r="F696" s="300" t="s">
        <v>4858</v>
      </c>
      <c r="G696" s="300" t="s">
        <v>446</v>
      </c>
    </row>
    <row r="697" spans="1:7" ht="14.5">
      <c r="A697" s="300" t="s">
        <v>926</v>
      </c>
      <c r="B697" s="300" t="s">
        <v>3082</v>
      </c>
      <c r="C697" s="300" t="s">
        <v>3083</v>
      </c>
      <c r="D697" s="300" t="s">
        <v>4877</v>
      </c>
      <c r="E697" s="300" t="s">
        <v>2962</v>
      </c>
      <c r="F697" s="300" t="s">
        <v>4858</v>
      </c>
      <c r="G697" s="300" t="s">
        <v>446</v>
      </c>
    </row>
    <row r="698" spans="1:7" ht="14.5">
      <c r="A698" s="300" t="s">
        <v>926</v>
      </c>
      <c r="B698" s="300" t="s">
        <v>3084</v>
      </c>
      <c r="C698" s="300" t="s">
        <v>3085</v>
      </c>
      <c r="D698" s="300" t="s">
        <v>4877</v>
      </c>
      <c r="E698" s="300" t="s">
        <v>2962</v>
      </c>
      <c r="F698" s="300" t="s">
        <v>4858</v>
      </c>
      <c r="G698" s="300" t="s">
        <v>446</v>
      </c>
    </row>
    <row r="699" spans="1:7" ht="14.5">
      <c r="A699" s="300" t="s">
        <v>926</v>
      </c>
      <c r="B699" s="300" t="s">
        <v>3088</v>
      </c>
      <c r="C699" s="300" t="s">
        <v>3089</v>
      </c>
      <c r="D699" s="300" t="s">
        <v>4877</v>
      </c>
      <c r="E699" s="300" t="s">
        <v>2962</v>
      </c>
      <c r="F699" s="300" t="s">
        <v>4858</v>
      </c>
      <c r="G699" s="300" t="s">
        <v>446</v>
      </c>
    </row>
    <row r="700" spans="1:7" ht="14.5">
      <c r="A700" s="300" t="s">
        <v>926</v>
      </c>
      <c r="B700" s="300" t="s">
        <v>3090</v>
      </c>
      <c r="C700" s="300" t="s">
        <v>3091</v>
      </c>
      <c r="D700" s="300" t="s">
        <v>4877</v>
      </c>
      <c r="E700" s="300" t="s">
        <v>2962</v>
      </c>
      <c r="F700" s="300" t="s">
        <v>4858</v>
      </c>
      <c r="G700" s="300" t="s">
        <v>446</v>
      </c>
    </row>
    <row r="701" spans="1:7" ht="14.5">
      <c r="A701" s="300" t="s">
        <v>926</v>
      </c>
      <c r="B701" s="300" t="s">
        <v>3092</v>
      </c>
      <c r="C701" s="300" t="s">
        <v>3093</v>
      </c>
      <c r="D701" s="300" t="s">
        <v>4877</v>
      </c>
      <c r="E701" s="300" t="s">
        <v>2962</v>
      </c>
      <c r="F701" s="300" t="s">
        <v>4858</v>
      </c>
      <c r="G701" s="300" t="s">
        <v>446</v>
      </c>
    </row>
    <row r="702" spans="1:7" ht="14.5">
      <c r="A702" s="300" t="s">
        <v>926</v>
      </c>
      <c r="B702" s="300" t="s">
        <v>3095</v>
      </c>
      <c r="C702" s="300" t="s">
        <v>3096</v>
      </c>
      <c r="D702" s="300" t="s">
        <v>4877</v>
      </c>
      <c r="E702" s="300" t="s">
        <v>2962</v>
      </c>
      <c r="F702" s="300" t="s">
        <v>4858</v>
      </c>
      <c r="G702" s="300" t="s">
        <v>446</v>
      </c>
    </row>
    <row r="703" spans="1:7" ht="14.5">
      <c r="A703" s="300" t="s">
        <v>926</v>
      </c>
      <c r="B703" s="300" t="s">
        <v>3099</v>
      </c>
      <c r="C703" s="300" t="s">
        <v>3100</v>
      </c>
      <c r="D703" s="300" t="s">
        <v>4877</v>
      </c>
      <c r="E703" s="300" t="s">
        <v>2962</v>
      </c>
      <c r="F703" s="300" t="s">
        <v>4858</v>
      </c>
      <c r="G703" s="300" t="s">
        <v>446</v>
      </c>
    </row>
    <row r="704" spans="1:7" ht="14.5">
      <c r="A704" s="300" t="s">
        <v>926</v>
      </c>
      <c r="B704" s="300" t="s">
        <v>3101</v>
      </c>
      <c r="C704" s="300" t="s">
        <v>3102</v>
      </c>
      <c r="D704" s="300" t="s">
        <v>4877</v>
      </c>
      <c r="E704" s="300" t="s">
        <v>2962</v>
      </c>
      <c r="F704" s="300" t="s">
        <v>4858</v>
      </c>
      <c r="G704" s="300" t="s">
        <v>446</v>
      </c>
    </row>
    <row r="705" spans="1:7" ht="14.5">
      <c r="A705" s="300" t="s">
        <v>926</v>
      </c>
      <c r="B705" s="300" t="s">
        <v>3104</v>
      </c>
      <c r="C705" s="300" t="s">
        <v>3105</v>
      </c>
      <c r="D705" s="300" t="s">
        <v>4877</v>
      </c>
      <c r="E705" s="300" t="s">
        <v>2962</v>
      </c>
      <c r="F705" s="300" t="s">
        <v>4858</v>
      </c>
      <c r="G705" s="300" t="s">
        <v>446</v>
      </c>
    </row>
    <row r="706" spans="1:7" ht="14.5">
      <c r="A706" s="300" t="s">
        <v>926</v>
      </c>
      <c r="B706" s="300" t="s">
        <v>3108</v>
      </c>
      <c r="C706" s="300" t="s">
        <v>3109</v>
      </c>
      <c r="D706" s="300" t="s">
        <v>4877</v>
      </c>
      <c r="E706" s="300" t="s">
        <v>2962</v>
      </c>
      <c r="F706" s="300" t="s">
        <v>4858</v>
      </c>
      <c r="G706" s="300" t="s">
        <v>446</v>
      </c>
    </row>
    <row r="707" spans="1:7" ht="14.5">
      <c r="A707" s="300" t="s">
        <v>926</v>
      </c>
      <c r="B707" s="300" t="s">
        <v>3110</v>
      </c>
      <c r="C707" s="300" t="s">
        <v>3111</v>
      </c>
      <c r="D707" s="300" t="s">
        <v>4877</v>
      </c>
      <c r="E707" s="300" t="s">
        <v>2962</v>
      </c>
      <c r="F707" s="300" t="s">
        <v>4858</v>
      </c>
      <c r="G707" s="300" t="s">
        <v>446</v>
      </c>
    </row>
    <row r="708" spans="1:7" ht="14.5">
      <c r="A708" s="300" t="s">
        <v>926</v>
      </c>
      <c r="B708" s="300" t="s">
        <v>3114</v>
      </c>
      <c r="C708" s="300" t="s">
        <v>3115</v>
      </c>
      <c r="D708" s="300" t="s">
        <v>4877</v>
      </c>
      <c r="E708" s="300" t="s">
        <v>2962</v>
      </c>
      <c r="F708" s="300" t="s">
        <v>4858</v>
      </c>
      <c r="G708" s="300" t="s">
        <v>446</v>
      </c>
    </row>
    <row r="709" spans="1:7" ht="14.5">
      <c r="A709" s="300" t="s">
        <v>926</v>
      </c>
      <c r="B709" s="300" t="s">
        <v>3118</v>
      </c>
      <c r="C709" s="300" t="s">
        <v>3119</v>
      </c>
      <c r="D709" s="300" t="s">
        <v>4877</v>
      </c>
      <c r="E709" s="300" t="s">
        <v>2962</v>
      </c>
      <c r="F709" s="300" t="s">
        <v>4858</v>
      </c>
      <c r="G709" s="300" t="s">
        <v>446</v>
      </c>
    </row>
    <row r="710" spans="1:7" ht="14.5">
      <c r="A710" s="300" t="s">
        <v>926</v>
      </c>
      <c r="B710" s="300" t="s">
        <v>3122</v>
      </c>
      <c r="C710" s="300" t="s">
        <v>3123</v>
      </c>
      <c r="D710" s="300" t="s">
        <v>4877</v>
      </c>
      <c r="E710" s="300" t="s">
        <v>2962</v>
      </c>
      <c r="F710" s="300" t="s">
        <v>4858</v>
      </c>
      <c r="G710" s="300" t="s">
        <v>446</v>
      </c>
    </row>
    <row r="711" spans="1:7" ht="14.5">
      <c r="A711" s="300" t="s">
        <v>926</v>
      </c>
      <c r="B711" s="300" t="s">
        <v>3124</v>
      </c>
      <c r="C711" s="300" t="s">
        <v>3125</v>
      </c>
      <c r="D711" s="300" t="s">
        <v>4877</v>
      </c>
      <c r="E711" s="300" t="s">
        <v>2962</v>
      </c>
      <c r="F711" s="300" t="s">
        <v>4858</v>
      </c>
      <c r="G711" s="300" t="s">
        <v>446</v>
      </c>
    </row>
    <row r="712" spans="1:7" ht="14.5">
      <c r="A712" s="300" t="s">
        <v>926</v>
      </c>
      <c r="B712" s="300" t="s">
        <v>3127</v>
      </c>
      <c r="C712" s="300" t="s">
        <v>3128</v>
      </c>
      <c r="D712" s="300" t="s">
        <v>4877</v>
      </c>
      <c r="E712" s="300" t="s">
        <v>2962</v>
      </c>
      <c r="F712" s="300" t="s">
        <v>4858</v>
      </c>
      <c r="G712" s="300" t="s">
        <v>446</v>
      </c>
    </row>
    <row r="713" spans="1:7" ht="14.5">
      <c r="A713" s="300" t="s">
        <v>926</v>
      </c>
      <c r="B713" s="300" t="s">
        <v>3130</v>
      </c>
      <c r="C713" s="300" t="s">
        <v>3131</v>
      </c>
      <c r="D713" s="300" t="s">
        <v>4877</v>
      </c>
      <c r="E713" s="300" t="s">
        <v>2962</v>
      </c>
      <c r="F713" s="300" t="s">
        <v>4858</v>
      </c>
      <c r="G713" s="300" t="s">
        <v>446</v>
      </c>
    </row>
    <row r="714" spans="1:7" ht="14.5">
      <c r="A714" s="300" t="s">
        <v>926</v>
      </c>
      <c r="B714" s="300" t="s">
        <v>3134</v>
      </c>
      <c r="C714" s="300" t="s">
        <v>3135</v>
      </c>
      <c r="D714" s="300" t="s">
        <v>4877</v>
      </c>
      <c r="E714" s="300" t="s">
        <v>2962</v>
      </c>
      <c r="F714" s="300" t="s">
        <v>4858</v>
      </c>
      <c r="G714" s="300" t="s">
        <v>446</v>
      </c>
    </row>
    <row r="715" spans="1:7" ht="14.5">
      <c r="A715" s="300" t="s">
        <v>926</v>
      </c>
      <c r="B715" s="300" t="s">
        <v>3138</v>
      </c>
      <c r="C715" s="300" t="s">
        <v>3139</v>
      </c>
      <c r="D715" s="300" t="s">
        <v>4877</v>
      </c>
      <c r="E715" s="300" t="s">
        <v>2962</v>
      </c>
      <c r="F715" s="300" t="s">
        <v>4858</v>
      </c>
      <c r="G715" s="300" t="s">
        <v>446</v>
      </c>
    </row>
    <row r="716" spans="1:7" ht="14.5">
      <c r="A716" s="300" t="s">
        <v>926</v>
      </c>
      <c r="B716" s="300" t="s">
        <v>3142</v>
      </c>
      <c r="C716" s="300" t="s">
        <v>3143</v>
      </c>
      <c r="D716" s="300" t="s">
        <v>4877</v>
      </c>
      <c r="E716" s="300" t="s">
        <v>2962</v>
      </c>
      <c r="F716" s="300" t="s">
        <v>4858</v>
      </c>
      <c r="G716" s="300" t="s">
        <v>446</v>
      </c>
    </row>
    <row r="717" spans="1:7" ht="14.5">
      <c r="A717" s="300" t="s">
        <v>926</v>
      </c>
      <c r="B717" s="300" t="s">
        <v>3144</v>
      </c>
      <c r="C717" s="300" t="s">
        <v>3145</v>
      </c>
      <c r="D717" s="300" t="s">
        <v>4877</v>
      </c>
      <c r="E717" s="300" t="s">
        <v>2962</v>
      </c>
      <c r="F717" s="300" t="s">
        <v>4858</v>
      </c>
      <c r="G717" s="300" t="s">
        <v>446</v>
      </c>
    </row>
    <row r="718" spans="1:7" ht="14.5">
      <c r="A718" s="300" t="s">
        <v>926</v>
      </c>
      <c r="B718" s="300" t="s">
        <v>3148</v>
      </c>
      <c r="C718" s="300" t="s">
        <v>3149</v>
      </c>
      <c r="D718" s="300" t="s">
        <v>4877</v>
      </c>
      <c r="E718" s="300" t="s">
        <v>2962</v>
      </c>
      <c r="F718" s="300" t="s">
        <v>4858</v>
      </c>
      <c r="G718" s="300" t="s">
        <v>446</v>
      </c>
    </row>
    <row r="719" spans="1:7" ht="14.5">
      <c r="A719" s="300" t="s">
        <v>926</v>
      </c>
      <c r="B719" s="300" t="s">
        <v>3150</v>
      </c>
      <c r="C719" s="300" t="s">
        <v>3151</v>
      </c>
      <c r="D719" s="300" t="s">
        <v>4877</v>
      </c>
      <c r="E719" s="300" t="s">
        <v>2962</v>
      </c>
      <c r="F719" s="300" t="s">
        <v>4858</v>
      </c>
      <c r="G719" s="300" t="s">
        <v>446</v>
      </c>
    </row>
    <row r="720" spans="1:7" ht="14.5">
      <c r="A720" s="300" t="s">
        <v>926</v>
      </c>
      <c r="B720" s="300" t="s">
        <v>3154</v>
      </c>
      <c r="C720" s="300" t="s">
        <v>3155</v>
      </c>
      <c r="D720" s="300" t="s">
        <v>4877</v>
      </c>
      <c r="E720" s="300" t="s">
        <v>2962</v>
      </c>
      <c r="F720" s="300" t="s">
        <v>4858</v>
      </c>
      <c r="G720" s="300" t="s">
        <v>446</v>
      </c>
    </row>
    <row r="721" spans="1:7" ht="14.5">
      <c r="A721" s="300" t="s">
        <v>926</v>
      </c>
      <c r="B721" s="300" t="s">
        <v>3157</v>
      </c>
      <c r="C721" s="300" t="s">
        <v>3158</v>
      </c>
      <c r="D721" s="300" t="s">
        <v>4877</v>
      </c>
      <c r="E721" s="300" t="s">
        <v>2962</v>
      </c>
      <c r="F721" s="300" t="s">
        <v>4858</v>
      </c>
      <c r="G721" s="300" t="s">
        <v>446</v>
      </c>
    </row>
    <row r="722" spans="1:7" ht="14.5">
      <c r="A722" s="300" t="s">
        <v>926</v>
      </c>
      <c r="B722" s="300" t="s">
        <v>3161</v>
      </c>
      <c r="C722" s="300" t="s">
        <v>3162</v>
      </c>
      <c r="D722" s="300" t="s">
        <v>4877</v>
      </c>
      <c r="E722" s="300" t="s">
        <v>2962</v>
      </c>
      <c r="F722" s="300" t="s">
        <v>4858</v>
      </c>
      <c r="G722" s="300" t="s">
        <v>446</v>
      </c>
    </row>
    <row r="723" spans="1:7" ht="14.5">
      <c r="A723" s="300" t="s">
        <v>926</v>
      </c>
      <c r="B723" s="300" t="s">
        <v>3163</v>
      </c>
      <c r="C723" s="300" t="s">
        <v>3164</v>
      </c>
      <c r="D723" s="300" t="s">
        <v>4877</v>
      </c>
      <c r="E723" s="300" t="s">
        <v>2962</v>
      </c>
      <c r="F723" s="300" t="s">
        <v>4858</v>
      </c>
      <c r="G723" s="300" t="s">
        <v>446</v>
      </c>
    </row>
    <row r="724" spans="1:7" ht="14.5">
      <c r="A724" s="300" t="s">
        <v>926</v>
      </c>
      <c r="B724" s="300" t="s">
        <v>3167</v>
      </c>
      <c r="C724" s="300" t="s">
        <v>3168</v>
      </c>
      <c r="D724" s="300" t="s">
        <v>4877</v>
      </c>
      <c r="E724" s="300" t="s">
        <v>2962</v>
      </c>
      <c r="F724" s="300" t="s">
        <v>4858</v>
      </c>
      <c r="G724" s="300" t="s">
        <v>446</v>
      </c>
    </row>
    <row r="725" spans="1:7" ht="14.5">
      <c r="A725" s="300" t="s">
        <v>926</v>
      </c>
      <c r="B725" s="300" t="s">
        <v>3169</v>
      </c>
      <c r="C725" s="300" t="s">
        <v>3170</v>
      </c>
      <c r="D725" s="300" t="s">
        <v>4877</v>
      </c>
      <c r="E725" s="300" t="s">
        <v>2962</v>
      </c>
      <c r="F725" s="300" t="s">
        <v>4858</v>
      </c>
      <c r="G725" s="300" t="s">
        <v>446</v>
      </c>
    </row>
    <row r="726" spans="1:7" ht="14.5">
      <c r="A726" s="300" t="s">
        <v>926</v>
      </c>
      <c r="B726" s="300" t="s">
        <v>3171</v>
      </c>
      <c r="C726" s="300" t="s">
        <v>3172</v>
      </c>
      <c r="D726" s="300" t="s">
        <v>4877</v>
      </c>
      <c r="E726" s="300" t="s">
        <v>2962</v>
      </c>
      <c r="F726" s="300" t="s">
        <v>4858</v>
      </c>
      <c r="G726" s="300" t="s">
        <v>446</v>
      </c>
    </row>
    <row r="727" spans="1:7" ht="14.5">
      <c r="A727" s="300" t="s">
        <v>926</v>
      </c>
      <c r="B727" s="300" t="s">
        <v>3174</v>
      </c>
      <c r="C727" s="300" t="s">
        <v>3175</v>
      </c>
      <c r="D727" s="300" t="s">
        <v>4877</v>
      </c>
      <c r="E727" s="300" t="s">
        <v>2962</v>
      </c>
      <c r="F727" s="300" t="s">
        <v>4858</v>
      </c>
      <c r="G727" s="300" t="s">
        <v>446</v>
      </c>
    </row>
    <row r="728" spans="1:7" ht="14.5">
      <c r="A728" s="300" t="s">
        <v>926</v>
      </c>
      <c r="B728" s="300" t="s">
        <v>3178</v>
      </c>
      <c r="C728" s="300" t="s">
        <v>3179</v>
      </c>
      <c r="D728" s="300" t="s">
        <v>4877</v>
      </c>
      <c r="E728" s="300" t="s">
        <v>2962</v>
      </c>
      <c r="F728" s="300" t="s">
        <v>4858</v>
      </c>
      <c r="G728" s="300" t="s">
        <v>446</v>
      </c>
    </row>
    <row r="729" spans="1:7" ht="14.5">
      <c r="A729" s="300" t="s">
        <v>926</v>
      </c>
      <c r="B729" s="300" t="s">
        <v>3182</v>
      </c>
      <c r="C729" s="300" t="s">
        <v>3183</v>
      </c>
      <c r="D729" s="300" t="s">
        <v>4877</v>
      </c>
      <c r="E729" s="300" t="s">
        <v>2962</v>
      </c>
      <c r="F729" s="300" t="s">
        <v>4858</v>
      </c>
      <c r="G729" s="300" t="s">
        <v>446</v>
      </c>
    </row>
    <row r="730" spans="1:7" ht="14.5">
      <c r="A730" s="300" t="s">
        <v>926</v>
      </c>
      <c r="B730" s="300" t="s">
        <v>3184</v>
      </c>
      <c r="C730" s="300" t="s">
        <v>3185</v>
      </c>
      <c r="D730" s="300" t="s">
        <v>4877</v>
      </c>
      <c r="E730" s="300" t="s">
        <v>2962</v>
      </c>
      <c r="F730" s="300" t="s">
        <v>4858</v>
      </c>
      <c r="G730" s="300" t="s">
        <v>446</v>
      </c>
    </row>
    <row r="731" spans="1:7" ht="14.5">
      <c r="A731" s="300" t="s">
        <v>926</v>
      </c>
      <c r="B731" s="300" t="s">
        <v>3188</v>
      </c>
      <c r="C731" s="300" t="s">
        <v>3189</v>
      </c>
      <c r="D731" s="300" t="s">
        <v>4877</v>
      </c>
      <c r="E731" s="300" t="s">
        <v>2962</v>
      </c>
      <c r="F731" s="300" t="s">
        <v>4858</v>
      </c>
      <c r="G731" s="300" t="s">
        <v>446</v>
      </c>
    </row>
    <row r="732" spans="1:7" ht="14.5">
      <c r="A732" s="300" t="s">
        <v>926</v>
      </c>
      <c r="B732" s="300" t="s">
        <v>3192</v>
      </c>
      <c r="C732" s="300" t="s">
        <v>3193</v>
      </c>
      <c r="D732" s="300" t="s">
        <v>4877</v>
      </c>
      <c r="E732" s="300" t="s">
        <v>2962</v>
      </c>
      <c r="F732" s="300" t="s">
        <v>4858</v>
      </c>
      <c r="G732" s="300" t="s">
        <v>446</v>
      </c>
    </row>
    <row r="733" spans="1:7" ht="14.5">
      <c r="A733" s="300" t="s">
        <v>926</v>
      </c>
      <c r="B733" s="300" t="s">
        <v>3196</v>
      </c>
      <c r="C733" s="300" t="s">
        <v>3197</v>
      </c>
      <c r="D733" s="300" t="s">
        <v>4877</v>
      </c>
      <c r="E733" s="300" t="s">
        <v>2962</v>
      </c>
      <c r="F733" s="300" t="s">
        <v>4858</v>
      </c>
      <c r="G733" s="300" t="s">
        <v>446</v>
      </c>
    </row>
    <row r="734" spans="1:7" ht="14.5">
      <c r="A734" s="300" t="s">
        <v>926</v>
      </c>
      <c r="B734" s="300" t="s">
        <v>3198</v>
      </c>
      <c r="C734" s="300" t="s">
        <v>3199</v>
      </c>
      <c r="D734" s="300" t="s">
        <v>4877</v>
      </c>
      <c r="E734" s="300" t="s">
        <v>2962</v>
      </c>
      <c r="F734" s="300" t="s">
        <v>4858</v>
      </c>
      <c r="G734" s="300" t="s">
        <v>446</v>
      </c>
    </row>
    <row r="735" spans="1:7" ht="14.5">
      <c r="A735" s="300" t="s">
        <v>926</v>
      </c>
      <c r="B735" s="300" t="s">
        <v>3201</v>
      </c>
      <c r="C735" s="300" t="s">
        <v>3202</v>
      </c>
      <c r="D735" s="300" t="s">
        <v>4877</v>
      </c>
      <c r="E735" s="300" t="s">
        <v>2962</v>
      </c>
      <c r="F735" s="300" t="s">
        <v>4858</v>
      </c>
      <c r="G735" s="300" t="s">
        <v>446</v>
      </c>
    </row>
    <row r="736" spans="1:7" ht="14.5">
      <c r="A736" s="300" t="s">
        <v>926</v>
      </c>
      <c r="B736" s="300" t="s">
        <v>3205</v>
      </c>
      <c r="C736" s="300" t="s">
        <v>3199</v>
      </c>
      <c r="D736" s="300" t="s">
        <v>4877</v>
      </c>
      <c r="E736" s="300" t="s">
        <v>2962</v>
      </c>
      <c r="F736" s="300" t="s">
        <v>4858</v>
      </c>
      <c r="G736" s="300" t="s">
        <v>446</v>
      </c>
    </row>
    <row r="737" spans="1:7" ht="14.5">
      <c r="A737" s="300" t="s">
        <v>926</v>
      </c>
      <c r="B737" s="300" t="s">
        <v>3206</v>
      </c>
      <c r="C737" s="300" t="s">
        <v>3207</v>
      </c>
      <c r="D737" s="300" t="s">
        <v>4877</v>
      </c>
      <c r="E737" s="300" t="s">
        <v>2962</v>
      </c>
      <c r="F737" s="300" t="s">
        <v>4858</v>
      </c>
      <c r="G737" s="300" t="s">
        <v>446</v>
      </c>
    </row>
    <row r="738" spans="1:7" ht="14.5">
      <c r="A738" s="300" t="s">
        <v>926</v>
      </c>
      <c r="B738" s="300" t="s">
        <v>3208</v>
      </c>
      <c r="C738" s="300" t="s">
        <v>3209</v>
      </c>
      <c r="D738" s="300" t="s">
        <v>4877</v>
      </c>
      <c r="E738" s="300" t="s">
        <v>2962</v>
      </c>
      <c r="F738" s="300" t="s">
        <v>4858</v>
      </c>
      <c r="G738" s="300" t="s">
        <v>446</v>
      </c>
    </row>
    <row r="739" spans="1:7" ht="14.5">
      <c r="A739" s="300" t="s">
        <v>926</v>
      </c>
      <c r="B739" s="300" t="s">
        <v>3211</v>
      </c>
      <c r="C739" s="300" t="s">
        <v>3212</v>
      </c>
      <c r="D739" s="300" t="s">
        <v>4877</v>
      </c>
      <c r="E739" s="300" t="s">
        <v>2962</v>
      </c>
      <c r="F739" s="300" t="s">
        <v>4858</v>
      </c>
      <c r="G739" s="300" t="s">
        <v>446</v>
      </c>
    </row>
    <row r="740" spans="1:7" ht="14.5">
      <c r="A740" s="300" t="s">
        <v>926</v>
      </c>
      <c r="B740" s="300" t="s">
        <v>3215</v>
      </c>
      <c r="C740" s="300" t="s">
        <v>3216</v>
      </c>
      <c r="D740" s="300" t="s">
        <v>4877</v>
      </c>
      <c r="E740" s="300" t="s">
        <v>2962</v>
      </c>
      <c r="F740" s="300" t="s">
        <v>4858</v>
      </c>
      <c r="G740" s="300" t="s">
        <v>446</v>
      </c>
    </row>
    <row r="741" spans="1:7" ht="14.5">
      <c r="A741" s="300" t="s">
        <v>926</v>
      </c>
      <c r="B741" s="300" t="s">
        <v>3219</v>
      </c>
      <c r="C741" s="300" t="s">
        <v>3220</v>
      </c>
      <c r="D741" s="300" t="s">
        <v>4877</v>
      </c>
      <c r="E741" s="300" t="s">
        <v>2962</v>
      </c>
      <c r="F741" s="300" t="s">
        <v>4858</v>
      </c>
      <c r="G741" s="300" t="s">
        <v>446</v>
      </c>
    </row>
    <row r="742" spans="1:7" ht="14.5">
      <c r="A742" s="300" t="s">
        <v>926</v>
      </c>
      <c r="B742" s="300" t="s">
        <v>3221</v>
      </c>
      <c r="C742" s="300" t="s">
        <v>3222</v>
      </c>
      <c r="D742" s="300" t="s">
        <v>4877</v>
      </c>
      <c r="E742" s="300" t="s">
        <v>2962</v>
      </c>
      <c r="F742" s="300" t="s">
        <v>4858</v>
      </c>
      <c r="G742" s="300" t="s">
        <v>446</v>
      </c>
    </row>
    <row r="743" spans="1:7" ht="14.5">
      <c r="A743" s="300" t="s">
        <v>926</v>
      </c>
      <c r="B743" s="300" t="s">
        <v>3225</v>
      </c>
      <c r="C743" s="300" t="s">
        <v>3226</v>
      </c>
      <c r="D743" s="300" t="s">
        <v>4877</v>
      </c>
      <c r="E743" s="300" t="s">
        <v>2962</v>
      </c>
      <c r="F743" s="300" t="s">
        <v>4858</v>
      </c>
      <c r="G743" s="300" t="s">
        <v>446</v>
      </c>
    </row>
    <row r="744" spans="1:7" ht="14.5">
      <c r="A744" s="300" t="s">
        <v>926</v>
      </c>
      <c r="B744" s="300" t="s">
        <v>3228</v>
      </c>
      <c r="C744" s="300" t="s">
        <v>3229</v>
      </c>
      <c r="D744" s="300" t="s">
        <v>4877</v>
      </c>
      <c r="E744" s="300" t="s">
        <v>2962</v>
      </c>
      <c r="F744" s="300" t="s">
        <v>4858</v>
      </c>
      <c r="G744" s="300" t="s">
        <v>446</v>
      </c>
    </row>
    <row r="745" spans="1:7" ht="14.5">
      <c r="A745" s="300" t="s">
        <v>926</v>
      </c>
      <c r="B745" s="300" t="s">
        <v>3232</v>
      </c>
      <c r="C745" s="300" t="s">
        <v>3233</v>
      </c>
      <c r="D745" s="300" t="s">
        <v>4877</v>
      </c>
      <c r="E745" s="300" t="s">
        <v>2962</v>
      </c>
      <c r="F745" s="300" t="s">
        <v>4858</v>
      </c>
      <c r="G745" s="300" t="s">
        <v>446</v>
      </c>
    </row>
    <row r="746" spans="1:7" ht="14.5">
      <c r="A746" s="300" t="s">
        <v>926</v>
      </c>
      <c r="B746" s="300" t="s">
        <v>3234</v>
      </c>
      <c r="C746" s="300" t="s">
        <v>3235</v>
      </c>
      <c r="D746" s="300" t="s">
        <v>4877</v>
      </c>
      <c r="E746" s="300" t="s">
        <v>2962</v>
      </c>
      <c r="F746" s="300" t="s">
        <v>4858</v>
      </c>
      <c r="G746" s="300" t="s">
        <v>446</v>
      </c>
    </row>
    <row r="747" spans="1:7" ht="14.5">
      <c r="A747" s="300" t="s">
        <v>926</v>
      </c>
      <c r="B747" s="300" t="s">
        <v>3238</v>
      </c>
      <c r="C747" s="300" t="s">
        <v>3239</v>
      </c>
      <c r="D747" s="300" t="s">
        <v>4877</v>
      </c>
      <c r="E747" s="300" t="s">
        <v>2962</v>
      </c>
      <c r="F747" s="300" t="s">
        <v>4858</v>
      </c>
      <c r="G747" s="300" t="s">
        <v>446</v>
      </c>
    </row>
    <row r="748" spans="1:7" ht="14.5">
      <c r="A748" s="300" t="s">
        <v>926</v>
      </c>
      <c r="B748" s="300" t="s">
        <v>3242</v>
      </c>
      <c r="C748" s="300" t="s">
        <v>3243</v>
      </c>
      <c r="D748" s="300" t="s">
        <v>4877</v>
      </c>
      <c r="E748" s="300" t="s">
        <v>2962</v>
      </c>
      <c r="F748" s="300" t="s">
        <v>4858</v>
      </c>
      <c r="G748" s="300" t="s">
        <v>446</v>
      </c>
    </row>
    <row r="749" spans="1:7" ht="14.5">
      <c r="A749" s="300" t="s">
        <v>926</v>
      </c>
      <c r="B749" s="300" t="s">
        <v>3244</v>
      </c>
      <c r="C749" s="300" t="s">
        <v>3245</v>
      </c>
      <c r="D749" s="300" t="s">
        <v>4877</v>
      </c>
      <c r="E749" s="300" t="s">
        <v>2962</v>
      </c>
      <c r="F749" s="300" t="s">
        <v>4858</v>
      </c>
      <c r="G749" s="300" t="s">
        <v>446</v>
      </c>
    </row>
    <row r="750" spans="1:7" ht="14.5">
      <c r="A750" s="300" t="s">
        <v>926</v>
      </c>
      <c r="B750" s="300" t="s">
        <v>3247</v>
      </c>
      <c r="C750" s="300" t="s">
        <v>3248</v>
      </c>
      <c r="D750" s="300" t="s">
        <v>4877</v>
      </c>
      <c r="E750" s="300" t="s">
        <v>2962</v>
      </c>
      <c r="F750" s="300" t="s">
        <v>4858</v>
      </c>
      <c r="G750" s="300" t="s">
        <v>446</v>
      </c>
    </row>
    <row r="751" spans="1:7" ht="14.5">
      <c r="A751" s="300" t="s">
        <v>926</v>
      </c>
      <c r="B751" s="300" t="s">
        <v>3251</v>
      </c>
      <c r="C751" s="300" t="s">
        <v>3252</v>
      </c>
      <c r="D751" s="300" t="s">
        <v>4877</v>
      </c>
      <c r="E751" s="300" t="s">
        <v>2962</v>
      </c>
      <c r="F751" s="300" t="s">
        <v>4858</v>
      </c>
      <c r="G751" s="300" t="s">
        <v>446</v>
      </c>
    </row>
    <row r="752" spans="1:7" ht="14.5">
      <c r="A752" s="300" t="s">
        <v>926</v>
      </c>
      <c r="B752" s="300" t="s">
        <v>3255</v>
      </c>
      <c r="C752" s="300" t="s">
        <v>3256</v>
      </c>
      <c r="D752" s="300" t="s">
        <v>4877</v>
      </c>
      <c r="E752" s="300" t="s">
        <v>2962</v>
      </c>
      <c r="F752" s="300" t="s">
        <v>4858</v>
      </c>
      <c r="G752" s="300" t="s">
        <v>446</v>
      </c>
    </row>
    <row r="753" spans="1:7" ht="14.5">
      <c r="A753" s="300" t="s">
        <v>926</v>
      </c>
      <c r="B753" s="300" t="s">
        <v>3259</v>
      </c>
      <c r="C753" s="300" t="s">
        <v>3260</v>
      </c>
      <c r="D753" s="300" t="s">
        <v>4877</v>
      </c>
      <c r="E753" s="300" t="s">
        <v>2962</v>
      </c>
      <c r="F753" s="300" t="s">
        <v>4858</v>
      </c>
      <c r="G753" s="300" t="s">
        <v>446</v>
      </c>
    </row>
    <row r="754" spans="1:7" ht="14.5">
      <c r="A754" s="300" t="s">
        <v>926</v>
      </c>
      <c r="B754" s="300" t="s">
        <v>3261</v>
      </c>
      <c r="C754" s="300" t="s">
        <v>3262</v>
      </c>
      <c r="D754" s="300" t="s">
        <v>4877</v>
      </c>
      <c r="E754" s="300" t="s">
        <v>2962</v>
      </c>
      <c r="F754" s="300" t="s">
        <v>4858</v>
      </c>
      <c r="G754" s="300" t="s">
        <v>446</v>
      </c>
    </row>
    <row r="755" spans="1:7" ht="14.5">
      <c r="A755" s="300" t="s">
        <v>926</v>
      </c>
      <c r="B755" s="300" t="s">
        <v>3265</v>
      </c>
      <c r="C755" s="300" t="s">
        <v>3266</v>
      </c>
      <c r="D755" s="300" t="s">
        <v>4877</v>
      </c>
      <c r="E755" s="300" t="s">
        <v>2962</v>
      </c>
      <c r="F755" s="300" t="s">
        <v>4858</v>
      </c>
      <c r="G755" s="300" t="s">
        <v>446</v>
      </c>
    </row>
    <row r="756" spans="1:7" ht="14.5">
      <c r="A756" s="300" t="s">
        <v>926</v>
      </c>
      <c r="B756" s="300" t="s">
        <v>3268</v>
      </c>
      <c r="C756" s="300" t="s">
        <v>3269</v>
      </c>
      <c r="D756" s="300" t="s">
        <v>4877</v>
      </c>
      <c r="E756" s="300" t="s">
        <v>2962</v>
      </c>
      <c r="F756" s="300" t="s">
        <v>4858</v>
      </c>
      <c r="G756" s="300" t="s">
        <v>446</v>
      </c>
    </row>
    <row r="757" spans="1:7" ht="14.5">
      <c r="A757" s="300" t="s">
        <v>926</v>
      </c>
      <c r="B757" s="300" t="s">
        <v>3271</v>
      </c>
      <c r="C757" s="300" t="s">
        <v>3272</v>
      </c>
      <c r="D757" s="300" t="s">
        <v>4877</v>
      </c>
      <c r="E757" s="300" t="s">
        <v>2962</v>
      </c>
      <c r="F757" s="300" t="s">
        <v>4858</v>
      </c>
      <c r="G757" s="300" t="s">
        <v>446</v>
      </c>
    </row>
    <row r="758" spans="1:7" ht="14.5">
      <c r="A758" s="300" t="s">
        <v>926</v>
      </c>
      <c r="B758" s="300" t="s">
        <v>3275</v>
      </c>
      <c r="C758" s="300" t="s">
        <v>3276</v>
      </c>
      <c r="D758" s="300" t="s">
        <v>4877</v>
      </c>
      <c r="E758" s="300" t="s">
        <v>2962</v>
      </c>
      <c r="F758" s="300" t="s">
        <v>4858</v>
      </c>
      <c r="G758" s="300" t="s">
        <v>446</v>
      </c>
    </row>
    <row r="759" spans="1:7" ht="14.5">
      <c r="A759" s="300" t="s">
        <v>926</v>
      </c>
      <c r="B759" s="300" t="s">
        <v>3279</v>
      </c>
      <c r="C759" s="300" t="s">
        <v>3280</v>
      </c>
      <c r="D759" s="300" t="s">
        <v>4877</v>
      </c>
      <c r="E759" s="300" t="s">
        <v>2962</v>
      </c>
      <c r="F759" s="300" t="s">
        <v>4858</v>
      </c>
      <c r="G759" s="300" t="s">
        <v>446</v>
      </c>
    </row>
    <row r="760" spans="1:7" ht="14.5">
      <c r="A760" s="300" t="s">
        <v>926</v>
      </c>
      <c r="B760" s="300" t="s">
        <v>3281</v>
      </c>
      <c r="C760" s="300" t="s">
        <v>3282</v>
      </c>
      <c r="D760" s="300" t="s">
        <v>4877</v>
      </c>
      <c r="E760" s="300" t="s">
        <v>2962</v>
      </c>
      <c r="F760" s="300" t="s">
        <v>4858</v>
      </c>
      <c r="G760" s="300" t="s">
        <v>446</v>
      </c>
    </row>
    <row r="761" spans="1:7" ht="14.5">
      <c r="A761" s="300" t="s">
        <v>926</v>
      </c>
      <c r="B761" s="300" t="s">
        <v>3283</v>
      </c>
      <c r="C761" s="300" t="s">
        <v>3284</v>
      </c>
      <c r="D761" s="300" t="s">
        <v>4877</v>
      </c>
      <c r="E761" s="300" t="s">
        <v>2962</v>
      </c>
      <c r="F761" s="300" t="s">
        <v>4858</v>
      </c>
      <c r="G761" s="300" t="s">
        <v>446</v>
      </c>
    </row>
    <row r="762" spans="1:7" ht="14.5">
      <c r="A762" s="300" t="s">
        <v>926</v>
      </c>
      <c r="B762" s="300" t="s">
        <v>3286</v>
      </c>
      <c r="C762" s="300" t="s">
        <v>3287</v>
      </c>
      <c r="D762" s="300" t="s">
        <v>4877</v>
      </c>
      <c r="E762" s="300" t="s">
        <v>2962</v>
      </c>
      <c r="F762" s="300" t="s">
        <v>4858</v>
      </c>
      <c r="G762" s="300" t="s">
        <v>446</v>
      </c>
    </row>
    <row r="763" spans="1:7" ht="14.5">
      <c r="A763" s="300" t="s">
        <v>926</v>
      </c>
      <c r="B763" s="300" t="s">
        <v>3290</v>
      </c>
      <c r="C763" s="300" t="s">
        <v>3291</v>
      </c>
      <c r="D763" s="300" t="s">
        <v>4877</v>
      </c>
      <c r="E763" s="300" t="s">
        <v>2962</v>
      </c>
      <c r="F763" s="300" t="s">
        <v>4858</v>
      </c>
      <c r="G763" s="300" t="s">
        <v>446</v>
      </c>
    </row>
    <row r="764" spans="1:7" ht="14.5">
      <c r="A764" s="300" t="s">
        <v>926</v>
      </c>
      <c r="B764" s="300" t="s">
        <v>3294</v>
      </c>
      <c r="C764" s="300" t="s">
        <v>3295</v>
      </c>
      <c r="D764" s="300" t="s">
        <v>4877</v>
      </c>
      <c r="E764" s="300" t="s">
        <v>2962</v>
      </c>
      <c r="F764" s="300" t="s">
        <v>4858</v>
      </c>
      <c r="G764" s="300" t="s">
        <v>446</v>
      </c>
    </row>
    <row r="765" spans="1:7" ht="14.5">
      <c r="A765" s="300" t="s">
        <v>926</v>
      </c>
      <c r="B765" s="300" t="s">
        <v>3296</v>
      </c>
      <c r="C765" s="300" t="s">
        <v>3297</v>
      </c>
      <c r="D765" s="300" t="s">
        <v>4877</v>
      </c>
      <c r="E765" s="300" t="s">
        <v>2962</v>
      </c>
      <c r="F765" s="300" t="s">
        <v>4858</v>
      </c>
      <c r="G765" s="300" t="s">
        <v>446</v>
      </c>
    </row>
    <row r="766" spans="1:7" ht="14.5">
      <c r="A766" s="300" t="s">
        <v>926</v>
      </c>
      <c r="B766" s="300" t="s">
        <v>3298</v>
      </c>
      <c r="C766" s="300" t="s">
        <v>3299</v>
      </c>
      <c r="D766" s="300" t="s">
        <v>4877</v>
      </c>
      <c r="E766" s="300" t="s">
        <v>2962</v>
      </c>
      <c r="F766" s="300" t="s">
        <v>4858</v>
      </c>
      <c r="G766" s="300" t="s">
        <v>446</v>
      </c>
    </row>
    <row r="767" spans="1:7" ht="14.5">
      <c r="A767" s="300" t="s">
        <v>926</v>
      </c>
      <c r="B767" s="300" t="s">
        <v>3301</v>
      </c>
      <c r="C767" s="300" t="s">
        <v>3302</v>
      </c>
      <c r="D767" s="300" t="s">
        <v>4877</v>
      </c>
      <c r="E767" s="300" t="s">
        <v>2962</v>
      </c>
      <c r="F767" s="300" t="s">
        <v>4858</v>
      </c>
      <c r="G767" s="300" t="s">
        <v>446</v>
      </c>
    </row>
    <row r="768" spans="1:7" ht="14.5">
      <c r="A768" s="300" t="s">
        <v>926</v>
      </c>
      <c r="B768" s="300" t="s">
        <v>3305</v>
      </c>
      <c r="C768" s="300" t="s">
        <v>3306</v>
      </c>
      <c r="D768" s="300" t="s">
        <v>4877</v>
      </c>
      <c r="E768" s="300" t="s">
        <v>2962</v>
      </c>
      <c r="F768" s="300" t="s">
        <v>4858</v>
      </c>
      <c r="G768" s="300" t="s">
        <v>446</v>
      </c>
    </row>
    <row r="769" spans="1:7" ht="14.5">
      <c r="A769" s="300" t="s">
        <v>926</v>
      </c>
      <c r="B769" s="300" t="s">
        <v>3309</v>
      </c>
      <c r="C769" s="300" t="s">
        <v>3310</v>
      </c>
      <c r="D769" s="300" t="s">
        <v>4877</v>
      </c>
      <c r="E769" s="300" t="s">
        <v>2962</v>
      </c>
      <c r="F769" s="300" t="s">
        <v>4858</v>
      </c>
      <c r="G769" s="300" t="s">
        <v>446</v>
      </c>
    </row>
    <row r="770" spans="1:7" ht="14.5">
      <c r="A770" s="300" t="s">
        <v>926</v>
      </c>
      <c r="B770" s="300" t="s">
        <v>3313</v>
      </c>
      <c r="C770" s="300" t="s">
        <v>3314</v>
      </c>
      <c r="D770" s="300" t="s">
        <v>4877</v>
      </c>
      <c r="E770" s="300" t="s">
        <v>2962</v>
      </c>
      <c r="F770" s="300" t="s">
        <v>4858</v>
      </c>
      <c r="G770" s="300" t="s">
        <v>446</v>
      </c>
    </row>
    <row r="771" spans="1:7" ht="14.5">
      <c r="A771" s="300" t="s">
        <v>926</v>
      </c>
      <c r="B771" s="300" t="s">
        <v>3317</v>
      </c>
      <c r="C771" s="300" t="s">
        <v>3318</v>
      </c>
      <c r="D771" s="300" t="s">
        <v>4877</v>
      </c>
      <c r="E771" s="300" t="s">
        <v>2962</v>
      </c>
      <c r="F771" s="300" t="s">
        <v>4858</v>
      </c>
      <c r="G771" s="300" t="s">
        <v>446</v>
      </c>
    </row>
    <row r="772" spans="1:7" ht="14.5">
      <c r="A772" s="300" t="s">
        <v>926</v>
      </c>
      <c r="B772" s="300" t="s">
        <v>3319</v>
      </c>
      <c r="C772" s="300" t="s">
        <v>3320</v>
      </c>
      <c r="D772" s="300" t="s">
        <v>4877</v>
      </c>
      <c r="E772" s="300" t="s">
        <v>2962</v>
      </c>
      <c r="F772" s="300" t="s">
        <v>4858</v>
      </c>
      <c r="G772" s="300" t="s">
        <v>446</v>
      </c>
    </row>
    <row r="773" spans="1:7" ht="14.5">
      <c r="A773" s="300" t="s">
        <v>926</v>
      </c>
      <c r="B773" s="300" t="s">
        <v>3323</v>
      </c>
      <c r="C773" s="300" t="s">
        <v>3324</v>
      </c>
      <c r="D773" s="300" t="s">
        <v>4877</v>
      </c>
      <c r="E773" s="300" t="s">
        <v>2962</v>
      </c>
      <c r="F773" s="300" t="s">
        <v>4858</v>
      </c>
      <c r="G773" s="300" t="s">
        <v>446</v>
      </c>
    </row>
    <row r="774" spans="1:7" ht="14.5">
      <c r="A774" s="300" t="s">
        <v>926</v>
      </c>
      <c r="B774" s="300" t="s">
        <v>3327</v>
      </c>
      <c r="C774" s="300" t="s">
        <v>3328</v>
      </c>
      <c r="D774" s="300" t="s">
        <v>4877</v>
      </c>
      <c r="E774" s="300" t="s">
        <v>2962</v>
      </c>
      <c r="F774" s="300" t="s">
        <v>4858</v>
      </c>
      <c r="G774" s="300" t="s">
        <v>446</v>
      </c>
    </row>
    <row r="775" spans="1:7" ht="14.5">
      <c r="A775" s="300" t="s">
        <v>926</v>
      </c>
      <c r="B775" s="300" t="s">
        <v>3329</v>
      </c>
      <c r="C775" s="300" t="s">
        <v>3330</v>
      </c>
      <c r="D775" s="300" t="s">
        <v>4877</v>
      </c>
      <c r="E775" s="300" t="s">
        <v>2962</v>
      </c>
      <c r="F775" s="300" t="s">
        <v>4858</v>
      </c>
      <c r="G775" s="300" t="s">
        <v>446</v>
      </c>
    </row>
    <row r="776" spans="1:7" ht="14.5">
      <c r="A776" s="300" t="s">
        <v>926</v>
      </c>
      <c r="B776" s="300" t="s">
        <v>3333</v>
      </c>
      <c r="C776" s="300" t="s">
        <v>3334</v>
      </c>
      <c r="D776" s="300" t="s">
        <v>4877</v>
      </c>
      <c r="E776" s="300" t="s">
        <v>2962</v>
      </c>
      <c r="F776" s="300" t="s">
        <v>4858</v>
      </c>
      <c r="G776" s="300" t="s">
        <v>446</v>
      </c>
    </row>
    <row r="777" spans="1:7" ht="14.5">
      <c r="A777" s="300" t="s">
        <v>926</v>
      </c>
      <c r="B777" s="300" t="s">
        <v>3337</v>
      </c>
      <c r="C777" s="300" t="s">
        <v>3338</v>
      </c>
      <c r="D777" s="300" t="s">
        <v>4877</v>
      </c>
      <c r="E777" s="300" t="s">
        <v>2962</v>
      </c>
      <c r="F777" s="300" t="s">
        <v>4858</v>
      </c>
      <c r="G777" s="300" t="s">
        <v>446</v>
      </c>
    </row>
    <row r="778" spans="1:7" ht="14.5">
      <c r="A778" s="300" t="s">
        <v>926</v>
      </c>
      <c r="B778" s="300" t="s">
        <v>3339</v>
      </c>
      <c r="C778" s="300" t="s">
        <v>3340</v>
      </c>
      <c r="D778" s="300" t="s">
        <v>4877</v>
      </c>
      <c r="E778" s="300" t="s">
        <v>2962</v>
      </c>
      <c r="F778" s="300" t="s">
        <v>4858</v>
      </c>
      <c r="G778" s="300" t="s">
        <v>446</v>
      </c>
    </row>
    <row r="779" spans="1:7" ht="14.5">
      <c r="A779" s="300" t="s">
        <v>926</v>
      </c>
      <c r="B779" s="300" t="s">
        <v>3343</v>
      </c>
      <c r="C779" s="300" t="s">
        <v>3344</v>
      </c>
      <c r="D779" s="300" t="s">
        <v>4877</v>
      </c>
      <c r="E779" s="300" t="s">
        <v>2962</v>
      </c>
      <c r="F779" s="300" t="s">
        <v>4858</v>
      </c>
      <c r="G779" s="300" t="s">
        <v>446</v>
      </c>
    </row>
    <row r="780" spans="1:7" ht="14.5">
      <c r="A780" s="300" t="s">
        <v>926</v>
      </c>
      <c r="B780" s="300" t="s">
        <v>3345</v>
      </c>
      <c r="C780" s="300" t="s">
        <v>3346</v>
      </c>
      <c r="D780" s="300" t="s">
        <v>4877</v>
      </c>
      <c r="E780" s="300" t="s">
        <v>2962</v>
      </c>
      <c r="F780" s="300" t="s">
        <v>4858</v>
      </c>
      <c r="G780" s="300" t="s">
        <v>446</v>
      </c>
    </row>
    <row r="781" spans="1:7" ht="14.5">
      <c r="A781" s="300" t="s">
        <v>926</v>
      </c>
      <c r="B781" s="300" t="s">
        <v>3347</v>
      </c>
      <c r="C781" s="300" t="s">
        <v>3348</v>
      </c>
      <c r="D781" s="300" t="s">
        <v>4877</v>
      </c>
      <c r="E781" s="300" t="s">
        <v>2962</v>
      </c>
      <c r="F781" s="300" t="s">
        <v>4858</v>
      </c>
      <c r="G781" s="300" t="s">
        <v>446</v>
      </c>
    </row>
    <row r="782" spans="1:7" ht="14.5">
      <c r="A782" s="300" t="s">
        <v>926</v>
      </c>
      <c r="B782" s="300" t="s">
        <v>3349</v>
      </c>
      <c r="C782" s="300" t="s">
        <v>3350</v>
      </c>
      <c r="D782" s="300" t="s">
        <v>4877</v>
      </c>
      <c r="E782" s="300" t="s">
        <v>2962</v>
      </c>
      <c r="F782" s="300" t="s">
        <v>4858</v>
      </c>
      <c r="G782" s="300" t="s">
        <v>446</v>
      </c>
    </row>
    <row r="783" spans="1:7" ht="14.5">
      <c r="A783" s="300" t="s">
        <v>926</v>
      </c>
      <c r="B783" s="300" t="s">
        <v>3352</v>
      </c>
      <c r="C783" s="300" t="s">
        <v>3353</v>
      </c>
      <c r="D783" s="300" t="s">
        <v>4877</v>
      </c>
      <c r="E783" s="300" t="s">
        <v>2962</v>
      </c>
      <c r="F783" s="300" t="s">
        <v>4858</v>
      </c>
      <c r="G783" s="300" t="s">
        <v>446</v>
      </c>
    </row>
    <row r="784" spans="1:7" ht="14.5">
      <c r="A784" s="300" t="s">
        <v>926</v>
      </c>
      <c r="B784" s="300" t="s">
        <v>3356</v>
      </c>
      <c r="C784" s="300" t="s">
        <v>3357</v>
      </c>
      <c r="D784" s="300" t="s">
        <v>4877</v>
      </c>
      <c r="E784" s="300" t="s">
        <v>2962</v>
      </c>
      <c r="F784" s="300" t="s">
        <v>4858</v>
      </c>
      <c r="G784" s="300" t="s">
        <v>446</v>
      </c>
    </row>
    <row r="785" spans="1:7" ht="14.5">
      <c r="A785" s="300" t="s">
        <v>926</v>
      </c>
      <c r="B785" s="300" t="s">
        <v>3360</v>
      </c>
      <c r="C785" s="300" t="s">
        <v>3361</v>
      </c>
      <c r="D785" s="300" t="s">
        <v>4877</v>
      </c>
      <c r="E785" s="300" t="s">
        <v>2962</v>
      </c>
      <c r="F785" s="300" t="s">
        <v>4858</v>
      </c>
      <c r="G785" s="300" t="s">
        <v>446</v>
      </c>
    </row>
    <row r="786" spans="1:7" ht="14.5">
      <c r="A786" s="300" t="s">
        <v>926</v>
      </c>
      <c r="B786" s="300" t="s">
        <v>3364</v>
      </c>
      <c r="C786" s="300" t="s">
        <v>3365</v>
      </c>
      <c r="D786" s="300" t="s">
        <v>4877</v>
      </c>
      <c r="E786" s="300" t="s">
        <v>2962</v>
      </c>
      <c r="F786" s="300" t="s">
        <v>4858</v>
      </c>
      <c r="G786" s="300" t="s">
        <v>446</v>
      </c>
    </row>
    <row r="787" spans="1:7" ht="14.5">
      <c r="A787" s="300" t="s">
        <v>926</v>
      </c>
      <c r="B787" s="300" t="s">
        <v>3366</v>
      </c>
      <c r="C787" s="300" t="s">
        <v>3367</v>
      </c>
      <c r="D787" s="300" t="s">
        <v>4878</v>
      </c>
      <c r="E787" s="300" t="s">
        <v>3369</v>
      </c>
      <c r="F787" s="300" t="s">
        <v>4858</v>
      </c>
      <c r="G787" s="300" t="s">
        <v>446</v>
      </c>
    </row>
    <row r="788" spans="1:7" ht="14.5">
      <c r="A788" s="300" t="s">
        <v>926</v>
      </c>
      <c r="B788" s="300" t="s">
        <v>3370</v>
      </c>
      <c r="C788" s="300" t="s">
        <v>3371</v>
      </c>
      <c r="D788" s="300" t="s">
        <v>4878</v>
      </c>
      <c r="E788" s="300" t="s">
        <v>3369</v>
      </c>
      <c r="F788" s="300" t="s">
        <v>4858</v>
      </c>
      <c r="G788" s="300" t="s">
        <v>446</v>
      </c>
    </row>
    <row r="789" spans="1:7" ht="14.5">
      <c r="A789" s="300" t="s">
        <v>926</v>
      </c>
      <c r="B789" s="300" t="s">
        <v>3373</v>
      </c>
      <c r="C789" s="300" t="s">
        <v>3374</v>
      </c>
      <c r="D789" s="300" t="s">
        <v>4878</v>
      </c>
      <c r="E789" s="300" t="s">
        <v>3369</v>
      </c>
      <c r="F789" s="300" t="s">
        <v>4858</v>
      </c>
      <c r="G789" s="300" t="s">
        <v>446</v>
      </c>
    </row>
    <row r="790" spans="1:7" ht="14.5">
      <c r="A790" s="300" t="s">
        <v>926</v>
      </c>
      <c r="B790" s="300" t="s">
        <v>3377</v>
      </c>
      <c r="C790" s="300" t="s">
        <v>3378</v>
      </c>
      <c r="D790" s="300" t="s">
        <v>4878</v>
      </c>
      <c r="E790" s="300" t="s">
        <v>3369</v>
      </c>
      <c r="F790" s="300" t="s">
        <v>4858</v>
      </c>
      <c r="G790" s="300" t="s">
        <v>446</v>
      </c>
    </row>
    <row r="791" spans="1:7" ht="14.5">
      <c r="A791" s="300" t="s">
        <v>926</v>
      </c>
      <c r="B791" s="300" t="s">
        <v>3379</v>
      </c>
      <c r="C791" s="300" t="s">
        <v>3380</v>
      </c>
      <c r="D791" s="300" t="s">
        <v>4878</v>
      </c>
      <c r="E791" s="300" t="s">
        <v>3369</v>
      </c>
      <c r="F791" s="300" t="s">
        <v>4858</v>
      </c>
      <c r="G791" s="300" t="s">
        <v>446</v>
      </c>
    </row>
    <row r="792" spans="1:7" ht="14.5">
      <c r="A792" s="300" t="s">
        <v>926</v>
      </c>
      <c r="B792" s="300" t="s">
        <v>3383</v>
      </c>
      <c r="C792" s="300" t="s">
        <v>3384</v>
      </c>
      <c r="D792" s="300" t="s">
        <v>4878</v>
      </c>
      <c r="E792" s="300" t="s">
        <v>3369</v>
      </c>
      <c r="F792" s="300" t="s">
        <v>4858</v>
      </c>
      <c r="G792" s="300" t="s">
        <v>446</v>
      </c>
    </row>
    <row r="793" spans="1:7" ht="14.5">
      <c r="A793" s="300" t="s">
        <v>926</v>
      </c>
      <c r="B793" s="300" t="s">
        <v>3386</v>
      </c>
      <c r="C793" s="300" t="s">
        <v>3387</v>
      </c>
      <c r="D793" s="300" t="s">
        <v>4878</v>
      </c>
      <c r="E793" s="300" t="s">
        <v>3369</v>
      </c>
      <c r="F793" s="300" t="s">
        <v>4858</v>
      </c>
      <c r="G793" s="300" t="s">
        <v>446</v>
      </c>
    </row>
    <row r="794" spans="1:7" ht="14.5">
      <c r="A794" s="300" t="s">
        <v>926</v>
      </c>
      <c r="B794" s="300" t="s">
        <v>3390</v>
      </c>
      <c r="C794" s="300" t="s">
        <v>3391</v>
      </c>
      <c r="D794" s="300" t="s">
        <v>4878</v>
      </c>
      <c r="E794" s="300" t="s">
        <v>3369</v>
      </c>
      <c r="F794" s="300" t="s">
        <v>4858</v>
      </c>
      <c r="G794" s="300" t="s">
        <v>446</v>
      </c>
    </row>
    <row r="795" spans="1:7" ht="14.5">
      <c r="A795" s="300" t="s">
        <v>926</v>
      </c>
      <c r="B795" s="300" t="s">
        <v>3394</v>
      </c>
      <c r="C795" s="300" t="s">
        <v>3395</v>
      </c>
      <c r="D795" s="300" t="s">
        <v>4878</v>
      </c>
      <c r="E795" s="300" t="s">
        <v>3369</v>
      </c>
      <c r="F795" s="300" t="s">
        <v>4858</v>
      </c>
      <c r="G795" s="300" t="s">
        <v>446</v>
      </c>
    </row>
    <row r="796" spans="1:7" ht="14.5">
      <c r="A796" s="300" t="s">
        <v>926</v>
      </c>
      <c r="B796" s="300" t="s">
        <v>3398</v>
      </c>
      <c r="C796" s="300" t="s">
        <v>3399</v>
      </c>
      <c r="D796" s="300" t="s">
        <v>4878</v>
      </c>
      <c r="E796" s="300" t="s">
        <v>3369</v>
      </c>
      <c r="F796" s="300" t="s">
        <v>4858</v>
      </c>
      <c r="G796" s="300" t="s">
        <v>446</v>
      </c>
    </row>
    <row r="797" spans="1:7" ht="14.5">
      <c r="A797" s="300" t="s">
        <v>926</v>
      </c>
      <c r="B797" s="300" t="s">
        <v>3402</v>
      </c>
      <c r="C797" s="300" t="s">
        <v>3403</v>
      </c>
      <c r="D797" s="300" t="s">
        <v>4878</v>
      </c>
      <c r="E797" s="300" t="s">
        <v>3369</v>
      </c>
      <c r="F797" s="300" t="s">
        <v>4858</v>
      </c>
      <c r="G797" s="300" t="s">
        <v>446</v>
      </c>
    </row>
    <row r="798" spans="1:7" ht="14.5">
      <c r="A798" s="300" t="s">
        <v>926</v>
      </c>
      <c r="B798" s="300" t="s">
        <v>3404</v>
      </c>
      <c r="C798" s="300" t="s">
        <v>3405</v>
      </c>
      <c r="D798" s="300" t="s">
        <v>4878</v>
      </c>
      <c r="E798" s="300" t="s">
        <v>3369</v>
      </c>
      <c r="F798" s="300" t="s">
        <v>4858</v>
      </c>
      <c r="G798" s="300" t="s">
        <v>446</v>
      </c>
    </row>
    <row r="799" spans="1:7" ht="14.5">
      <c r="A799" s="300" t="s">
        <v>926</v>
      </c>
      <c r="B799" s="300" t="s">
        <v>3407</v>
      </c>
      <c r="C799" s="300" t="s">
        <v>3408</v>
      </c>
      <c r="D799" s="300" t="s">
        <v>4878</v>
      </c>
      <c r="E799" s="300" t="s">
        <v>3369</v>
      </c>
      <c r="F799" s="300" t="s">
        <v>4858</v>
      </c>
      <c r="G799" s="300" t="s">
        <v>446</v>
      </c>
    </row>
    <row r="800" spans="1:7" ht="14.5">
      <c r="A800" s="300" t="s">
        <v>926</v>
      </c>
      <c r="B800" s="300" t="s">
        <v>3411</v>
      </c>
      <c r="C800" s="300" t="s">
        <v>3412</v>
      </c>
      <c r="D800" s="300" t="s">
        <v>4878</v>
      </c>
      <c r="E800" s="300" t="s">
        <v>3369</v>
      </c>
      <c r="F800" s="300" t="s">
        <v>4858</v>
      </c>
      <c r="G800" s="300" t="s">
        <v>446</v>
      </c>
    </row>
    <row r="801" spans="1:7" ht="14.5">
      <c r="A801" s="300" t="s">
        <v>926</v>
      </c>
      <c r="B801" s="300" t="s">
        <v>3413</v>
      </c>
      <c r="C801" s="300" t="s">
        <v>3414</v>
      </c>
      <c r="D801" s="300" t="s">
        <v>4878</v>
      </c>
      <c r="E801" s="300" t="s">
        <v>3369</v>
      </c>
      <c r="F801" s="300" t="s">
        <v>4858</v>
      </c>
      <c r="G801" s="300" t="s">
        <v>446</v>
      </c>
    </row>
    <row r="802" spans="1:7" ht="14.5">
      <c r="A802" s="300" t="s">
        <v>926</v>
      </c>
      <c r="B802" s="300" t="s">
        <v>3415</v>
      </c>
      <c r="C802" s="300" t="s">
        <v>3416</v>
      </c>
      <c r="D802" s="300" t="s">
        <v>4878</v>
      </c>
      <c r="E802" s="300" t="s">
        <v>3369</v>
      </c>
      <c r="F802" s="300" t="s">
        <v>4858</v>
      </c>
      <c r="G802" s="300" t="s">
        <v>446</v>
      </c>
    </row>
    <row r="803" spans="1:7" ht="14.5">
      <c r="A803" s="300" t="s">
        <v>926</v>
      </c>
      <c r="B803" s="300" t="s">
        <v>3418</v>
      </c>
      <c r="C803" s="300" t="s">
        <v>3419</v>
      </c>
      <c r="D803" s="300" t="s">
        <v>4878</v>
      </c>
      <c r="E803" s="300" t="s">
        <v>3369</v>
      </c>
      <c r="F803" s="300" t="s">
        <v>4858</v>
      </c>
      <c r="G803" s="300" t="s">
        <v>446</v>
      </c>
    </row>
    <row r="804" spans="1:7" ht="14.5">
      <c r="A804" s="300" t="s">
        <v>926</v>
      </c>
      <c r="B804" s="300" t="s">
        <v>3422</v>
      </c>
      <c r="C804" s="300" t="s">
        <v>3423</v>
      </c>
      <c r="D804" s="300" t="s">
        <v>4878</v>
      </c>
      <c r="E804" s="300" t="s">
        <v>3369</v>
      </c>
      <c r="F804" s="300" t="s">
        <v>4858</v>
      </c>
      <c r="G804" s="300" t="s">
        <v>446</v>
      </c>
    </row>
    <row r="805" spans="1:7" ht="14.5">
      <c r="A805" s="300" t="s">
        <v>926</v>
      </c>
      <c r="B805" s="300" t="s">
        <v>3425</v>
      </c>
      <c r="C805" s="300" t="s">
        <v>3426</v>
      </c>
      <c r="D805" s="300" t="s">
        <v>4878</v>
      </c>
      <c r="E805" s="300" t="s">
        <v>3369</v>
      </c>
      <c r="F805" s="300" t="s">
        <v>4858</v>
      </c>
      <c r="G805" s="300" t="s">
        <v>446</v>
      </c>
    </row>
    <row r="806" spans="1:7" ht="14.5">
      <c r="A806" s="300" t="s">
        <v>926</v>
      </c>
      <c r="B806" s="300" t="s">
        <v>3429</v>
      </c>
      <c r="C806" s="300" t="s">
        <v>3430</v>
      </c>
      <c r="D806" s="300" t="s">
        <v>4878</v>
      </c>
      <c r="E806" s="300" t="s">
        <v>3369</v>
      </c>
      <c r="F806" s="300" t="s">
        <v>4858</v>
      </c>
      <c r="G806" s="300" t="s">
        <v>446</v>
      </c>
    </row>
    <row r="807" spans="1:7" ht="14.5">
      <c r="A807" s="300" t="s">
        <v>926</v>
      </c>
      <c r="B807" s="300" t="s">
        <v>3431</v>
      </c>
      <c r="C807" s="300" t="s">
        <v>3432</v>
      </c>
      <c r="D807" s="300" t="s">
        <v>4878</v>
      </c>
      <c r="E807" s="300" t="s">
        <v>3369</v>
      </c>
      <c r="F807" s="300" t="s">
        <v>4858</v>
      </c>
      <c r="G807" s="300" t="s">
        <v>446</v>
      </c>
    </row>
    <row r="808" spans="1:7" ht="14.5">
      <c r="A808" s="300" t="s">
        <v>926</v>
      </c>
      <c r="B808" s="300" t="s">
        <v>3433</v>
      </c>
      <c r="C808" s="300" t="s">
        <v>3434</v>
      </c>
      <c r="D808" s="300" t="s">
        <v>4878</v>
      </c>
      <c r="E808" s="300" t="s">
        <v>3369</v>
      </c>
      <c r="F808" s="300" t="s">
        <v>4858</v>
      </c>
      <c r="G808" s="300" t="s">
        <v>446</v>
      </c>
    </row>
    <row r="809" spans="1:7" ht="14.5">
      <c r="A809" s="300" t="s">
        <v>926</v>
      </c>
      <c r="B809" s="300" t="s">
        <v>3435</v>
      </c>
      <c r="C809" s="300" t="s">
        <v>3436</v>
      </c>
      <c r="D809" s="300" t="s">
        <v>4878</v>
      </c>
      <c r="E809" s="300" t="s">
        <v>3369</v>
      </c>
      <c r="F809" s="300" t="s">
        <v>4858</v>
      </c>
      <c r="G809" s="300" t="s">
        <v>446</v>
      </c>
    </row>
    <row r="810" spans="1:7" ht="14.5">
      <c r="A810" s="300" t="s">
        <v>926</v>
      </c>
      <c r="B810" s="300" t="s">
        <v>3437</v>
      </c>
      <c r="C810" s="300" t="s">
        <v>3438</v>
      </c>
      <c r="D810" s="300" t="s">
        <v>4878</v>
      </c>
      <c r="E810" s="300" t="s">
        <v>3369</v>
      </c>
      <c r="F810" s="300" t="s">
        <v>4858</v>
      </c>
      <c r="G810" s="300" t="s">
        <v>446</v>
      </c>
    </row>
    <row r="811" spans="1:7" ht="14.5">
      <c r="A811" s="300" t="s">
        <v>926</v>
      </c>
      <c r="B811" s="300" t="s">
        <v>3440</v>
      </c>
      <c r="C811" s="300" t="s">
        <v>3441</v>
      </c>
      <c r="D811" s="300" t="s">
        <v>4878</v>
      </c>
      <c r="E811" s="300" t="s">
        <v>3369</v>
      </c>
      <c r="F811" s="300" t="s">
        <v>4858</v>
      </c>
      <c r="G811" s="300" t="s">
        <v>446</v>
      </c>
    </row>
    <row r="812" spans="1:7" ht="14.5">
      <c r="A812" s="300" t="s">
        <v>926</v>
      </c>
      <c r="B812" s="300" t="s">
        <v>3444</v>
      </c>
      <c r="C812" s="300" t="s">
        <v>3445</v>
      </c>
      <c r="D812" s="300" t="s">
        <v>4878</v>
      </c>
      <c r="E812" s="300" t="s">
        <v>3369</v>
      </c>
      <c r="F812" s="300" t="s">
        <v>4858</v>
      </c>
      <c r="G812" s="300" t="s">
        <v>446</v>
      </c>
    </row>
    <row r="813" spans="1:7" ht="14.5">
      <c r="A813" s="300" t="s">
        <v>926</v>
      </c>
      <c r="B813" s="300" t="s">
        <v>3446</v>
      </c>
      <c r="C813" s="300" t="s">
        <v>3447</v>
      </c>
      <c r="D813" s="300" t="s">
        <v>4878</v>
      </c>
      <c r="E813" s="300" t="s">
        <v>3369</v>
      </c>
      <c r="F813" s="300" t="s">
        <v>4858</v>
      </c>
      <c r="G813" s="300" t="s">
        <v>446</v>
      </c>
    </row>
    <row r="814" spans="1:7" ht="14.5">
      <c r="A814" s="300" t="s">
        <v>926</v>
      </c>
      <c r="B814" s="300" t="s">
        <v>3450</v>
      </c>
      <c r="C814" s="300" t="s">
        <v>3451</v>
      </c>
      <c r="D814" s="300" t="s">
        <v>4878</v>
      </c>
      <c r="E814" s="300" t="s">
        <v>3369</v>
      </c>
      <c r="F814" s="300" t="s">
        <v>4858</v>
      </c>
      <c r="G814" s="300" t="s">
        <v>446</v>
      </c>
    </row>
    <row r="815" spans="1:7" ht="14.5">
      <c r="A815" s="300" t="s">
        <v>926</v>
      </c>
      <c r="B815" s="300" t="s">
        <v>3452</v>
      </c>
      <c r="C815" s="300" t="s">
        <v>3453</v>
      </c>
      <c r="D815" s="300" t="s">
        <v>4878</v>
      </c>
      <c r="E815" s="300" t="s">
        <v>3369</v>
      </c>
      <c r="F815" s="300" t="s">
        <v>4858</v>
      </c>
      <c r="G815" s="300" t="s">
        <v>446</v>
      </c>
    </row>
    <row r="816" spans="1:7" ht="14.5">
      <c r="A816" s="300" t="s">
        <v>926</v>
      </c>
      <c r="B816" s="300" t="s">
        <v>3454</v>
      </c>
      <c r="C816" s="300" t="s">
        <v>3455</v>
      </c>
      <c r="D816" s="300" t="s">
        <v>4878</v>
      </c>
      <c r="E816" s="300" t="s">
        <v>3369</v>
      </c>
      <c r="F816" s="300" t="s">
        <v>4858</v>
      </c>
      <c r="G816" s="300" t="s">
        <v>446</v>
      </c>
    </row>
    <row r="817" spans="1:7" ht="14.5">
      <c r="A817" s="300" t="s">
        <v>926</v>
      </c>
      <c r="B817" s="300" t="s">
        <v>3458</v>
      </c>
      <c r="C817" s="300" t="s">
        <v>3459</v>
      </c>
      <c r="D817" s="300" t="s">
        <v>4878</v>
      </c>
      <c r="E817" s="300" t="s">
        <v>3369</v>
      </c>
      <c r="F817" s="300" t="s">
        <v>4858</v>
      </c>
      <c r="G817" s="300" t="s">
        <v>446</v>
      </c>
    </row>
    <row r="818" spans="1:7" ht="14.5">
      <c r="A818" s="300" t="s">
        <v>926</v>
      </c>
      <c r="B818" s="300" t="s">
        <v>3462</v>
      </c>
      <c r="C818" s="300" t="s">
        <v>3463</v>
      </c>
      <c r="D818" s="300" t="s">
        <v>4878</v>
      </c>
      <c r="E818" s="300" t="s">
        <v>3369</v>
      </c>
      <c r="F818" s="300" t="s">
        <v>4858</v>
      </c>
      <c r="G818" s="300" t="s">
        <v>446</v>
      </c>
    </row>
    <row r="819" spans="1:7" ht="14.5">
      <c r="A819" s="300" t="s">
        <v>926</v>
      </c>
      <c r="B819" s="300" t="s">
        <v>3466</v>
      </c>
      <c r="C819" s="300" t="s">
        <v>3467</v>
      </c>
      <c r="D819" s="300" t="s">
        <v>4878</v>
      </c>
      <c r="E819" s="300" t="s">
        <v>3369</v>
      </c>
      <c r="F819" s="300" t="s">
        <v>4858</v>
      </c>
      <c r="G819" s="300" t="s">
        <v>446</v>
      </c>
    </row>
    <row r="820" spans="1:7" ht="14.5">
      <c r="A820" s="300" t="s">
        <v>926</v>
      </c>
      <c r="B820" s="300" t="s">
        <v>3469</v>
      </c>
      <c r="C820" s="300" t="s">
        <v>3470</v>
      </c>
      <c r="D820" s="300" t="s">
        <v>4878</v>
      </c>
      <c r="E820" s="300" t="s">
        <v>3369</v>
      </c>
      <c r="F820" s="300" t="s">
        <v>4858</v>
      </c>
      <c r="G820" s="300" t="s">
        <v>446</v>
      </c>
    </row>
    <row r="821" spans="1:7" ht="14.5">
      <c r="A821" s="300" t="s">
        <v>926</v>
      </c>
      <c r="B821" s="300" t="s">
        <v>3473</v>
      </c>
      <c r="C821" s="300" t="s">
        <v>3474</v>
      </c>
      <c r="D821" s="300" t="s">
        <v>4878</v>
      </c>
      <c r="E821" s="300" t="s">
        <v>3369</v>
      </c>
      <c r="F821" s="300" t="s">
        <v>4858</v>
      </c>
      <c r="G821" s="300" t="s">
        <v>446</v>
      </c>
    </row>
    <row r="822" spans="1:7" ht="14.5">
      <c r="A822" s="300" t="s">
        <v>926</v>
      </c>
      <c r="B822" s="300" t="s">
        <v>3476</v>
      </c>
      <c r="C822" s="300" t="s">
        <v>3477</v>
      </c>
      <c r="D822" s="300" t="s">
        <v>4878</v>
      </c>
      <c r="E822" s="300" t="s">
        <v>3369</v>
      </c>
      <c r="F822" s="300" t="s">
        <v>4858</v>
      </c>
      <c r="G822" s="300" t="s">
        <v>446</v>
      </c>
    </row>
    <row r="823" spans="1:7" ht="14.5">
      <c r="A823" s="300" t="s">
        <v>926</v>
      </c>
      <c r="B823" s="300" t="s">
        <v>3480</v>
      </c>
      <c r="C823" s="300" t="s">
        <v>3481</v>
      </c>
      <c r="D823" s="300" t="s">
        <v>4878</v>
      </c>
      <c r="E823" s="300" t="s">
        <v>3369</v>
      </c>
      <c r="F823" s="300" t="s">
        <v>4858</v>
      </c>
      <c r="G823" s="300" t="s">
        <v>446</v>
      </c>
    </row>
    <row r="824" spans="1:7" ht="14.5">
      <c r="A824" s="300" t="s">
        <v>926</v>
      </c>
      <c r="B824" s="300" t="s">
        <v>3482</v>
      </c>
      <c r="C824" s="300" t="s">
        <v>3483</v>
      </c>
      <c r="D824" s="300" t="s">
        <v>4878</v>
      </c>
      <c r="E824" s="300" t="s">
        <v>3369</v>
      </c>
      <c r="F824" s="300" t="s">
        <v>4858</v>
      </c>
      <c r="G824" s="300" t="s">
        <v>446</v>
      </c>
    </row>
    <row r="825" spans="1:7" ht="14.5">
      <c r="A825" s="300" t="s">
        <v>926</v>
      </c>
      <c r="B825" s="300" t="s">
        <v>3484</v>
      </c>
      <c r="C825" s="300" t="s">
        <v>3485</v>
      </c>
      <c r="D825" s="300" t="s">
        <v>4879</v>
      </c>
      <c r="E825" s="300" t="s">
        <v>3488</v>
      </c>
      <c r="F825" s="300" t="s">
        <v>4858</v>
      </c>
      <c r="G825" s="300" t="s">
        <v>446</v>
      </c>
    </row>
    <row r="826" spans="1:7" ht="14.5">
      <c r="A826" s="300" t="s">
        <v>926</v>
      </c>
      <c r="B826" s="300" t="s">
        <v>3489</v>
      </c>
      <c r="C826" s="300" t="s">
        <v>3490</v>
      </c>
      <c r="D826" s="300" t="s">
        <v>4878</v>
      </c>
      <c r="E826" s="300" t="s">
        <v>3369</v>
      </c>
      <c r="F826" s="300" t="s">
        <v>4858</v>
      </c>
      <c r="G826" s="300" t="s">
        <v>446</v>
      </c>
    </row>
    <row r="827" spans="1:7" ht="14.5">
      <c r="A827" s="300" t="s">
        <v>926</v>
      </c>
      <c r="B827" s="300" t="s">
        <v>3493</v>
      </c>
      <c r="C827" s="300" t="s">
        <v>3494</v>
      </c>
      <c r="D827" s="300" t="s">
        <v>4878</v>
      </c>
      <c r="E827" s="300" t="s">
        <v>3369</v>
      </c>
      <c r="F827" s="300" t="s">
        <v>4858</v>
      </c>
      <c r="G827" s="300" t="s">
        <v>446</v>
      </c>
    </row>
    <row r="828" spans="1:7" ht="14.5">
      <c r="A828" s="300" t="s">
        <v>926</v>
      </c>
      <c r="B828" s="300" t="s">
        <v>3495</v>
      </c>
      <c r="C828" s="300" t="s">
        <v>3496</v>
      </c>
      <c r="D828" s="300" t="s">
        <v>4878</v>
      </c>
      <c r="E828" s="300" t="s">
        <v>3369</v>
      </c>
      <c r="F828" s="300" t="s">
        <v>4858</v>
      </c>
      <c r="G828" s="300" t="s">
        <v>446</v>
      </c>
    </row>
    <row r="829" spans="1:7" ht="14.5">
      <c r="A829" s="300" t="s">
        <v>926</v>
      </c>
      <c r="B829" s="300" t="s">
        <v>3497</v>
      </c>
      <c r="C829" s="300" t="s">
        <v>3498</v>
      </c>
      <c r="D829" s="300" t="s">
        <v>4879</v>
      </c>
      <c r="E829" s="300" t="s">
        <v>3488</v>
      </c>
      <c r="F829" s="300" t="s">
        <v>4858</v>
      </c>
      <c r="G829" s="300" t="s">
        <v>446</v>
      </c>
    </row>
    <row r="830" spans="1:7" ht="14.5">
      <c r="A830" s="300" t="s">
        <v>926</v>
      </c>
      <c r="B830" s="300" t="s">
        <v>3501</v>
      </c>
      <c r="C830" s="300" t="s">
        <v>3502</v>
      </c>
      <c r="D830" s="300" t="s">
        <v>4879</v>
      </c>
      <c r="E830" s="300" t="s">
        <v>3488</v>
      </c>
      <c r="F830" s="300" t="s">
        <v>4858</v>
      </c>
      <c r="G830" s="300" t="s">
        <v>446</v>
      </c>
    </row>
    <row r="831" spans="1:7" ht="14.5">
      <c r="A831" s="300" t="s">
        <v>926</v>
      </c>
      <c r="B831" s="300" t="s">
        <v>3503</v>
      </c>
      <c r="C831" s="300" t="s">
        <v>3492</v>
      </c>
      <c r="D831" s="300" t="s">
        <v>4878</v>
      </c>
      <c r="E831" s="300" t="s">
        <v>3369</v>
      </c>
      <c r="F831" s="300" t="s">
        <v>4858</v>
      </c>
      <c r="G831" s="300" t="s">
        <v>446</v>
      </c>
    </row>
    <row r="832" spans="1:7" ht="14.5">
      <c r="A832" s="300" t="s">
        <v>926</v>
      </c>
      <c r="B832" s="300" t="s">
        <v>3504</v>
      </c>
      <c r="C832" s="300" t="s">
        <v>3505</v>
      </c>
      <c r="D832" s="300" t="s">
        <v>4877</v>
      </c>
      <c r="E832" s="300" t="s">
        <v>2962</v>
      </c>
      <c r="F832" s="300" t="s">
        <v>4858</v>
      </c>
      <c r="G832" s="300" t="s">
        <v>446</v>
      </c>
    </row>
    <row r="833" spans="1:7" ht="14.5">
      <c r="A833" s="300" t="s">
        <v>926</v>
      </c>
      <c r="B833" s="300" t="s">
        <v>3506</v>
      </c>
      <c r="C833" s="300" t="s">
        <v>3507</v>
      </c>
      <c r="D833" s="300" t="s">
        <v>4878</v>
      </c>
      <c r="E833" s="300" t="s">
        <v>3369</v>
      </c>
      <c r="F833" s="300" t="s">
        <v>4858</v>
      </c>
      <c r="G833" s="300" t="s">
        <v>446</v>
      </c>
    </row>
    <row r="834" spans="1:7" ht="14.5">
      <c r="A834" s="300" t="s">
        <v>926</v>
      </c>
      <c r="B834" s="300" t="s">
        <v>3509</v>
      </c>
      <c r="C834" s="300" t="s">
        <v>3510</v>
      </c>
      <c r="D834" s="300" t="s">
        <v>4878</v>
      </c>
      <c r="E834" s="300" t="s">
        <v>3369</v>
      </c>
      <c r="F834" s="300" t="s">
        <v>4858</v>
      </c>
      <c r="G834" s="300" t="s">
        <v>446</v>
      </c>
    </row>
    <row r="835" spans="1:7" ht="14.5">
      <c r="A835" s="300" t="s">
        <v>926</v>
      </c>
      <c r="B835" s="300" t="s">
        <v>3513</v>
      </c>
      <c r="C835" s="300" t="s">
        <v>3514</v>
      </c>
      <c r="D835" s="300" t="s">
        <v>4878</v>
      </c>
      <c r="E835" s="300" t="s">
        <v>3369</v>
      </c>
      <c r="F835" s="300" t="s">
        <v>4858</v>
      </c>
      <c r="G835" s="300" t="s">
        <v>446</v>
      </c>
    </row>
    <row r="836" spans="1:7" ht="14.5">
      <c r="A836" s="300" t="s">
        <v>926</v>
      </c>
      <c r="B836" s="300" t="s">
        <v>3517</v>
      </c>
      <c r="C836" s="300" t="s">
        <v>3518</v>
      </c>
      <c r="D836" s="300" t="s">
        <v>4878</v>
      </c>
      <c r="E836" s="300" t="s">
        <v>3369</v>
      </c>
      <c r="F836" s="300" t="s">
        <v>4858</v>
      </c>
      <c r="G836" s="300" t="s">
        <v>446</v>
      </c>
    </row>
    <row r="837" spans="1:7" ht="14.5">
      <c r="A837" s="300" t="s">
        <v>926</v>
      </c>
      <c r="B837" s="300" t="s">
        <v>3521</v>
      </c>
      <c r="C837" s="300" t="s">
        <v>3522</v>
      </c>
      <c r="D837" s="300" t="s">
        <v>4878</v>
      </c>
      <c r="E837" s="300" t="s">
        <v>3369</v>
      </c>
      <c r="F837" s="300" t="s">
        <v>4858</v>
      </c>
      <c r="G837" s="300" t="s">
        <v>446</v>
      </c>
    </row>
    <row r="838" spans="1:7" ht="14.5">
      <c r="A838" s="300" t="s">
        <v>926</v>
      </c>
      <c r="B838" s="300" t="s">
        <v>3523</v>
      </c>
      <c r="C838" s="300" t="s">
        <v>3524</v>
      </c>
      <c r="D838" s="300" t="s">
        <v>4878</v>
      </c>
      <c r="E838" s="300" t="s">
        <v>3369</v>
      </c>
      <c r="F838" s="300" t="s">
        <v>4858</v>
      </c>
      <c r="G838" s="300" t="s">
        <v>446</v>
      </c>
    </row>
    <row r="839" spans="1:7" ht="14.5">
      <c r="A839" s="300" t="s">
        <v>926</v>
      </c>
      <c r="B839" s="300" t="s">
        <v>3526</v>
      </c>
      <c r="C839" s="300" t="s">
        <v>3527</v>
      </c>
      <c r="D839" s="300" t="s">
        <v>4878</v>
      </c>
      <c r="E839" s="300" t="s">
        <v>3369</v>
      </c>
      <c r="F839" s="300" t="s">
        <v>4858</v>
      </c>
      <c r="G839" s="300" t="s">
        <v>446</v>
      </c>
    </row>
    <row r="840" spans="1:7" ht="14.5">
      <c r="A840" s="300" t="s">
        <v>926</v>
      </c>
      <c r="B840" s="300" t="s">
        <v>3529</v>
      </c>
      <c r="C840" s="300" t="s">
        <v>3530</v>
      </c>
      <c r="D840" s="300" t="s">
        <v>4878</v>
      </c>
      <c r="E840" s="300" t="s">
        <v>3369</v>
      </c>
      <c r="F840" s="300" t="s">
        <v>4858</v>
      </c>
      <c r="G840" s="300" t="s">
        <v>446</v>
      </c>
    </row>
    <row r="841" spans="1:7" ht="14.5">
      <c r="A841" s="300" t="s">
        <v>926</v>
      </c>
      <c r="B841" s="300" t="s">
        <v>3532</v>
      </c>
      <c r="C841" s="300" t="s">
        <v>3533</v>
      </c>
      <c r="D841" s="300" t="s">
        <v>4878</v>
      </c>
      <c r="E841" s="300" t="s">
        <v>3369</v>
      </c>
      <c r="F841" s="300" t="s">
        <v>4858</v>
      </c>
      <c r="G841" s="300" t="s">
        <v>446</v>
      </c>
    </row>
    <row r="842" spans="1:7" ht="14.5">
      <c r="A842" s="300" t="s">
        <v>926</v>
      </c>
      <c r="B842" s="300" t="s">
        <v>3535</v>
      </c>
      <c r="C842" s="300" t="s">
        <v>3536</v>
      </c>
      <c r="D842" s="300" t="s">
        <v>4878</v>
      </c>
      <c r="E842" s="300" t="s">
        <v>3369</v>
      </c>
      <c r="F842" s="300" t="s">
        <v>4858</v>
      </c>
      <c r="G842" s="300" t="s">
        <v>446</v>
      </c>
    </row>
    <row r="843" spans="1:7" ht="14.5">
      <c r="A843" s="300" t="s">
        <v>926</v>
      </c>
      <c r="B843" s="300" t="s">
        <v>3538</v>
      </c>
      <c r="C843" s="300" t="s">
        <v>3539</v>
      </c>
      <c r="D843" s="300" t="s">
        <v>4878</v>
      </c>
      <c r="E843" s="300" t="s">
        <v>3369</v>
      </c>
      <c r="F843" s="300" t="s">
        <v>4858</v>
      </c>
      <c r="G843" s="300" t="s">
        <v>446</v>
      </c>
    </row>
    <row r="844" spans="1:7" ht="14.5">
      <c r="A844" s="300" t="s">
        <v>926</v>
      </c>
      <c r="B844" s="300" t="s">
        <v>3542</v>
      </c>
      <c r="C844" s="300" t="s">
        <v>3543</v>
      </c>
      <c r="D844" s="300" t="s">
        <v>4878</v>
      </c>
      <c r="E844" s="300" t="s">
        <v>3369</v>
      </c>
      <c r="F844" s="300" t="s">
        <v>4858</v>
      </c>
      <c r="G844" s="300" t="s">
        <v>446</v>
      </c>
    </row>
    <row r="845" spans="1:7" ht="14.5">
      <c r="A845" s="300" t="s">
        <v>926</v>
      </c>
      <c r="B845" s="300" t="s">
        <v>3546</v>
      </c>
      <c r="C845" s="300" t="s">
        <v>3547</v>
      </c>
      <c r="D845" s="300" t="s">
        <v>4878</v>
      </c>
      <c r="E845" s="300" t="s">
        <v>3369</v>
      </c>
      <c r="F845" s="300" t="s">
        <v>4858</v>
      </c>
      <c r="G845" s="300" t="s">
        <v>446</v>
      </c>
    </row>
    <row r="846" spans="1:7" ht="14.5">
      <c r="A846" s="300" t="s">
        <v>926</v>
      </c>
      <c r="B846" s="300" t="s">
        <v>3548</v>
      </c>
      <c r="C846" s="300" t="s">
        <v>3549</v>
      </c>
      <c r="D846" s="300" t="s">
        <v>4878</v>
      </c>
      <c r="E846" s="300" t="s">
        <v>3369</v>
      </c>
      <c r="F846" s="300" t="s">
        <v>4858</v>
      </c>
      <c r="G846" s="300" t="s">
        <v>446</v>
      </c>
    </row>
    <row r="847" spans="1:7" ht="14.5">
      <c r="A847" s="300" t="s">
        <v>926</v>
      </c>
      <c r="B847" s="300" t="s">
        <v>3550</v>
      </c>
      <c r="C847" s="300" t="s">
        <v>3551</v>
      </c>
      <c r="D847" s="300" t="s">
        <v>4880</v>
      </c>
      <c r="E847" s="300" t="s">
        <v>3553</v>
      </c>
      <c r="F847" s="300" t="s">
        <v>4858</v>
      </c>
      <c r="G847" s="300" t="s">
        <v>446</v>
      </c>
    </row>
    <row r="848" spans="1:7" ht="14.5">
      <c r="A848" s="300" t="s">
        <v>926</v>
      </c>
      <c r="B848" s="300" t="s">
        <v>3554</v>
      </c>
      <c r="C848" s="300" t="s">
        <v>3552</v>
      </c>
      <c r="D848" s="300" t="s">
        <v>4880</v>
      </c>
      <c r="E848" s="300" t="s">
        <v>3553</v>
      </c>
      <c r="F848" s="300" t="s">
        <v>4858</v>
      </c>
      <c r="G848" s="300" t="s">
        <v>446</v>
      </c>
    </row>
    <row r="849" spans="1:7" ht="14.5">
      <c r="A849" s="300" t="s">
        <v>926</v>
      </c>
      <c r="B849" s="300" t="s">
        <v>3557</v>
      </c>
      <c r="C849" s="300" t="s">
        <v>3558</v>
      </c>
      <c r="D849" s="300" t="s">
        <v>4878</v>
      </c>
      <c r="E849" s="300" t="s">
        <v>3369</v>
      </c>
      <c r="F849" s="300" t="s">
        <v>4858</v>
      </c>
      <c r="G849" s="300" t="s">
        <v>446</v>
      </c>
    </row>
    <row r="850" spans="1:7" ht="14.5">
      <c r="A850" s="300" t="s">
        <v>926</v>
      </c>
      <c r="B850" s="300" t="s">
        <v>3560</v>
      </c>
      <c r="C850" s="300" t="s">
        <v>3561</v>
      </c>
      <c r="D850" s="300" t="s">
        <v>4878</v>
      </c>
      <c r="E850" s="300" t="s">
        <v>3369</v>
      </c>
      <c r="F850" s="300" t="s">
        <v>4858</v>
      </c>
      <c r="G850" s="300" t="s">
        <v>446</v>
      </c>
    </row>
    <row r="851" spans="1:7" ht="14.5">
      <c r="A851" s="300" t="s">
        <v>926</v>
      </c>
      <c r="B851" s="300" t="s">
        <v>3564</v>
      </c>
      <c r="C851" s="300" t="s">
        <v>3565</v>
      </c>
      <c r="D851" s="300" t="s">
        <v>4878</v>
      </c>
      <c r="E851" s="300" t="s">
        <v>3369</v>
      </c>
      <c r="F851" s="300" t="s">
        <v>4858</v>
      </c>
      <c r="G851" s="300" t="s">
        <v>446</v>
      </c>
    </row>
    <row r="852" spans="1:7" ht="14.5">
      <c r="A852" s="300" t="s">
        <v>926</v>
      </c>
      <c r="B852" s="300" t="s">
        <v>3568</v>
      </c>
      <c r="C852" s="300" t="s">
        <v>3569</v>
      </c>
      <c r="D852" s="300" t="s">
        <v>4878</v>
      </c>
      <c r="E852" s="300" t="s">
        <v>3369</v>
      </c>
      <c r="F852" s="300" t="s">
        <v>4858</v>
      </c>
      <c r="G852" s="300" t="s">
        <v>446</v>
      </c>
    </row>
    <row r="853" spans="1:7" ht="14.5">
      <c r="A853" s="300" t="s">
        <v>926</v>
      </c>
      <c r="B853" s="300" t="s">
        <v>3570</v>
      </c>
      <c r="C853" s="300" t="s">
        <v>3571</v>
      </c>
      <c r="D853" s="300" t="s">
        <v>4880</v>
      </c>
      <c r="E853" s="300" t="s">
        <v>3553</v>
      </c>
      <c r="F853" s="300" t="s">
        <v>4858</v>
      </c>
      <c r="G853" s="300" t="s">
        <v>446</v>
      </c>
    </row>
    <row r="854" spans="1:7" ht="14.5">
      <c r="A854" s="300" t="s">
        <v>926</v>
      </c>
      <c r="B854" s="300" t="s">
        <v>3573</v>
      </c>
      <c r="C854" s="300" t="s">
        <v>3574</v>
      </c>
      <c r="D854" s="300" t="s">
        <v>4880</v>
      </c>
      <c r="E854" s="300" t="s">
        <v>3553</v>
      </c>
      <c r="F854" s="300" t="s">
        <v>4858</v>
      </c>
      <c r="G854" s="300" t="s">
        <v>446</v>
      </c>
    </row>
    <row r="855" spans="1:7" ht="14.5">
      <c r="A855" s="300" t="s">
        <v>926</v>
      </c>
      <c r="B855" s="300" t="s">
        <v>3577</v>
      </c>
      <c r="C855" s="300" t="s">
        <v>3578</v>
      </c>
      <c r="D855" s="300" t="s">
        <v>4880</v>
      </c>
      <c r="E855" s="300" t="s">
        <v>3553</v>
      </c>
      <c r="F855" s="300" t="s">
        <v>4858</v>
      </c>
      <c r="G855" s="300" t="s">
        <v>446</v>
      </c>
    </row>
    <row r="856" spans="1:7" ht="14.5">
      <c r="A856" s="300" t="s">
        <v>926</v>
      </c>
      <c r="B856" s="300" t="s">
        <v>3581</v>
      </c>
      <c r="C856" s="300" t="s">
        <v>3582</v>
      </c>
      <c r="D856" s="300" t="s">
        <v>4880</v>
      </c>
      <c r="E856" s="300" t="s">
        <v>3553</v>
      </c>
      <c r="F856" s="300" t="s">
        <v>4858</v>
      </c>
      <c r="G856" s="300" t="s">
        <v>446</v>
      </c>
    </row>
    <row r="857" spans="1:7" ht="14.5">
      <c r="A857" s="300" t="s">
        <v>926</v>
      </c>
      <c r="B857" s="300" t="s">
        <v>3585</v>
      </c>
      <c r="C857" s="300" t="s">
        <v>3586</v>
      </c>
      <c r="D857" s="300" t="s">
        <v>4880</v>
      </c>
      <c r="E857" s="300" t="s">
        <v>3553</v>
      </c>
      <c r="F857" s="300" t="s">
        <v>4858</v>
      </c>
      <c r="G857" s="300" t="s">
        <v>446</v>
      </c>
    </row>
    <row r="858" spans="1:7" ht="14.5">
      <c r="A858" s="300" t="s">
        <v>926</v>
      </c>
      <c r="B858" s="300" t="s">
        <v>3589</v>
      </c>
      <c r="C858" s="300" t="s">
        <v>3590</v>
      </c>
      <c r="D858" s="300" t="s">
        <v>4880</v>
      </c>
      <c r="E858" s="300" t="s">
        <v>3553</v>
      </c>
      <c r="F858" s="300" t="s">
        <v>4858</v>
      </c>
      <c r="G858" s="300" t="s">
        <v>446</v>
      </c>
    </row>
    <row r="859" spans="1:7" ht="14.5">
      <c r="A859" s="300" t="s">
        <v>926</v>
      </c>
      <c r="B859" s="300" t="s">
        <v>3593</v>
      </c>
      <c r="C859" s="300" t="s">
        <v>3594</v>
      </c>
      <c r="D859" s="300" t="s">
        <v>4880</v>
      </c>
      <c r="E859" s="300" t="s">
        <v>3553</v>
      </c>
      <c r="F859" s="300" t="s">
        <v>4858</v>
      </c>
      <c r="G859" s="300" t="s">
        <v>446</v>
      </c>
    </row>
    <row r="860" spans="1:7" ht="14.5">
      <c r="A860" s="300" t="s">
        <v>926</v>
      </c>
      <c r="B860" s="300" t="s">
        <v>3595</v>
      </c>
      <c r="C860" s="300" t="s">
        <v>3596</v>
      </c>
      <c r="D860" s="300" t="s">
        <v>4880</v>
      </c>
      <c r="E860" s="300" t="s">
        <v>3553</v>
      </c>
      <c r="F860" s="300" t="s">
        <v>4858</v>
      </c>
      <c r="G860" s="300" t="s">
        <v>446</v>
      </c>
    </row>
    <row r="861" spans="1:7" ht="14.5">
      <c r="A861" s="300" t="s">
        <v>926</v>
      </c>
      <c r="B861" s="300" t="s">
        <v>3597</v>
      </c>
      <c r="C861" s="300" t="s">
        <v>3598</v>
      </c>
      <c r="D861" s="300" t="s">
        <v>4880</v>
      </c>
      <c r="E861" s="300" t="s">
        <v>3553</v>
      </c>
      <c r="F861" s="300" t="s">
        <v>4858</v>
      </c>
      <c r="G861" s="300" t="s">
        <v>446</v>
      </c>
    </row>
    <row r="862" spans="1:7" ht="14.5">
      <c r="A862" s="300" t="s">
        <v>926</v>
      </c>
      <c r="B862" s="300" t="s">
        <v>3600</v>
      </c>
      <c r="C862" s="300" t="s">
        <v>3601</v>
      </c>
      <c r="D862" s="300" t="s">
        <v>4880</v>
      </c>
      <c r="E862" s="300" t="s">
        <v>3553</v>
      </c>
      <c r="F862" s="300" t="s">
        <v>4858</v>
      </c>
      <c r="G862" s="300" t="s">
        <v>446</v>
      </c>
    </row>
    <row r="863" spans="1:7" ht="14.5">
      <c r="A863" s="300" t="s">
        <v>926</v>
      </c>
      <c r="B863" s="300" t="s">
        <v>3604</v>
      </c>
      <c r="C863" s="300" t="s">
        <v>3605</v>
      </c>
      <c r="D863" s="300" t="s">
        <v>4880</v>
      </c>
      <c r="E863" s="300" t="s">
        <v>3553</v>
      </c>
      <c r="F863" s="300" t="s">
        <v>4858</v>
      </c>
      <c r="G863" s="300" t="s">
        <v>446</v>
      </c>
    </row>
    <row r="864" spans="1:7" ht="14.5">
      <c r="A864" s="300" t="s">
        <v>926</v>
      </c>
      <c r="B864" s="300" t="s">
        <v>3606</v>
      </c>
      <c r="C864" s="300" t="s">
        <v>3607</v>
      </c>
      <c r="D864" s="300" t="s">
        <v>4878</v>
      </c>
      <c r="E864" s="300" t="s">
        <v>3369</v>
      </c>
      <c r="F864" s="300" t="s">
        <v>4858</v>
      </c>
      <c r="G864" s="300" t="s">
        <v>446</v>
      </c>
    </row>
    <row r="865" spans="1:7" ht="14.5">
      <c r="A865" s="300" t="s">
        <v>926</v>
      </c>
      <c r="B865" s="300" t="s">
        <v>3609</v>
      </c>
      <c r="C865" s="300" t="s">
        <v>3610</v>
      </c>
      <c r="D865" s="300" t="s">
        <v>4878</v>
      </c>
      <c r="E865" s="300" t="s">
        <v>3369</v>
      </c>
      <c r="F865" s="300" t="s">
        <v>4858</v>
      </c>
      <c r="G865" s="300" t="s">
        <v>446</v>
      </c>
    </row>
    <row r="866" spans="1:7" ht="14.5">
      <c r="A866" s="300" t="s">
        <v>926</v>
      </c>
      <c r="B866" s="300" t="s">
        <v>3613</v>
      </c>
      <c r="C866" s="300" t="s">
        <v>3614</v>
      </c>
      <c r="D866" s="300" t="s">
        <v>4878</v>
      </c>
      <c r="E866" s="300" t="s">
        <v>3369</v>
      </c>
      <c r="F866" s="300" t="s">
        <v>4858</v>
      </c>
      <c r="G866" s="300" t="s">
        <v>446</v>
      </c>
    </row>
    <row r="867" spans="1:7" ht="14.5">
      <c r="A867" s="300" t="s">
        <v>926</v>
      </c>
      <c r="B867" s="300" t="s">
        <v>3617</v>
      </c>
      <c r="C867" s="300" t="s">
        <v>3608</v>
      </c>
      <c r="D867" s="300" t="s">
        <v>4878</v>
      </c>
      <c r="E867" s="300" t="s">
        <v>3369</v>
      </c>
      <c r="F867" s="300" t="s">
        <v>4858</v>
      </c>
      <c r="G867" s="300" t="s">
        <v>446</v>
      </c>
    </row>
    <row r="868" spans="1:7" ht="14.5">
      <c r="A868" s="300" t="s">
        <v>926</v>
      </c>
      <c r="B868" s="300" t="s">
        <v>3620</v>
      </c>
      <c r="C868" s="300" t="s">
        <v>3621</v>
      </c>
      <c r="D868" s="300" t="s">
        <v>4878</v>
      </c>
      <c r="E868" s="300" t="s">
        <v>3369</v>
      </c>
      <c r="F868" s="300" t="s">
        <v>4858</v>
      </c>
      <c r="G868" s="300" t="s">
        <v>446</v>
      </c>
    </row>
    <row r="869" spans="1:7" ht="14.5">
      <c r="A869" s="300" t="s">
        <v>926</v>
      </c>
      <c r="B869" s="300" t="s">
        <v>3623</v>
      </c>
      <c r="C869" s="300" t="s">
        <v>3624</v>
      </c>
      <c r="D869" s="300" t="s">
        <v>4878</v>
      </c>
      <c r="E869" s="300" t="s">
        <v>3369</v>
      </c>
      <c r="F869" s="300" t="s">
        <v>4858</v>
      </c>
      <c r="G869" s="300" t="s">
        <v>446</v>
      </c>
    </row>
    <row r="870" spans="1:7" ht="14.5">
      <c r="A870" s="300" t="s">
        <v>926</v>
      </c>
      <c r="B870" s="300" t="s">
        <v>3625</v>
      </c>
      <c r="C870" s="300" t="s">
        <v>3626</v>
      </c>
      <c r="D870" s="300" t="s">
        <v>4878</v>
      </c>
      <c r="E870" s="300" t="s">
        <v>3369</v>
      </c>
      <c r="F870" s="300" t="s">
        <v>4858</v>
      </c>
      <c r="G870" s="300" t="s">
        <v>446</v>
      </c>
    </row>
    <row r="871" spans="1:7" ht="14.5">
      <c r="A871" s="300" t="s">
        <v>926</v>
      </c>
      <c r="B871" s="300" t="s">
        <v>3629</v>
      </c>
      <c r="C871" s="300" t="s">
        <v>3630</v>
      </c>
      <c r="D871" s="300" t="s">
        <v>4878</v>
      </c>
      <c r="E871" s="300" t="s">
        <v>3369</v>
      </c>
      <c r="F871" s="300" t="s">
        <v>4858</v>
      </c>
      <c r="G871" s="300" t="s">
        <v>446</v>
      </c>
    </row>
    <row r="872" spans="1:7" ht="14.5">
      <c r="A872" s="300" t="s">
        <v>926</v>
      </c>
      <c r="B872" s="300" t="s">
        <v>3633</v>
      </c>
      <c r="C872" s="300" t="s">
        <v>3632</v>
      </c>
      <c r="D872" s="300" t="s">
        <v>4878</v>
      </c>
      <c r="E872" s="300" t="s">
        <v>3369</v>
      </c>
      <c r="F872" s="300" t="s">
        <v>4858</v>
      </c>
      <c r="G872" s="300" t="s">
        <v>446</v>
      </c>
    </row>
    <row r="873" spans="1:7" ht="14.5">
      <c r="A873" s="300" t="s">
        <v>926</v>
      </c>
      <c r="B873" s="300" t="s">
        <v>3634</v>
      </c>
      <c r="C873" s="300" t="s">
        <v>3635</v>
      </c>
      <c r="D873" s="300" t="s">
        <v>4878</v>
      </c>
      <c r="E873" s="300" t="s">
        <v>3369</v>
      </c>
      <c r="F873" s="300" t="s">
        <v>4858</v>
      </c>
      <c r="G873" s="300" t="s">
        <v>446</v>
      </c>
    </row>
    <row r="874" spans="1:7" ht="14.5">
      <c r="A874" s="300" t="s">
        <v>926</v>
      </c>
      <c r="B874" s="300" t="s">
        <v>3638</v>
      </c>
      <c r="C874" s="300" t="s">
        <v>3639</v>
      </c>
      <c r="D874" s="300" t="s">
        <v>4878</v>
      </c>
      <c r="E874" s="300" t="s">
        <v>3369</v>
      </c>
      <c r="F874" s="300" t="s">
        <v>4858</v>
      </c>
      <c r="G874" s="300" t="s">
        <v>446</v>
      </c>
    </row>
    <row r="875" spans="1:7" ht="14.5">
      <c r="A875" s="300" t="s">
        <v>926</v>
      </c>
      <c r="B875" s="300" t="s">
        <v>3641</v>
      </c>
      <c r="C875" s="300" t="s">
        <v>3642</v>
      </c>
      <c r="D875" s="300" t="s">
        <v>4878</v>
      </c>
      <c r="E875" s="300" t="s">
        <v>3369</v>
      </c>
      <c r="F875" s="300" t="s">
        <v>4858</v>
      </c>
      <c r="G875" s="300" t="s">
        <v>446</v>
      </c>
    </row>
    <row r="876" spans="1:7" ht="14.5">
      <c r="A876" s="300" t="s">
        <v>926</v>
      </c>
      <c r="B876" s="300" t="s">
        <v>3644</v>
      </c>
      <c r="C876" s="300" t="s">
        <v>3645</v>
      </c>
      <c r="D876" s="300" t="s">
        <v>4878</v>
      </c>
      <c r="E876" s="300" t="s">
        <v>3369</v>
      </c>
      <c r="F876" s="300" t="s">
        <v>4858</v>
      </c>
      <c r="G876" s="300" t="s">
        <v>446</v>
      </c>
    </row>
    <row r="877" spans="1:7" ht="14.5">
      <c r="A877" s="300" t="s">
        <v>926</v>
      </c>
      <c r="B877" s="300" t="s">
        <v>3648</v>
      </c>
      <c r="C877" s="300" t="s">
        <v>3649</v>
      </c>
      <c r="D877" s="300" t="s">
        <v>4877</v>
      </c>
      <c r="E877" s="300" t="s">
        <v>2962</v>
      </c>
      <c r="F877" s="300" t="s">
        <v>4858</v>
      </c>
      <c r="G877" s="300" t="s">
        <v>446</v>
      </c>
    </row>
    <row r="878" spans="1:7" ht="14.5">
      <c r="A878" s="300" t="s">
        <v>926</v>
      </c>
      <c r="B878" s="300" t="s">
        <v>3650</v>
      </c>
      <c r="C878" s="300" t="s">
        <v>3651</v>
      </c>
      <c r="D878" s="300" t="s">
        <v>4877</v>
      </c>
      <c r="E878" s="300" t="s">
        <v>2962</v>
      </c>
      <c r="F878" s="300" t="s">
        <v>4858</v>
      </c>
      <c r="G878" s="300" t="s">
        <v>446</v>
      </c>
    </row>
    <row r="879" spans="1:7" ht="14.5">
      <c r="A879" s="300" t="s">
        <v>926</v>
      </c>
      <c r="B879" s="300" t="s">
        <v>3652</v>
      </c>
      <c r="C879" s="300" t="s">
        <v>3653</v>
      </c>
      <c r="D879" s="300" t="s">
        <v>4878</v>
      </c>
      <c r="E879" s="300" t="s">
        <v>3369</v>
      </c>
      <c r="F879" s="300" t="s">
        <v>4858</v>
      </c>
      <c r="G879" s="300" t="s">
        <v>446</v>
      </c>
    </row>
    <row r="880" spans="1:7" ht="14.5">
      <c r="A880" s="300" t="s">
        <v>926</v>
      </c>
      <c r="B880" s="300" t="s">
        <v>3654</v>
      </c>
      <c r="C880" s="300" t="s">
        <v>3655</v>
      </c>
      <c r="D880" s="300" t="s">
        <v>4878</v>
      </c>
      <c r="E880" s="300" t="s">
        <v>3369</v>
      </c>
      <c r="F880" s="300" t="s">
        <v>4858</v>
      </c>
      <c r="G880" s="300" t="s">
        <v>446</v>
      </c>
    </row>
    <row r="881" spans="1:7" ht="14.5">
      <c r="A881" s="300" t="s">
        <v>926</v>
      </c>
      <c r="B881" s="300" t="s">
        <v>3658</v>
      </c>
      <c r="C881" s="300" t="s">
        <v>3659</v>
      </c>
      <c r="D881" s="300" t="s">
        <v>4878</v>
      </c>
      <c r="E881" s="300" t="s">
        <v>3369</v>
      </c>
      <c r="F881" s="300" t="s">
        <v>4858</v>
      </c>
      <c r="G881" s="300" t="s">
        <v>446</v>
      </c>
    </row>
    <row r="882" spans="1:7" ht="14.5">
      <c r="A882" s="300" t="s">
        <v>926</v>
      </c>
      <c r="B882" s="300" t="s">
        <v>3660</v>
      </c>
      <c r="C882" s="300" t="s">
        <v>3661</v>
      </c>
      <c r="D882" s="300" t="s">
        <v>4878</v>
      </c>
      <c r="E882" s="300" t="s">
        <v>3369</v>
      </c>
      <c r="F882" s="300" t="s">
        <v>4858</v>
      </c>
      <c r="G882" s="300" t="s">
        <v>446</v>
      </c>
    </row>
    <row r="883" spans="1:7" ht="14.5">
      <c r="A883" s="300" t="s">
        <v>926</v>
      </c>
      <c r="B883" s="300" t="s">
        <v>3662</v>
      </c>
      <c r="C883" s="300" t="s">
        <v>3663</v>
      </c>
      <c r="D883" s="300" t="s">
        <v>4878</v>
      </c>
      <c r="E883" s="300" t="s">
        <v>3369</v>
      </c>
      <c r="F883" s="300" t="s">
        <v>4858</v>
      </c>
      <c r="G883" s="300" t="s">
        <v>446</v>
      </c>
    </row>
    <row r="884" spans="1:7" ht="14.5">
      <c r="A884" s="300" t="s">
        <v>926</v>
      </c>
      <c r="B884" s="300" t="s">
        <v>3666</v>
      </c>
      <c r="C884" s="300" t="s">
        <v>3667</v>
      </c>
      <c r="D884" s="300" t="s">
        <v>4878</v>
      </c>
      <c r="E884" s="300" t="s">
        <v>3369</v>
      </c>
      <c r="F884" s="300" t="s">
        <v>4858</v>
      </c>
      <c r="G884" s="300" t="s">
        <v>446</v>
      </c>
    </row>
    <row r="885" spans="1:7" ht="14.5">
      <c r="A885" s="300" t="s">
        <v>926</v>
      </c>
      <c r="B885" s="300" t="s">
        <v>3670</v>
      </c>
      <c r="C885" s="300" t="s">
        <v>3671</v>
      </c>
      <c r="D885" s="300" t="s">
        <v>4878</v>
      </c>
      <c r="E885" s="300" t="s">
        <v>3369</v>
      </c>
      <c r="F885" s="300" t="s">
        <v>4858</v>
      </c>
      <c r="G885" s="300" t="s">
        <v>446</v>
      </c>
    </row>
    <row r="886" spans="1:7" ht="14.5">
      <c r="A886" s="300" t="s">
        <v>926</v>
      </c>
      <c r="B886" s="300" t="s">
        <v>3673</v>
      </c>
      <c r="C886" s="300" t="s">
        <v>3674</v>
      </c>
      <c r="D886" s="300" t="s">
        <v>4878</v>
      </c>
      <c r="E886" s="300" t="s">
        <v>3369</v>
      </c>
      <c r="F886" s="300" t="s">
        <v>4858</v>
      </c>
      <c r="G886" s="300" t="s">
        <v>446</v>
      </c>
    </row>
    <row r="887" spans="1:7" ht="14.5">
      <c r="A887" s="300" t="s">
        <v>926</v>
      </c>
      <c r="B887" s="300" t="s">
        <v>3676</v>
      </c>
      <c r="C887" s="300" t="s">
        <v>3677</v>
      </c>
      <c r="D887" s="300" t="s">
        <v>4879</v>
      </c>
      <c r="E887" s="300" t="s">
        <v>3488</v>
      </c>
      <c r="F887" s="300" t="s">
        <v>4858</v>
      </c>
      <c r="G887" s="300" t="s">
        <v>446</v>
      </c>
    </row>
    <row r="888" spans="1:7" ht="14.5">
      <c r="A888" s="300" t="s">
        <v>926</v>
      </c>
      <c r="B888" s="300" t="s">
        <v>3680</v>
      </c>
      <c r="C888" s="300" t="s">
        <v>3681</v>
      </c>
      <c r="D888" s="300" t="s">
        <v>4879</v>
      </c>
      <c r="E888" s="300" t="s">
        <v>3488</v>
      </c>
      <c r="F888" s="300" t="s">
        <v>4858</v>
      </c>
      <c r="G888" s="300" t="s">
        <v>446</v>
      </c>
    </row>
    <row r="889" spans="1:7" ht="14.5">
      <c r="A889" s="300" t="s">
        <v>926</v>
      </c>
      <c r="B889" s="300" t="s">
        <v>3683</v>
      </c>
      <c r="C889" s="300" t="s">
        <v>3684</v>
      </c>
      <c r="D889" s="300" t="s">
        <v>4878</v>
      </c>
      <c r="E889" s="300" t="s">
        <v>3369</v>
      </c>
      <c r="F889" s="300" t="s">
        <v>4858</v>
      </c>
      <c r="G889" s="300" t="s">
        <v>446</v>
      </c>
    </row>
    <row r="890" spans="1:7" ht="14.5">
      <c r="A890" s="300" t="s">
        <v>926</v>
      </c>
      <c r="B890" s="300" t="s">
        <v>3687</v>
      </c>
      <c r="C890" s="300" t="s">
        <v>3688</v>
      </c>
      <c r="D890" s="300" t="s">
        <v>4878</v>
      </c>
      <c r="E890" s="300" t="s">
        <v>3369</v>
      </c>
      <c r="F890" s="300" t="s">
        <v>4858</v>
      </c>
      <c r="G890" s="300" t="s">
        <v>446</v>
      </c>
    </row>
    <row r="891" spans="1:7" ht="14.5">
      <c r="A891" s="300" t="s">
        <v>926</v>
      </c>
      <c r="B891" s="300" t="s">
        <v>3689</v>
      </c>
      <c r="C891" s="300" t="s">
        <v>3690</v>
      </c>
      <c r="D891" s="300" t="s">
        <v>4878</v>
      </c>
      <c r="E891" s="300" t="s">
        <v>3369</v>
      </c>
      <c r="F891" s="300" t="s">
        <v>4858</v>
      </c>
      <c r="G891" s="300" t="s">
        <v>446</v>
      </c>
    </row>
    <row r="892" spans="1:7" ht="14.5">
      <c r="A892" s="300" t="s">
        <v>926</v>
      </c>
      <c r="B892" s="300" t="s">
        <v>3693</v>
      </c>
      <c r="C892" s="300" t="s">
        <v>3694</v>
      </c>
      <c r="D892" s="300" t="s">
        <v>4878</v>
      </c>
      <c r="E892" s="300" t="s">
        <v>3369</v>
      </c>
      <c r="F892" s="300" t="s">
        <v>4858</v>
      </c>
      <c r="G892" s="300" t="s">
        <v>446</v>
      </c>
    </row>
    <row r="893" spans="1:7" ht="14.5">
      <c r="A893" s="300" t="s">
        <v>926</v>
      </c>
      <c r="B893" s="300" t="s">
        <v>3697</v>
      </c>
      <c r="C893" s="300" t="s">
        <v>3698</v>
      </c>
      <c r="D893" s="300" t="s">
        <v>4878</v>
      </c>
      <c r="E893" s="300" t="s">
        <v>3369</v>
      </c>
      <c r="F893" s="300" t="s">
        <v>4858</v>
      </c>
      <c r="G893" s="300" t="s">
        <v>446</v>
      </c>
    </row>
    <row r="894" spans="1:7" ht="14.5">
      <c r="A894" s="300" t="s">
        <v>926</v>
      </c>
      <c r="B894" s="300" t="s">
        <v>3699</v>
      </c>
      <c r="C894" s="300" t="s">
        <v>3700</v>
      </c>
      <c r="D894" s="300" t="s">
        <v>4878</v>
      </c>
      <c r="E894" s="300" t="s">
        <v>3369</v>
      </c>
      <c r="F894" s="300" t="s">
        <v>4858</v>
      </c>
      <c r="G894" s="300" t="s">
        <v>446</v>
      </c>
    </row>
    <row r="895" spans="1:7" ht="14.5">
      <c r="A895" s="300" t="s">
        <v>926</v>
      </c>
      <c r="B895" s="300" t="s">
        <v>3701</v>
      </c>
      <c r="C895" s="300" t="s">
        <v>3702</v>
      </c>
      <c r="D895" s="300" t="s">
        <v>4878</v>
      </c>
      <c r="E895" s="300" t="s">
        <v>3369</v>
      </c>
      <c r="F895" s="300" t="s">
        <v>4858</v>
      </c>
      <c r="G895" s="300" t="s">
        <v>446</v>
      </c>
    </row>
    <row r="896" spans="1:7" ht="14.5">
      <c r="A896" s="300" t="s">
        <v>926</v>
      </c>
      <c r="B896" s="300" t="s">
        <v>3705</v>
      </c>
      <c r="C896" s="300" t="s">
        <v>3706</v>
      </c>
      <c r="D896" s="300" t="s">
        <v>4878</v>
      </c>
      <c r="E896" s="300" t="s">
        <v>3369</v>
      </c>
      <c r="F896" s="300" t="s">
        <v>4858</v>
      </c>
      <c r="G896" s="300" t="s">
        <v>446</v>
      </c>
    </row>
    <row r="897" spans="1:7" ht="14.5">
      <c r="A897" s="300" t="s">
        <v>926</v>
      </c>
      <c r="B897" s="300" t="s">
        <v>3709</v>
      </c>
      <c r="C897" s="300" t="s">
        <v>3710</v>
      </c>
      <c r="D897" s="300" t="s">
        <v>4878</v>
      </c>
      <c r="E897" s="300" t="s">
        <v>3369</v>
      </c>
      <c r="F897" s="300" t="s">
        <v>4858</v>
      </c>
      <c r="G897" s="300" t="s">
        <v>446</v>
      </c>
    </row>
    <row r="898" spans="1:7" ht="14.5">
      <c r="A898" s="300" t="s">
        <v>926</v>
      </c>
      <c r="B898" s="300" t="s">
        <v>3713</v>
      </c>
      <c r="C898" s="300" t="s">
        <v>3714</v>
      </c>
      <c r="D898" s="300" t="s">
        <v>4878</v>
      </c>
      <c r="E898" s="300" t="s">
        <v>3369</v>
      </c>
      <c r="F898" s="300" t="s">
        <v>4858</v>
      </c>
      <c r="G898" s="300" t="s">
        <v>446</v>
      </c>
    </row>
    <row r="899" spans="1:7" ht="14.5">
      <c r="A899" s="300" t="s">
        <v>926</v>
      </c>
      <c r="B899" s="300" t="s">
        <v>3717</v>
      </c>
      <c r="C899" s="300" t="s">
        <v>3718</v>
      </c>
      <c r="D899" s="300" t="s">
        <v>4878</v>
      </c>
      <c r="E899" s="300" t="s">
        <v>3369</v>
      </c>
      <c r="F899" s="300" t="s">
        <v>4858</v>
      </c>
      <c r="G899" s="300" t="s">
        <v>446</v>
      </c>
    </row>
    <row r="900" spans="1:7" ht="14.5">
      <c r="A900" s="300" t="s">
        <v>926</v>
      </c>
      <c r="B900" s="300" t="s">
        <v>3719</v>
      </c>
      <c r="C900" s="300" t="s">
        <v>3720</v>
      </c>
      <c r="D900" s="300" t="s">
        <v>4878</v>
      </c>
      <c r="E900" s="300" t="s">
        <v>3369</v>
      </c>
      <c r="F900" s="300" t="s">
        <v>4858</v>
      </c>
      <c r="G900" s="300" t="s">
        <v>446</v>
      </c>
    </row>
    <row r="901" spans="1:7" ht="14.5">
      <c r="A901" s="300" t="s">
        <v>926</v>
      </c>
      <c r="B901" s="300" t="s">
        <v>3723</v>
      </c>
      <c r="C901" s="300" t="s">
        <v>3724</v>
      </c>
      <c r="D901" s="300" t="s">
        <v>4878</v>
      </c>
      <c r="E901" s="300" t="s">
        <v>3369</v>
      </c>
      <c r="F901" s="300" t="s">
        <v>4858</v>
      </c>
      <c r="G901" s="300" t="s">
        <v>446</v>
      </c>
    </row>
    <row r="902" spans="1:7" ht="14.5">
      <c r="A902" s="300" t="s">
        <v>926</v>
      </c>
      <c r="B902" s="300" t="s">
        <v>3725</v>
      </c>
      <c r="C902" s="300" t="s">
        <v>3726</v>
      </c>
      <c r="D902" s="300" t="s">
        <v>4878</v>
      </c>
      <c r="E902" s="300" t="s">
        <v>3369</v>
      </c>
      <c r="F902" s="300" t="s">
        <v>4858</v>
      </c>
      <c r="G902" s="300" t="s">
        <v>446</v>
      </c>
    </row>
    <row r="903" spans="1:7" ht="14.5">
      <c r="A903" s="300" t="s">
        <v>926</v>
      </c>
      <c r="B903" s="300" t="s">
        <v>3729</v>
      </c>
      <c r="C903" s="300" t="s">
        <v>3621</v>
      </c>
      <c r="D903" s="300" t="s">
        <v>4878</v>
      </c>
      <c r="E903" s="300" t="s">
        <v>3369</v>
      </c>
      <c r="F903" s="300" t="s">
        <v>4858</v>
      </c>
      <c r="G903" s="300" t="s">
        <v>446</v>
      </c>
    </row>
    <row r="904" spans="1:7" ht="14.5">
      <c r="A904" s="300" t="s">
        <v>926</v>
      </c>
      <c r="B904" s="300" t="s">
        <v>3730</v>
      </c>
      <c r="C904" s="300" t="s">
        <v>3731</v>
      </c>
      <c r="D904" s="300" t="s">
        <v>4878</v>
      </c>
      <c r="E904" s="300" t="s">
        <v>3369</v>
      </c>
      <c r="F904" s="300" t="s">
        <v>4858</v>
      </c>
      <c r="G904" s="300" t="s">
        <v>446</v>
      </c>
    </row>
    <row r="905" spans="1:7" ht="14.5">
      <c r="A905" s="300" t="s">
        <v>926</v>
      </c>
      <c r="B905" s="300" t="s">
        <v>3733</v>
      </c>
      <c r="C905" s="300" t="s">
        <v>3734</v>
      </c>
      <c r="D905" s="300" t="s">
        <v>4878</v>
      </c>
      <c r="E905" s="300" t="s">
        <v>3369</v>
      </c>
      <c r="F905" s="300" t="s">
        <v>4858</v>
      </c>
      <c r="G905" s="300" t="s">
        <v>446</v>
      </c>
    </row>
    <row r="906" spans="1:7" ht="14.5">
      <c r="A906" s="300" t="s">
        <v>926</v>
      </c>
      <c r="B906" s="300" t="s">
        <v>3737</v>
      </c>
      <c r="C906" s="300" t="s">
        <v>3736</v>
      </c>
      <c r="D906" s="300" t="s">
        <v>4878</v>
      </c>
      <c r="E906" s="300" t="s">
        <v>3369</v>
      </c>
      <c r="F906" s="300" t="s">
        <v>4858</v>
      </c>
      <c r="G906" s="300" t="s">
        <v>446</v>
      </c>
    </row>
    <row r="907" spans="1:7" ht="14.5">
      <c r="A907" s="300" t="s">
        <v>926</v>
      </c>
      <c r="B907" s="300" t="s">
        <v>3738</v>
      </c>
      <c r="C907" s="300" t="s">
        <v>3739</v>
      </c>
      <c r="D907" s="300" t="s">
        <v>4878</v>
      </c>
      <c r="E907" s="300" t="s">
        <v>3369</v>
      </c>
      <c r="F907" s="300" t="s">
        <v>4858</v>
      </c>
      <c r="G907" s="300" t="s">
        <v>446</v>
      </c>
    </row>
    <row r="908" spans="1:7" ht="14.5">
      <c r="A908" s="300" t="s">
        <v>926</v>
      </c>
      <c r="B908" s="300" t="s">
        <v>3741</v>
      </c>
      <c r="C908" s="300" t="s">
        <v>3742</v>
      </c>
      <c r="D908" s="300" t="s">
        <v>4878</v>
      </c>
      <c r="E908" s="300" t="s">
        <v>3369</v>
      </c>
      <c r="F908" s="300" t="s">
        <v>4858</v>
      </c>
      <c r="G908" s="300" t="s">
        <v>446</v>
      </c>
    </row>
    <row r="909" spans="1:7" ht="14.5">
      <c r="A909" s="300" t="s">
        <v>926</v>
      </c>
      <c r="B909" s="300" t="s">
        <v>3745</v>
      </c>
      <c r="C909" s="300" t="s">
        <v>3746</v>
      </c>
      <c r="D909" s="300" t="s">
        <v>4857</v>
      </c>
      <c r="E909" s="300" t="s">
        <v>1040</v>
      </c>
      <c r="F909" s="300" t="s">
        <v>4858</v>
      </c>
      <c r="G909" s="300" t="s">
        <v>446</v>
      </c>
    </row>
    <row r="910" spans="1:7" ht="14.5">
      <c r="A910" s="300" t="s">
        <v>926</v>
      </c>
      <c r="B910" s="300" t="s">
        <v>3748</v>
      </c>
      <c r="C910" s="300" t="s">
        <v>3749</v>
      </c>
      <c r="D910" s="300" t="s">
        <v>4857</v>
      </c>
      <c r="E910" s="300" t="s">
        <v>1040</v>
      </c>
      <c r="F910" s="300" t="s">
        <v>4858</v>
      </c>
      <c r="G910" s="300" t="s">
        <v>446</v>
      </c>
    </row>
    <row r="911" spans="1:7" ht="14.5">
      <c r="A911" s="300" t="s">
        <v>926</v>
      </c>
      <c r="B911" s="300" t="s">
        <v>3752</v>
      </c>
      <c r="C911" s="300" t="s">
        <v>3753</v>
      </c>
      <c r="D911" s="300" t="s">
        <v>4857</v>
      </c>
      <c r="E911" s="300" t="s">
        <v>1040</v>
      </c>
      <c r="F911" s="300" t="s">
        <v>4858</v>
      </c>
      <c r="G911" s="300" t="s">
        <v>446</v>
      </c>
    </row>
    <row r="912" spans="1:7" ht="14.5">
      <c r="A912" s="300" t="s">
        <v>926</v>
      </c>
      <c r="B912" s="300" t="s">
        <v>3754</v>
      </c>
      <c r="C912" s="300" t="s">
        <v>3755</v>
      </c>
      <c r="D912" s="300" t="s">
        <v>4857</v>
      </c>
      <c r="E912" s="300" t="s">
        <v>1040</v>
      </c>
      <c r="F912" s="300" t="s">
        <v>4858</v>
      </c>
      <c r="G912" s="300" t="s">
        <v>446</v>
      </c>
    </row>
    <row r="913" spans="1:7" ht="14.5">
      <c r="A913" s="300" t="s">
        <v>926</v>
      </c>
      <c r="B913" s="300" t="s">
        <v>3757</v>
      </c>
      <c r="C913" s="300" t="s">
        <v>3758</v>
      </c>
      <c r="D913" s="300" t="s">
        <v>4857</v>
      </c>
      <c r="E913" s="300" t="s">
        <v>1040</v>
      </c>
      <c r="F913" s="300" t="s">
        <v>4858</v>
      </c>
      <c r="G913" s="300" t="s">
        <v>446</v>
      </c>
    </row>
    <row r="914" spans="1:7" ht="14.5">
      <c r="A914" s="300" t="s">
        <v>926</v>
      </c>
      <c r="B914" s="300" t="s">
        <v>3761</v>
      </c>
      <c r="C914" s="300" t="s">
        <v>3762</v>
      </c>
      <c r="D914" s="300" t="s">
        <v>4857</v>
      </c>
      <c r="E914" s="300" t="s">
        <v>1040</v>
      </c>
      <c r="F914" s="300" t="s">
        <v>4858</v>
      </c>
      <c r="G914" s="300" t="s">
        <v>446</v>
      </c>
    </row>
    <row r="915" spans="1:7" ht="14.5">
      <c r="A915" s="300" t="s">
        <v>926</v>
      </c>
      <c r="B915" s="300" t="s">
        <v>3763</v>
      </c>
      <c r="C915" s="300" t="s">
        <v>3764</v>
      </c>
      <c r="D915" s="300" t="s">
        <v>4857</v>
      </c>
      <c r="E915" s="300" t="s">
        <v>1040</v>
      </c>
      <c r="F915" s="300" t="s">
        <v>4858</v>
      </c>
      <c r="G915" s="300" t="s">
        <v>446</v>
      </c>
    </row>
    <row r="916" spans="1:7" ht="14.5">
      <c r="A916" s="300" t="s">
        <v>926</v>
      </c>
      <c r="B916" s="300" t="s">
        <v>3766</v>
      </c>
      <c r="C916" s="300" t="s">
        <v>3767</v>
      </c>
      <c r="D916" s="300" t="s">
        <v>4857</v>
      </c>
      <c r="E916" s="300" t="s">
        <v>1040</v>
      </c>
      <c r="F916" s="300" t="s">
        <v>4858</v>
      </c>
      <c r="G916" s="300" t="s">
        <v>446</v>
      </c>
    </row>
    <row r="917" spans="1:7" ht="14.5">
      <c r="A917" s="300" t="s">
        <v>926</v>
      </c>
      <c r="B917" s="300" t="s">
        <v>3770</v>
      </c>
      <c r="C917" s="300" t="s">
        <v>3771</v>
      </c>
      <c r="D917" s="300" t="s">
        <v>4857</v>
      </c>
      <c r="E917" s="300" t="s">
        <v>1040</v>
      </c>
      <c r="F917" s="300" t="s">
        <v>4858</v>
      </c>
      <c r="G917" s="300" t="s">
        <v>446</v>
      </c>
    </row>
    <row r="918" spans="1:7" ht="14.5">
      <c r="A918" s="300" t="s">
        <v>926</v>
      </c>
      <c r="B918" s="300" t="s">
        <v>3772</v>
      </c>
      <c r="C918" s="300" t="s">
        <v>3773</v>
      </c>
      <c r="D918" s="300" t="s">
        <v>4857</v>
      </c>
      <c r="E918" s="300" t="s">
        <v>1040</v>
      </c>
      <c r="F918" s="300" t="s">
        <v>4858</v>
      </c>
      <c r="G918" s="300" t="s">
        <v>446</v>
      </c>
    </row>
    <row r="919" spans="1:7" ht="14.5">
      <c r="A919" s="300" t="s">
        <v>926</v>
      </c>
      <c r="B919" s="300" t="s">
        <v>3774</v>
      </c>
      <c r="C919" s="300" t="s">
        <v>3775</v>
      </c>
      <c r="D919" s="300" t="s">
        <v>4857</v>
      </c>
      <c r="E919" s="300" t="s">
        <v>1040</v>
      </c>
      <c r="F919" s="300" t="s">
        <v>4858</v>
      </c>
      <c r="G919" s="300" t="s">
        <v>446</v>
      </c>
    </row>
    <row r="920" spans="1:7" ht="14.5">
      <c r="A920" s="300" t="s">
        <v>926</v>
      </c>
      <c r="B920" s="300" t="s">
        <v>3778</v>
      </c>
      <c r="C920" s="300" t="s">
        <v>3779</v>
      </c>
      <c r="D920" s="300" t="s">
        <v>4857</v>
      </c>
      <c r="E920" s="300" t="s">
        <v>1040</v>
      </c>
      <c r="F920" s="300" t="s">
        <v>4858</v>
      </c>
      <c r="G920" s="300" t="s">
        <v>446</v>
      </c>
    </row>
    <row r="921" spans="1:7" ht="14.5">
      <c r="A921" s="300" t="s">
        <v>926</v>
      </c>
      <c r="B921" s="300" t="s">
        <v>3780</v>
      </c>
      <c r="C921" s="300" t="s">
        <v>3781</v>
      </c>
      <c r="D921" s="300" t="s">
        <v>4857</v>
      </c>
      <c r="E921" s="300" t="s">
        <v>1040</v>
      </c>
      <c r="F921" s="300" t="s">
        <v>4858</v>
      </c>
      <c r="G921" s="300" t="s">
        <v>446</v>
      </c>
    </row>
    <row r="922" spans="1:7" ht="14.5">
      <c r="A922" s="300" t="s">
        <v>926</v>
      </c>
      <c r="B922" s="300" t="s">
        <v>3783</v>
      </c>
      <c r="C922" s="300" t="s">
        <v>3784</v>
      </c>
      <c r="D922" s="300" t="s">
        <v>4857</v>
      </c>
      <c r="E922" s="300" t="s">
        <v>1040</v>
      </c>
      <c r="F922" s="300" t="s">
        <v>4858</v>
      </c>
      <c r="G922" s="300" t="s">
        <v>446</v>
      </c>
    </row>
    <row r="923" spans="1:7" ht="14.5">
      <c r="A923" s="300" t="s">
        <v>926</v>
      </c>
      <c r="B923" s="300" t="s">
        <v>3785</v>
      </c>
      <c r="C923" s="300" t="s">
        <v>3786</v>
      </c>
      <c r="D923" s="300" t="s">
        <v>4857</v>
      </c>
      <c r="E923" s="300" t="s">
        <v>1040</v>
      </c>
      <c r="F923" s="300" t="s">
        <v>4858</v>
      </c>
      <c r="G923" s="300" t="s">
        <v>446</v>
      </c>
    </row>
    <row r="924" spans="1:7" ht="14.5">
      <c r="A924" s="300" t="s">
        <v>926</v>
      </c>
      <c r="B924" s="300" t="s">
        <v>3788</v>
      </c>
      <c r="C924" s="300" t="s">
        <v>3789</v>
      </c>
      <c r="D924" s="300" t="s">
        <v>4857</v>
      </c>
      <c r="E924" s="300" t="s">
        <v>1040</v>
      </c>
      <c r="F924" s="300" t="s">
        <v>4858</v>
      </c>
      <c r="G924" s="300" t="s">
        <v>446</v>
      </c>
    </row>
    <row r="925" spans="1:7" ht="14.5">
      <c r="A925" s="300" t="s">
        <v>926</v>
      </c>
      <c r="B925" s="300" t="s">
        <v>3792</v>
      </c>
      <c r="C925" s="300" t="s">
        <v>3793</v>
      </c>
      <c r="D925" s="300" t="s">
        <v>4857</v>
      </c>
      <c r="E925" s="300" t="s">
        <v>1040</v>
      </c>
      <c r="F925" s="300" t="s">
        <v>4858</v>
      </c>
      <c r="G925" s="300" t="s">
        <v>446</v>
      </c>
    </row>
    <row r="926" spans="1:7" ht="14.5">
      <c r="A926" s="300" t="s">
        <v>926</v>
      </c>
      <c r="B926" s="300" t="s">
        <v>3794</v>
      </c>
      <c r="C926" s="300" t="s">
        <v>3795</v>
      </c>
      <c r="D926" s="300" t="s">
        <v>4857</v>
      </c>
      <c r="E926" s="300" t="s">
        <v>1040</v>
      </c>
      <c r="F926" s="300" t="s">
        <v>4858</v>
      </c>
      <c r="G926" s="300" t="s">
        <v>446</v>
      </c>
    </row>
    <row r="927" spans="1:7" ht="14.5">
      <c r="A927" s="300" t="s">
        <v>926</v>
      </c>
      <c r="B927" s="300" t="s">
        <v>3798</v>
      </c>
      <c r="C927" s="300" t="s">
        <v>3799</v>
      </c>
      <c r="D927" s="300" t="s">
        <v>4857</v>
      </c>
      <c r="E927" s="300" t="s">
        <v>1040</v>
      </c>
      <c r="F927" s="300" t="s">
        <v>4858</v>
      </c>
      <c r="G927" s="300" t="s">
        <v>446</v>
      </c>
    </row>
    <row r="928" spans="1:7" ht="14.5">
      <c r="A928" s="300" t="s">
        <v>926</v>
      </c>
      <c r="B928" s="300" t="s">
        <v>3802</v>
      </c>
      <c r="C928" s="300" t="s">
        <v>3803</v>
      </c>
      <c r="D928" s="300" t="s">
        <v>4857</v>
      </c>
      <c r="E928" s="300" t="s">
        <v>1040</v>
      </c>
      <c r="F928" s="300" t="s">
        <v>4858</v>
      </c>
      <c r="G928" s="300" t="s">
        <v>446</v>
      </c>
    </row>
    <row r="929" spans="1:7" ht="14.5">
      <c r="A929" s="300" t="s">
        <v>926</v>
      </c>
      <c r="B929" s="300" t="s">
        <v>3806</v>
      </c>
      <c r="C929" s="300" t="s">
        <v>3807</v>
      </c>
      <c r="D929" s="300" t="s">
        <v>4857</v>
      </c>
      <c r="E929" s="300" t="s">
        <v>1040</v>
      </c>
      <c r="F929" s="300" t="s">
        <v>4858</v>
      </c>
      <c r="G929" s="300" t="s">
        <v>446</v>
      </c>
    </row>
    <row r="930" spans="1:7" ht="14.5">
      <c r="A930" s="300" t="s">
        <v>926</v>
      </c>
      <c r="B930" s="300" t="s">
        <v>3808</v>
      </c>
      <c r="C930" s="300" t="s">
        <v>3809</v>
      </c>
      <c r="D930" s="300" t="s">
        <v>4857</v>
      </c>
      <c r="E930" s="300" t="s">
        <v>1040</v>
      </c>
      <c r="F930" s="300" t="s">
        <v>4858</v>
      </c>
      <c r="G930" s="300" t="s">
        <v>446</v>
      </c>
    </row>
    <row r="931" spans="1:7" ht="14.5">
      <c r="A931" s="300" t="s">
        <v>926</v>
      </c>
      <c r="B931" s="300" t="s">
        <v>3812</v>
      </c>
      <c r="C931" s="300" t="s">
        <v>3813</v>
      </c>
      <c r="D931" s="300" t="s">
        <v>4857</v>
      </c>
      <c r="E931" s="300" t="s">
        <v>1040</v>
      </c>
      <c r="F931" s="300" t="s">
        <v>4858</v>
      </c>
      <c r="G931" s="300" t="s">
        <v>446</v>
      </c>
    </row>
    <row r="932" spans="1:7" ht="14.5">
      <c r="A932" s="300" t="s">
        <v>926</v>
      </c>
      <c r="B932" s="300" t="s">
        <v>3814</v>
      </c>
      <c r="C932" s="300" t="s">
        <v>3815</v>
      </c>
      <c r="D932" s="300" t="s">
        <v>4857</v>
      </c>
      <c r="E932" s="300" t="s">
        <v>1040</v>
      </c>
      <c r="F932" s="300" t="s">
        <v>4858</v>
      </c>
      <c r="G932" s="300" t="s">
        <v>446</v>
      </c>
    </row>
    <row r="933" spans="1:7" ht="14.5">
      <c r="A933" s="300" t="s">
        <v>926</v>
      </c>
      <c r="B933" s="300" t="s">
        <v>3816</v>
      </c>
      <c r="C933" s="300" t="s">
        <v>3817</v>
      </c>
      <c r="D933" s="300" t="s">
        <v>4857</v>
      </c>
      <c r="E933" s="300" t="s">
        <v>1040</v>
      </c>
      <c r="F933" s="300" t="s">
        <v>4858</v>
      </c>
      <c r="G933" s="300" t="s">
        <v>446</v>
      </c>
    </row>
    <row r="934" spans="1:7" ht="14.5">
      <c r="A934" s="300" t="s">
        <v>926</v>
      </c>
      <c r="B934" s="300" t="s">
        <v>3819</v>
      </c>
      <c r="C934" s="300" t="s">
        <v>3820</v>
      </c>
      <c r="D934" s="300" t="s">
        <v>4857</v>
      </c>
      <c r="E934" s="300" t="s">
        <v>1040</v>
      </c>
      <c r="F934" s="300" t="s">
        <v>4858</v>
      </c>
      <c r="G934" s="300" t="s">
        <v>446</v>
      </c>
    </row>
    <row r="935" spans="1:7" ht="14.5">
      <c r="A935" s="300" t="s">
        <v>926</v>
      </c>
      <c r="B935" s="300" t="s">
        <v>3821</v>
      </c>
      <c r="C935" s="300" t="s">
        <v>3822</v>
      </c>
      <c r="D935" s="300" t="s">
        <v>4857</v>
      </c>
      <c r="E935" s="300" t="s">
        <v>1040</v>
      </c>
      <c r="F935" s="300" t="s">
        <v>4858</v>
      </c>
      <c r="G935" s="300" t="s">
        <v>446</v>
      </c>
    </row>
    <row r="936" spans="1:7" ht="14.5">
      <c r="A936" s="300" t="s">
        <v>926</v>
      </c>
      <c r="B936" s="300" t="s">
        <v>3825</v>
      </c>
      <c r="C936" s="300" t="s">
        <v>3826</v>
      </c>
      <c r="D936" s="300" t="s">
        <v>4857</v>
      </c>
      <c r="E936" s="300" t="s">
        <v>1040</v>
      </c>
      <c r="F936" s="300" t="s">
        <v>4858</v>
      </c>
      <c r="G936" s="300" t="s">
        <v>446</v>
      </c>
    </row>
    <row r="937" spans="1:7" ht="14.5">
      <c r="A937" s="300" t="s">
        <v>926</v>
      </c>
      <c r="B937" s="300" t="s">
        <v>3829</v>
      </c>
      <c r="C937" s="300" t="s">
        <v>3815</v>
      </c>
      <c r="D937" s="300" t="s">
        <v>4857</v>
      </c>
      <c r="E937" s="300" t="s">
        <v>1040</v>
      </c>
      <c r="F937" s="300" t="s">
        <v>4858</v>
      </c>
      <c r="G937" s="300" t="s">
        <v>446</v>
      </c>
    </row>
    <row r="938" spans="1:7" ht="14.5">
      <c r="A938" s="300" t="s">
        <v>926</v>
      </c>
      <c r="B938" s="300" t="s">
        <v>3830</v>
      </c>
      <c r="C938" s="300" t="s">
        <v>3831</v>
      </c>
      <c r="D938" s="300" t="s">
        <v>4857</v>
      </c>
      <c r="E938" s="300" t="s">
        <v>1040</v>
      </c>
      <c r="F938" s="300" t="s">
        <v>4858</v>
      </c>
      <c r="G938" s="300" t="s">
        <v>446</v>
      </c>
    </row>
    <row r="939" spans="1:7" ht="14.5">
      <c r="A939" s="300" t="s">
        <v>926</v>
      </c>
      <c r="B939" s="300" t="s">
        <v>3834</v>
      </c>
      <c r="C939" s="300" t="s">
        <v>3835</v>
      </c>
      <c r="D939" s="300" t="s">
        <v>4857</v>
      </c>
      <c r="E939" s="300" t="s">
        <v>1040</v>
      </c>
      <c r="F939" s="300" t="s">
        <v>4858</v>
      </c>
      <c r="G939" s="300" t="s">
        <v>446</v>
      </c>
    </row>
    <row r="940" spans="1:7" ht="14.5">
      <c r="A940" s="300" t="s">
        <v>926</v>
      </c>
      <c r="B940" s="300" t="s">
        <v>3836</v>
      </c>
      <c r="C940" s="300" t="s">
        <v>3837</v>
      </c>
      <c r="D940" s="300" t="s">
        <v>4857</v>
      </c>
      <c r="E940" s="300" t="s">
        <v>1040</v>
      </c>
      <c r="F940" s="300" t="s">
        <v>4858</v>
      </c>
      <c r="G940" s="300" t="s">
        <v>446</v>
      </c>
    </row>
    <row r="941" spans="1:7" ht="14.5">
      <c r="A941" s="300" t="s">
        <v>926</v>
      </c>
      <c r="B941" s="300" t="s">
        <v>3838</v>
      </c>
      <c r="C941" s="300" t="s">
        <v>3839</v>
      </c>
      <c r="D941" s="300" t="s">
        <v>4857</v>
      </c>
      <c r="E941" s="300" t="s">
        <v>1040</v>
      </c>
      <c r="F941" s="300" t="s">
        <v>4858</v>
      </c>
      <c r="G941" s="300" t="s">
        <v>446</v>
      </c>
    </row>
    <row r="942" spans="1:7" ht="14.5">
      <c r="A942" s="300" t="s">
        <v>926</v>
      </c>
      <c r="B942" s="300" t="s">
        <v>3840</v>
      </c>
      <c r="C942" s="300" t="s">
        <v>3841</v>
      </c>
      <c r="D942" s="300" t="s">
        <v>4857</v>
      </c>
      <c r="E942" s="300" t="s">
        <v>1040</v>
      </c>
      <c r="F942" s="300" t="s">
        <v>4858</v>
      </c>
      <c r="G942" s="300" t="s">
        <v>446</v>
      </c>
    </row>
    <row r="943" spans="1:7" ht="14.5">
      <c r="A943" s="300" t="s">
        <v>926</v>
      </c>
      <c r="B943" s="300" t="s">
        <v>3842</v>
      </c>
      <c r="C943" s="300" t="s">
        <v>3843</v>
      </c>
      <c r="D943" s="300" t="s">
        <v>4857</v>
      </c>
      <c r="E943" s="300" t="s">
        <v>1040</v>
      </c>
      <c r="F943" s="300" t="s">
        <v>4858</v>
      </c>
      <c r="G943" s="300" t="s">
        <v>446</v>
      </c>
    </row>
    <row r="944" spans="1:7" ht="14.5">
      <c r="A944" s="300" t="s">
        <v>926</v>
      </c>
      <c r="B944" s="300" t="s">
        <v>3844</v>
      </c>
      <c r="C944" s="300" t="s">
        <v>3845</v>
      </c>
      <c r="D944" s="300" t="s">
        <v>4857</v>
      </c>
      <c r="E944" s="300" t="s">
        <v>1040</v>
      </c>
      <c r="F944" s="300" t="s">
        <v>4858</v>
      </c>
      <c r="G944" s="300" t="s">
        <v>446</v>
      </c>
    </row>
    <row r="945" spans="1:7" ht="14.5">
      <c r="A945" s="300" t="s">
        <v>926</v>
      </c>
      <c r="B945" s="300" t="s">
        <v>3847</v>
      </c>
      <c r="C945" s="300" t="s">
        <v>3848</v>
      </c>
      <c r="D945" s="300" t="s">
        <v>4857</v>
      </c>
      <c r="E945" s="300" t="s">
        <v>1040</v>
      </c>
      <c r="F945" s="300" t="s">
        <v>4858</v>
      </c>
      <c r="G945" s="300" t="s">
        <v>446</v>
      </c>
    </row>
    <row r="946" spans="1:7" ht="14.5">
      <c r="A946" s="300" t="s">
        <v>926</v>
      </c>
      <c r="B946" s="300" t="s">
        <v>3851</v>
      </c>
      <c r="C946" s="300" t="s">
        <v>3852</v>
      </c>
      <c r="D946" s="300" t="s">
        <v>4857</v>
      </c>
      <c r="E946" s="300" t="s">
        <v>1040</v>
      </c>
      <c r="F946" s="300" t="s">
        <v>4858</v>
      </c>
      <c r="G946" s="300" t="s">
        <v>446</v>
      </c>
    </row>
    <row r="947" spans="1:7" ht="14.5">
      <c r="A947" s="300" t="s">
        <v>926</v>
      </c>
      <c r="B947" s="300" t="s">
        <v>3853</v>
      </c>
      <c r="C947" s="300" t="s">
        <v>3854</v>
      </c>
      <c r="D947" s="300" t="s">
        <v>4857</v>
      </c>
      <c r="E947" s="300" t="s">
        <v>1040</v>
      </c>
      <c r="F947" s="300" t="s">
        <v>4858</v>
      </c>
      <c r="G947" s="300" t="s">
        <v>446</v>
      </c>
    </row>
    <row r="948" spans="1:7" ht="14.5">
      <c r="A948" s="300" t="s">
        <v>926</v>
      </c>
      <c r="B948" s="300" t="s">
        <v>3856</v>
      </c>
      <c r="C948" s="300" t="s">
        <v>3857</v>
      </c>
      <c r="D948" s="300" t="s">
        <v>4857</v>
      </c>
      <c r="E948" s="300" t="s">
        <v>1040</v>
      </c>
      <c r="F948" s="300" t="s">
        <v>4858</v>
      </c>
      <c r="G948" s="300" t="s">
        <v>446</v>
      </c>
    </row>
    <row r="949" spans="1:7" ht="14.5">
      <c r="A949" s="300" t="s">
        <v>926</v>
      </c>
      <c r="B949" s="300" t="s">
        <v>3859</v>
      </c>
      <c r="C949" s="300" t="s">
        <v>3860</v>
      </c>
      <c r="D949" s="300" t="s">
        <v>4857</v>
      </c>
      <c r="E949" s="300" t="s">
        <v>1040</v>
      </c>
      <c r="F949" s="300" t="s">
        <v>4858</v>
      </c>
      <c r="G949" s="300" t="s">
        <v>446</v>
      </c>
    </row>
    <row r="950" spans="1:7" ht="14.5">
      <c r="A950" s="300" t="s">
        <v>926</v>
      </c>
      <c r="B950" s="300" t="s">
        <v>3863</v>
      </c>
      <c r="C950" s="300" t="s">
        <v>3864</v>
      </c>
      <c r="D950" s="300" t="s">
        <v>4857</v>
      </c>
      <c r="E950" s="300" t="s">
        <v>1040</v>
      </c>
      <c r="F950" s="300" t="s">
        <v>4858</v>
      </c>
      <c r="G950" s="300" t="s">
        <v>446</v>
      </c>
    </row>
    <row r="951" spans="1:7" ht="14.5">
      <c r="A951" s="300" t="s">
        <v>926</v>
      </c>
      <c r="B951" s="300" t="s">
        <v>3865</v>
      </c>
      <c r="C951" s="300" t="s">
        <v>3866</v>
      </c>
      <c r="D951" s="300" t="s">
        <v>4857</v>
      </c>
      <c r="E951" s="300" t="s">
        <v>1040</v>
      </c>
      <c r="F951" s="300" t="s">
        <v>4858</v>
      </c>
      <c r="G951" s="300" t="s">
        <v>446</v>
      </c>
    </row>
    <row r="952" spans="1:7" ht="14.5">
      <c r="A952" s="300" t="s">
        <v>926</v>
      </c>
      <c r="B952" s="300" t="s">
        <v>3869</v>
      </c>
      <c r="C952" s="300" t="s">
        <v>3870</v>
      </c>
      <c r="D952" s="300" t="s">
        <v>4857</v>
      </c>
      <c r="E952" s="300" t="s">
        <v>1040</v>
      </c>
      <c r="F952" s="300" t="s">
        <v>4858</v>
      </c>
      <c r="G952" s="300" t="s">
        <v>446</v>
      </c>
    </row>
    <row r="953" spans="1:7" ht="14.5">
      <c r="A953" s="300" t="s">
        <v>926</v>
      </c>
      <c r="B953" s="300" t="s">
        <v>3871</v>
      </c>
      <c r="C953" s="300" t="s">
        <v>3872</v>
      </c>
      <c r="D953" s="300" t="s">
        <v>4857</v>
      </c>
      <c r="E953" s="300" t="s">
        <v>1040</v>
      </c>
      <c r="F953" s="300" t="s">
        <v>4858</v>
      </c>
      <c r="G953" s="300" t="s">
        <v>446</v>
      </c>
    </row>
    <row r="954" spans="1:7" ht="14.5">
      <c r="A954" s="300" t="s">
        <v>926</v>
      </c>
      <c r="B954" s="300" t="s">
        <v>3873</v>
      </c>
      <c r="C954" s="300" t="s">
        <v>3874</v>
      </c>
      <c r="D954" s="300" t="s">
        <v>4857</v>
      </c>
      <c r="E954" s="300" t="s">
        <v>1040</v>
      </c>
      <c r="F954" s="300" t="s">
        <v>4858</v>
      </c>
      <c r="G954" s="300" t="s">
        <v>446</v>
      </c>
    </row>
    <row r="955" spans="1:7" ht="14.5">
      <c r="A955" s="300" t="s">
        <v>926</v>
      </c>
      <c r="B955" s="300" t="s">
        <v>3875</v>
      </c>
      <c r="C955" s="300" t="s">
        <v>3876</v>
      </c>
      <c r="D955" s="300" t="s">
        <v>4857</v>
      </c>
      <c r="E955" s="300" t="s">
        <v>1040</v>
      </c>
      <c r="F955" s="300" t="s">
        <v>4858</v>
      </c>
      <c r="G955" s="300" t="s">
        <v>446</v>
      </c>
    </row>
    <row r="956" spans="1:7" ht="14.5">
      <c r="A956" s="300" t="s">
        <v>926</v>
      </c>
      <c r="B956" s="300" t="s">
        <v>3877</v>
      </c>
      <c r="C956" s="300" t="s">
        <v>3878</v>
      </c>
      <c r="D956" s="300" t="s">
        <v>4857</v>
      </c>
      <c r="E956" s="300" t="s">
        <v>1040</v>
      </c>
      <c r="F956" s="300" t="s">
        <v>4858</v>
      </c>
      <c r="G956" s="300" t="s">
        <v>446</v>
      </c>
    </row>
    <row r="957" spans="1:7" ht="14.5">
      <c r="A957" s="300" t="s">
        <v>926</v>
      </c>
      <c r="B957" s="300" t="s">
        <v>3880</v>
      </c>
      <c r="C957" s="300" t="s">
        <v>3881</v>
      </c>
      <c r="D957" s="300" t="s">
        <v>4857</v>
      </c>
      <c r="E957" s="300" t="s">
        <v>1040</v>
      </c>
      <c r="F957" s="300" t="s">
        <v>4858</v>
      </c>
      <c r="G957" s="300" t="s">
        <v>446</v>
      </c>
    </row>
    <row r="958" spans="1:7" ht="14.5">
      <c r="A958" s="300" t="s">
        <v>926</v>
      </c>
      <c r="B958" s="300" t="s">
        <v>3884</v>
      </c>
      <c r="C958" s="300" t="s">
        <v>3885</v>
      </c>
      <c r="D958" s="300" t="s">
        <v>4857</v>
      </c>
      <c r="E958" s="300" t="s">
        <v>1040</v>
      </c>
      <c r="F958" s="300" t="s">
        <v>4858</v>
      </c>
      <c r="G958" s="300" t="s">
        <v>446</v>
      </c>
    </row>
    <row r="959" spans="1:7" ht="14.5">
      <c r="A959" s="300" t="s">
        <v>926</v>
      </c>
      <c r="B959" s="300" t="s">
        <v>3888</v>
      </c>
      <c r="C959" s="300" t="s">
        <v>3889</v>
      </c>
      <c r="D959" s="300" t="s">
        <v>4857</v>
      </c>
      <c r="E959" s="300" t="s">
        <v>1040</v>
      </c>
      <c r="F959" s="300" t="s">
        <v>4858</v>
      </c>
      <c r="G959" s="300" t="s">
        <v>446</v>
      </c>
    </row>
    <row r="960" spans="1:7" ht="14.5">
      <c r="A960" s="300" t="s">
        <v>926</v>
      </c>
      <c r="B960" s="300" t="s">
        <v>3892</v>
      </c>
      <c r="C960" s="300" t="s">
        <v>3893</v>
      </c>
      <c r="D960" s="300" t="s">
        <v>4857</v>
      </c>
      <c r="E960" s="300" t="s">
        <v>1040</v>
      </c>
      <c r="F960" s="300" t="s">
        <v>4858</v>
      </c>
      <c r="G960" s="300" t="s">
        <v>446</v>
      </c>
    </row>
    <row r="961" spans="1:7" ht="14.5">
      <c r="A961" s="300" t="s">
        <v>926</v>
      </c>
      <c r="B961" s="300" t="s">
        <v>3894</v>
      </c>
      <c r="C961" s="300" t="s">
        <v>3895</v>
      </c>
      <c r="D961" s="300" t="s">
        <v>4857</v>
      </c>
      <c r="E961" s="300" t="s">
        <v>1040</v>
      </c>
      <c r="F961" s="300" t="s">
        <v>4858</v>
      </c>
      <c r="G961" s="300" t="s">
        <v>446</v>
      </c>
    </row>
    <row r="962" spans="1:7" ht="14.5">
      <c r="A962" s="300" t="s">
        <v>926</v>
      </c>
      <c r="B962" s="300" t="s">
        <v>3898</v>
      </c>
      <c r="C962" s="300" t="s">
        <v>3899</v>
      </c>
      <c r="D962" s="300" t="s">
        <v>4857</v>
      </c>
      <c r="E962" s="300" t="s">
        <v>1040</v>
      </c>
      <c r="F962" s="300" t="s">
        <v>4858</v>
      </c>
      <c r="G962" s="300" t="s">
        <v>446</v>
      </c>
    </row>
    <row r="963" spans="1:7" ht="14.5">
      <c r="A963" s="300" t="s">
        <v>926</v>
      </c>
      <c r="B963" s="300" t="s">
        <v>3900</v>
      </c>
      <c r="C963" s="300" t="s">
        <v>3901</v>
      </c>
      <c r="D963" s="300" t="s">
        <v>4857</v>
      </c>
      <c r="E963" s="300" t="s">
        <v>1040</v>
      </c>
      <c r="F963" s="300" t="s">
        <v>4858</v>
      </c>
      <c r="G963" s="300" t="s">
        <v>446</v>
      </c>
    </row>
    <row r="964" spans="1:7" ht="14.5">
      <c r="A964" s="300" t="s">
        <v>926</v>
      </c>
      <c r="B964" s="300" t="s">
        <v>3904</v>
      </c>
      <c r="C964" s="300" t="s">
        <v>3905</v>
      </c>
      <c r="D964" s="300" t="s">
        <v>4857</v>
      </c>
      <c r="E964" s="300" t="s">
        <v>1040</v>
      </c>
      <c r="F964" s="300" t="s">
        <v>4858</v>
      </c>
      <c r="G964" s="300" t="s">
        <v>446</v>
      </c>
    </row>
    <row r="965" spans="1:7" ht="14.5">
      <c r="A965" s="300" t="s">
        <v>926</v>
      </c>
      <c r="B965" s="300" t="s">
        <v>3906</v>
      </c>
      <c r="C965" s="300" t="s">
        <v>3907</v>
      </c>
      <c r="D965" s="300" t="s">
        <v>4857</v>
      </c>
      <c r="E965" s="300" t="s">
        <v>1040</v>
      </c>
      <c r="F965" s="300" t="s">
        <v>4858</v>
      </c>
      <c r="G965" s="300" t="s">
        <v>446</v>
      </c>
    </row>
    <row r="966" spans="1:7" ht="14.5">
      <c r="A966" s="300" t="s">
        <v>926</v>
      </c>
      <c r="B966" s="300" t="s">
        <v>3908</v>
      </c>
      <c r="C966" s="300" t="s">
        <v>3909</v>
      </c>
      <c r="D966" s="300" t="s">
        <v>4857</v>
      </c>
      <c r="E966" s="300" t="s">
        <v>1040</v>
      </c>
      <c r="F966" s="300" t="s">
        <v>4858</v>
      </c>
      <c r="G966" s="300" t="s">
        <v>446</v>
      </c>
    </row>
    <row r="967" spans="1:7" ht="14.5">
      <c r="A967" s="300" t="s">
        <v>926</v>
      </c>
      <c r="B967" s="300" t="s">
        <v>3911</v>
      </c>
      <c r="C967" s="300" t="s">
        <v>3876</v>
      </c>
      <c r="D967" s="300" t="s">
        <v>4857</v>
      </c>
      <c r="E967" s="300" t="s">
        <v>1040</v>
      </c>
      <c r="F967" s="300" t="s">
        <v>4858</v>
      </c>
      <c r="G967" s="300" t="s">
        <v>446</v>
      </c>
    </row>
    <row r="968" spans="1:7" ht="14.5">
      <c r="A968" s="300" t="s">
        <v>926</v>
      </c>
      <c r="B968" s="300" t="s">
        <v>3914</v>
      </c>
      <c r="C968" s="300" t="s">
        <v>3915</v>
      </c>
      <c r="D968" s="300" t="s">
        <v>4881</v>
      </c>
      <c r="E968" s="300" t="s">
        <v>3917</v>
      </c>
      <c r="F968" s="300" t="s">
        <v>4858</v>
      </c>
      <c r="G968" s="300" t="s">
        <v>446</v>
      </c>
    </row>
    <row r="969" spans="1:7" ht="14.5">
      <c r="A969" s="300" t="s">
        <v>926</v>
      </c>
      <c r="B969" s="300" t="s">
        <v>3918</v>
      </c>
      <c r="C969" s="300" t="s">
        <v>3919</v>
      </c>
      <c r="D969" s="300" t="s">
        <v>4881</v>
      </c>
      <c r="E969" s="300" t="s">
        <v>3917</v>
      </c>
      <c r="F969" s="300" t="s">
        <v>4858</v>
      </c>
      <c r="G969" s="300" t="s">
        <v>446</v>
      </c>
    </row>
    <row r="970" spans="1:7" ht="14.5">
      <c r="A970" s="300" t="s">
        <v>926</v>
      </c>
      <c r="B970" s="300" t="s">
        <v>3921</v>
      </c>
      <c r="C970" s="300" t="s">
        <v>3922</v>
      </c>
      <c r="D970" s="300" t="s">
        <v>4882</v>
      </c>
      <c r="E970" s="300" t="s">
        <v>3925</v>
      </c>
      <c r="F970" s="300" t="s">
        <v>4883</v>
      </c>
      <c r="G970" s="300" t="s">
        <v>445</v>
      </c>
    </row>
    <row r="971" spans="1:7" ht="14.5">
      <c r="A971" s="300" t="s">
        <v>926</v>
      </c>
      <c r="B971" s="300" t="s">
        <v>3926</v>
      </c>
      <c r="C971" s="300" t="s">
        <v>3927</v>
      </c>
      <c r="D971" s="300" t="s">
        <v>4881</v>
      </c>
      <c r="E971" s="300" t="s">
        <v>3917</v>
      </c>
      <c r="F971" s="300" t="s">
        <v>4858</v>
      </c>
      <c r="G971" s="300" t="s">
        <v>446</v>
      </c>
    </row>
    <row r="972" spans="1:7" ht="14.5">
      <c r="A972" s="300" t="s">
        <v>926</v>
      </c>
      <c r="B972" s="300" t="s">
        <v>3930</v>
      </c>
      <c r="C972" s="300" t="s">
        <v>3931</v>
      </c>
      <c r="D972" s="300" t="s">
        <v>4881</v>
      </c>
      <c r="E972" s="300" t="s">
        <v>3917</v>
      </c>
      <c r="F972" s="300" t="s">
        <v>4858</v>
      </c>
      <c r="G972" s="300" t="s">
        <v>446</v>
      </c>
    </row>
    <row r="973" spans="1:7" ht="14.5">
      <c r="A973" s="300" t="s">
        <v>926</v>
      </c>
      <c r="B973" s="300" t="s">
        <v>3932</v>
      </c>
      <c r="C973" s="300" t="s">
        <v>3933</v>
      </c>
      <c r="D973" s="300" t="s">
        <v>4881</v>
      </c>
      <c r="E973" s="300" t="s">
        <v>3917</v>
      </c>
      <c r="F973" s="300" t="s">
        <v>4858</v>
      </c>
      <c r="G973" s="300" t="s">
        <v>446</v>
      </c>
    </row>
    <row r="974" spans="1:7" ht="14.5">
      <c r="A974" s="300" t="s">
        <v>926</v>
      </c>
      <c r="B974" s="300" t="s">
        <v>3936</v>
      </c>
      <c r="C974" s="300" t="s">
        <v>3937</v>
      </c>
      <c r="D974" s="300" t="s">
        <v>4857</v>
      </c>
      <c r="E974" s="300" t="s">
        <v>1040</v>
      </c>
      <c r="F974" s="300" t="s">
        <v>4858</v>
      </c>
      <c r="G974" s="300" t="s">
        <v>446</v>
      </c>
    </row>
    <row r="975" spans="1:7" ht="14.5">
      <c r="A975" s="300" t="s">
        <v>926</v>
      </c>
      <c r="B975" s="300" t="s">
        <v>3938</v>
      </c>
      <c r="C975" s="300" t="s">
        <v>3939</v>
      </c>
      <c r="D975" s="300" t="s">
        <v>4857</v>
      </c>
      <c r="E975" s="300" t="s">
        <v>1040</v>
      </c>
      <c r="F975" s="300" t="s">
        <v>4858</v>
      </c>
      <c r="G975" s="300" t="s">
        <v>446</v>
      </c>
    </row>
    <row r="976" spans="1:7" ht="14.5">
      <c r="A976" s="300" t="s">
        <v>926</v>
      </c>
      <c r="B976" s="300" t="s">
        <v>3941</v>
      </c>
      <c r="C976" s="300" t="s">
        <v>3942</v>
      </c>
      <c r="D976" s="300" t="s">
        <v>4857</v>
      </c>
      <c r="E976" s="300" t="s">
        <v>1040</v>
      </c>
      <c r="F976" s="300" t="s">
        <v>4858</v>
      </c>
      <c r="G976" s="300" t="s">
        <v>446</v>
      </c>
    </row>
    <row r="977" spans="1:7" ht="14.5">
      <c r="A977" s="300" t="s">
        <v>926</v>
      </c>
      <c r="B977" s="300" t="s">
        <v>3945</v>
      </c>
      <c r="C977" s="300" t="s">
        <v>3946</v>
      </c>
      <c r="D977" s="300" t="s">
        <v>4857</v>
      </c>
      <c r="E977" s="300" t="s">
        <v>1040</v>
      </c>
      <c r="F977" s="300" t="s">
        <v>4858</v>
      </c>
      <c r="G977" s="300" t="s">
        <v>446</v>
      </c>
    </row>
    <row r="978" spans="1:7" ht="14.5">
      <c r="A978" s="300" t="s">
        <v>926</v>
      </c>
      <c r="B978" s="300" t="s">
        <v>3947</v>
      </c>
      <c r="C978" s="300" t="s">
        <v>3948</v>
      </c>
      <c r="D978" s="300" t="s">
        <v>4857</v>
      </c>
      <c r="E978" s="300" t="s">
        <v>1040</v>
      </c>
      <c r="F978" s="300" t="s">
        <v>4858</v>
      </c>
      <c r="G978" s="300" t="s">
        <v>446</v>
      </c>
    </row>
    <row r="979" spans="1:7" ht="14.5">
      <c r="A979" s="300" t="s">
        <v>926</v>
      </c>
      <c r="B979" s="300" t="s">
        <v>3949</v>
      </c>
      <c r="C979" s="300" t="s">
        <v>3950</v>
      </c>
      <c r="D979" s="300" t="s">
        <v>4857</v>
      </c>
      <c r="E979" s="300" t="s">
        <v>1040</v>
      </c>
      <c r="F979" s="300" t="s">
        <v>4858</v>
      </c>
      <c r="G979" s="300" t="s">
        <v>446</v>
      </c>
    </row>
    <row r="980" spans="1:7" ht="14.5">
      <c r="A980" s="300" t="s">
        <v>926</v>
      </c>
      <c r="B980" s="300" t="s">
        <v>3952</v>
      </c>
      <c r="C980" s="300" t="s">
        <v>3953</v>
      </c>
      <c r="D980" s="300" t="s">
        <v>4857</v>
      </c>
      <c r="E980" s="300" t="s">
        <v>1040</v>
      </c>
      <c r="F980" s="300" t="s">
        <v>4858</v>
      </c>
      <c r="G980" s="300" t="s">
        <v>446</v>
      </c>
    </row>
    <row r="981" spans="1:7" ht="14.5">
      <c r="A981" s="300" t="s">
        <v>926</v>
      </c>
      <c r="B981" s="300" t="s">
        <v>3955</v>
      </c>
      <c r="C981" s="300" t="s">
        <v>3956</v>
      </c>
      <c r="D981" s="300" t="s">
        <v>4857</v>
      </c>
      <c r="E981" s="300" t="s">
        <v>1040</v>
      </c>
      <c r="F981" s="300" t="s">
        <v>4858</v>
      </c>
      <c r="G981" s="300" t="s">
        <v>446</v>
      </c>
    </row>
    <row r="982" spans="1:7" ht="14.5">
      <c r="A982" s="300" t="s">
        <v>926</v>
      </c>
      <c r="B982" s="300" t="s">
        <v>3959</v>
      </c>
      <c r="C982" s="300" t="s">
        <v>3960</v>
      </c>
      <c r="D982" s="300" t="s">
        <v>4857</v>
      </c>
      <c r="E982" s="300" t="s">
        <v>1040</v>
      </c>
      <c r="F982" s="300" t="s">
        <v>4858</v>
      </c>
      <c r="G982" s="300" t="s">
        <v>446</v>
      </c>
    </row>
    <row r="983" spans="1:7" ht="14.5">
      <c r="A983" s="300" t="s">
        <v>926</v>
      </c>
      <c r="B983" s="300" t="s">
        <v>3963</v>
      </c>
      <c r="C983" s="300" t="s">
        <v>3964</v>
      </c>
      <c r="D983" s="300" t="s">
        <v>4868</v>
      </c>
      <c r="E983" s="300" t="s">
        <v>1818</v>
      </c>
      <c r="F983" s="300" t="s">
        <v>4858</v>
      </c>
      <c r="G983" s="300" t="s">
        <v>446</v>
      </c>
    </row>
    <row r="984" spans="1:7" ht="14.5">
      <c r="A984" s="300" t="s">
        <v>926</v>
      </c>
      <c r="B984" s="300" t="s">
        <v>3967</v>
      </c>
      <c r="C984" s="300" t="s">
        <v>3968</v>
      </c>
      <c r="D984" s="300" t="s">
        <v>4857</v>
      </c>
      <c r="E984" s="300" t="s">
        <v>1040</v>
      </c>
      <c r="F984" s="300" t="s">
        <v>4858</v>
      </c>
      <c r="G984" s="300" t="s">
        <v>446</v>
      </c>
    </row>
    <row r="985" spans="1:7" ht="14.5">
      <c r="A985" s="300" t="s">
        <v>926</v>
      </c>
      <c r="B985" s="300" t="s">
        <v>3969</v>
      </c>
      <c r="C985" s="300" t="s">
        <v>3970</v>
      </c>
      <c r="D985" s="300" t="s">
        <v>4879</v>
      </c>
      <c r="E985" s="300" t="s">
        <v>3488</v>
      </c>
      <c r="F985" s="300" t="s">
        <v>4858</v>
      </c>
      <c r="G985" s="300" t="s">
        <v>446</v>
      </c>
    </row>
    <row r="986" spans="1:7" ht="14.5">
      <c r="A986" s="300" t="s">
        <v>926</v>
      </c>
      <c r="B986" s="300" t="s">
        <v>3971</v>
      </c>
      <c r="C986" s="300" t="s">
        <v>3972</v>
      </c>
      <c r="D986" s="300" t="s">
        <v>4857</v>
      </c>
      <c r="E986" s="300" t="s">
        <v>1040</v>
      </c>
      <c r="F986" s="300" t="s">
        <v>4858</v>
      </c>
      <c r="G986" s="300" t="s">
        <v>446</v>
      </c>
    </row>
    <row r="987" spans="1:7" ht="14.5">
      <c r="A987" s="300" t="s">
        <v>926</v>
      </c>
      <c r="B987" s="300" t="s">
        <v>3974</v>
      </c>
      <c r="C987" s="300" t="s">
        <v>3975</v>
      </c>
      <c r="D987" s="300" t="s">
        <v>4857</v>
      </c>
      <c r="E987" s="300" t="s">
        <v>1040</v>
      </c>
      <c r="F987" s="300" t="s">
        <v>4858</v>
      </c>
      <c r="G987" s="300" t="s">
        <v>446</v>
      </c>
    </row>
    <row r="988" spans="1:7" ht="14.5">
      <c r="A988" s="300" t="s">
        <v>926</v>
      </c>
      <c r="B988" s="300" t="s">
        <v>3978</v>
      </c>
      <c r="C988" s="300" t="s">
        <v>3979</v>
      </c>
      <c r="D988" s="300" t="s">
        <v>4857</v>
      </c>
      <c r="E988" s="300" t="s">
        <v>1040</v>
      </c>
      <c r="F988" s="300" t="s">
        <v>4858</v>
      </c>
      <c r="G988" s="300" t="s">
        <v>446</v>
      </c>
    </row>
    <row r="989" spans="1:7" ht="14.5">
      <c r="A989" s="300" t="s">
        <v>926</v>
      </c>
      <c r="B989" s="300" t="s">
        <v>3982</v>
      </c>
      <c r="C989" s="300" t="s">
        <v>3983</v>
      </c>
      <c r="D989" s="300" t="s">
        <v>4857</v>
      </c>
      <c r="E989" s="300" t="s">
        <v>1040</v>
      </c>
      <c r="F989" s="300" t="s">
        <v>4858</v>
      </c>
      <c r="G989" s="300" t="s">
        <v>446</v>
      </c>
    </row>
    <row r="990" spans="1:7" ht="14.5">
      <c r="A990" s="300" t="s">
        <v>926</v>
      </c>
      <c r="B990" s="300" t="s">
        <v>3985</v>
      </c>
      <c r="C990" s="300" t="s">
        <v>3986</v>
      </c>
      <c r="D990" s="300" t="s">
        <v>4857</v>
      </c>
      <c r="E990" s="300" t="s">
        <v>1040</v>
      </c>
      <c r="F990" s="300" t="s">
        <v>4858</v>
      </c>
      <c r="G990" s="300" t="s">
        <v>446</v>
      </c>
    </row>
    <row r="991" spans="1:7" ht="14.5">
      <c r="A991" s="300" t="s">
        <v>926</v>
      </c>
      <c r="B991" s="300" t="s">
        <v>3988</v>
      </c>
      <c r="C991" s="300" t="s">
        <v>3989</v>
      </c>
      <c r="D991" s="300" t="s">
        <v>4857</v>
      </c>
      <c r="E991" s="300" t="s">
        <v>1040</v>
      </c>
      <c r="F991" s="300" t="s">
        <v>4858</v>
      </c>
      <c r="G991" s="300" t="s">
        <v>446</v>
      </c>
    </row>
    <row r="992" spans="1:7" ht="14.5">
      <c r="A992" s="300" t="s">
        <v>926</v>
      </c>
      <c r="B992" s="300" t="s">
        <v>3991</v>
      </c>
      <c r="C992" s="300" t="s">
        <v>3992</v>
      </c>
      <c r="D992" s="300" t="s">
        <v>4857</v>
      </c>
      <c r="E992" s="300" t="s">
        <v>1040</v>
      </c>
      <c r="F992" s="300" t="s">
        <v>4858</v>
      </c>
      <c r="G992" s="300" t="s">
        <v>446</v>
      </c>
    </row>
    <row r="993" spans="1:7" ht="14.5">
      <c r="A993" s="300" t="s">
        <v>926</v>
      </c>
      <c r="B993" s="300" t="s">
        <v>3995</v>
      </c>
      <c r="C993" s="300" t="s">
        <v>3996</v>
      </c>
      <c r="D993" s="300" t="s">
        <v>4857</v>
      </c>
      <c r="E993" s="300" t="s">
        <v>1040</v>
      </c>
      <c r="F993" s="300" t="s">
        <v>4858</v>
      </c>
      <c r="G993" s="300" t="s">
        <v>446</v>
      </c>
    </row>
    <row r="994" spans="1:7" ht="14.5">
      <c r="A994" s="300" t="s">
        <v>926</v>
      </c>
      <c r="B994" s="300" t="s">
        <v>3999</v>
      </c>
      <c r="C994" s="300" t="s">
        <v>4000</v>
      </c>
      <c r="D994" s="300" t="s">
        <v>4857</v>
      </c>
      <c r="E994" s="300" t="s">
        <v>1040</v>
      </c>
      <c r="F994" s="300" t="s">
        <v>4858</v>
      </c>
      <c r="G994" s="300" t="s">
        <v>446</v>
      </c>
    </row>
    <row r="995" spans="1:7" ht="14.5">
      <c r="A995" s="300" t="s">
        <v>926</v>
      </c>
      <c r="B995" s="300" t="s">
        <v>4003</v>
      </c>
      <c r="C995" s="300" t="s">
        <v>4004</v>
      </c>
      <c r="D995" s="300" t="s">
        <v>4857</v>
      </c>
      <c r="E995" s="300" t="s">
        <v>1040</v>
      </c>
      <c r="F995" s="300" t="s">
        <v>4858</v>
      </c>
      <c r="G995" s="300" t="s">
        <v>446</v>
      </c>
    </row>
    <row r="996" spans="1:7" ht="14.5">
      <c r="A996" s="300" t="s">
        <v>926</v>
      </c>
      <c r="B996" s="300" t="s">
        <v>4006</v>
      </c>
      <c r="C996" s="300" t="s">
        <v>4007</v>
      </c>
      <c r="D996" s="300" t="s">
        <v>4857</v>
      </c>
      <c r="E996" s="300" t="s">
        <v>1040</v>
      </c>
      <c r="F996" s="300" t="s">
        <v>4858</v>
      </c>
      <c r="G996" s="300" t="s">
        <v>446</v>
      </c>
    </row>
    <row r="997" spans="1:7" ht="14.5">
      <c r="A997" s="300" t="s">
        <v>926</v>
      </c>
      <c r="B997" s="300" t="s">
        <v>4010</v>
      </c>
      <c r="C997" s="300" t="s">
        <v>4011</v>
      </c>
      <c r="D997" s="300" t="s">
        <v>4857</v>
      </c>
      <c r="E997" s="300" t="s">
        <v>1040</v>
      </c>
      <c r="F997" s="300" t="s">
        <v>4858</v>
      </c>
      <c r="G997" s="300" t="s">
        <v>446</v>
      </c>
    </row>
    <row r="998" spans="1:7" ht="14.5">
      <c r="A998" s="300" t="s">
        <v>926</v>
      </c>
      <c r="B998" s="300" t="s">
        <v>4014</v>
      </c>
      <c r="C998" s="300" t="s">
        <v>4015</v>
      </c>
      <c r="D998" s="300" t="s">
        <v>4857</v>
      </c>
      <c r="E998" s="300" t="s">
        <v>1040</v>
      </c>
      <c r="F998" s="300" t="s">
        <v>4858</v>
      </c>
      <c r="G998" s="300" t="s">
        <v>446</v>
      </c>
    </row>
    <row r="999" spans="1:7" ht="14.5">
      <c r="A999" s="300" t="s">
        <v>926</v>
      </c>
      <c r="B999" s="300" t="s">
        <v>4016</v>
      </c>
      <c r="C999" s="300" t="s">
        <v>4017</v>
      </c>
      <c r="D999" s="300" t="s">
        <v>4857</v>
      </c>
      <c r="E999" s="300" t="s">
        <v>1040</v>
      </c>
      <c r="F999" s="300" t="s">
        <v>4858</v>
      </c>
      <c r="G999" s="300" t="s">
        <v>446</v>
      </c>
    </row>
    <row r="1000" spans="1:7" ht="14.5">
      <c r="A1000" s="300" t="s">
        <v>926</v>
      </c>
      <c r="B1000" s="300" t="s">
        <v>4018</v>
      </c>
      <c r="C1000" s="300" t="s">
        <v>4019</v>
      </c>
      <c r="D1000" s="300" t="s">
        <v>4857</v>
      </c>
      <c r="E1000" s="300" t="s">
        <v>1040</v>
      </c>
      <c r="F1000" s="300" t="s">
        <v>4858</v>
      </c>
      <c r="G1000" s="300" t="s">
        <v>446</v>
      </c>
    </row>
    <row r="1001" spans="1:7" ht="14.5">
      <c r="A1001" s="300" t="s">
        <v>926</v>
      </c>
      <c r="B1001" s="300" t="s">
        <v>4020</v>
      </c>
      <c r="C1001" s="300" t="s">
        <v>4021</v>
      </c>
      <c r="D1001" s="300" t="s">
        <v>4857</v>
      </c>
      <c r="E1001" s="300" t="s">
        <v>1040</v>
      </c>
      <c r="F1001" s="300" t="s">
        <v>4858</v>
      </c>
      <c r="G1001" s="300" t="s">
        <v>446</v>
      </c>
    </row>
    <row r="1002" spans="1:7" ht="14.5">
      <c r="A1002" s="300" t="s">
        <v>926</v>
      </c>
      <c r="B1002" s="300" t="s">
        <v>4022</v>
      </c>
      <c r="C1002" s="300" t="s">
        <v>4023</v>
      </c>
      <c r="D1002" s="300" t="s">
        <v>4857</v>
      </c>
      <c r="E1002" s="300" t="s">
        <v>1040</v>
      </c>
      <c r="F1002" s="300" t="s">
        <v>4858</v>
      </c>
      <c r="G1002" s="300" t="s">
        <v>446</v>
      </c>
    </row>
    <row r="1003" spans="1:7" ht="14.5">
      <c r="A1003" s="300" t="s">
        <v>926</v>
      </c>
      <c r="B1003" s="300" t="s">
        <v>4024</v>
      </c>
      <c r="C1003" s="300" t="s">
        <v>4025</v>
      </c>
      <c r="D1003" s="300" t="s">
        <v>4857</v>
      </c>
      <c r="E1003" s="300" t="s">
        <v>1040</v>
      </c>
      <c r="F1003" s="300" t="s">
        <v>4858</v>
      </c>
      <c r="G1003" s="300" t="s">
        <v>446</v>
      </c>
    </row>
    <row r="1004" spans="1:7" ht="14.5">
      <c r="A1004" s="300" t="s">
        <v>926</v>
      </c>
      <c r="B1004" s="300" t="s">
        <v>4026</v>
      </c>
      <c r="C1004" s="300" t="s">
        <v>4027</v>
      </c>
      <c r="D1004" s="300" t="s">
        <v>4857</v>
      </c>
      <c r="E1004" s="300" t="s">
        <v>1040</v>
      </c>
      <c r="F1004" s="300" t="s">
        <v>4858</v>
      </c>
      <c r="G1004" s="300" t="s">
        <v>446</v>
      </c>
    </row>
    <row r="1005" spans="1:7" ht="14.5">
      <c r="A1005" s="300" t="s">
        <v>926</v>
      </c>
      <c r="B1005" s="300" t="s">
        <v>4028</v>
      </c>
      <c r="C1005" s="300" t="s">
        <v>4029</v>
      </c>
      <c r="D1005" s="300" t="s">
        <v>4857</v>
      </c>
      <c r="E1005" s="300" t="s">
        <v>1040</v>
      </c>
      <c r="F1005" s="300" t="s">
        <v>4858</v>
      </c>
      <c r="G1005" s="300" t="s">
        <v>446</v>
      </c>
    </row>
    <row r="1006" spans="1:7" ht="14.5">
      <c r="A1006" s="300" t="s">
        <v>926</v>
      </c>
      <c r="B1006" s="300" t="s">
        <v>4031</v>
      </c>
      <c r="C1006" s="300" t="s">
        <v>4032</v>
      </c>
      <c r="D1006" s="300" t="s">
        <v>4857</v>
      </c>
      <c r="E1006" s="300" t="s">
        <v>1040</v>
      </c>
      <c r="F1006" s="300" t="s">
        <v>4858</v>
      </c>
      <c r="G1006" s="300" t="s">
        <v>446</v>
      </c>
    </row>
    <row r="1007" spans="1:7" ht="14.5">
      <c r="A1007" s="300" t="s">
        <v>926</v>
      </c>
      <c r="B1007" s="300" t="s">
        <v>4035</v>
      </c>
      <c r="C1007" s="300" t="s">
        <v>4036</v>
      </c>
      <c r="D1007" s="300" t="s">
        <v>4857</v>
      </c>
      <c r="E1007" s="300" t="s">
        <v>1040</v>
      </c>
      <c r="F1007" s="300" t="s">
        <v>4858</v>
      </c>
      <c r="G1007" s="300" t="s">
        <v>446</v>
      </c>
    </row>
    <row r="1008" spans="1:7" ht="14.5">
      <c r="A1008" s="300" t="s">
        <v>926</v>
      </c>
      <c r="B1008" s="300" t="s">
        <v>4037</v>
      </c>
      <c r="C1008" s="300" t="s">
        <v>4038</v>
      </c>
      <c r="D1008" s="300" t="s">
        <v>4857</v>
      </c>
      <c r="E1008" s="300" t="s">
        <v>1040</v>
      </c>
      <c r="F1008" s="300" t="s">
        <v>4858</v>
      </c>
      <c r="G1008" s="300" t="s">
        <v>446</v>
      </c>
    </row>
    <row r="1009" spans="1:7" ht="14.5">
      <c r="A1009" s="300" t="s">
        <v>926</v>
      </c>
      <c r="B1009" s="300" t="s">
        <v>4039</v>
      </c>
      <c r="C1009" s="300" t="s">
        <v>4040</v>
      </c>
      <c r="D1009" s="300" t="s">
        <v>4857</v>
      </c>
      <c r="E1009" s="300" t="s">
        <v>1040</v>
      </c>
      <c r="F1009" s="300" t="s">
        <v>4858</v>
      </c>
      <c r="G1009" s="300" t="s">
        <v>446</v>
      </c>
    </row>
    <row r="1010" spans="1:7" ht="14.5">
      <c r="A1010" s="300" t="s">
        <v>926</v>
      </c>
      <c r="B1010" s="300" t="s">
        <v>4041</v>
      </c>
      <c r="C1010" s="300" t="s">
        <v>4042</v>
      </c>
      <c r="D1010" s="300" t="s">
        <v>4857</v>
      </c>
      <c r="E1010" s="300" t="s">
        <v>1040</v>
      </c>
      <c r="F1010" s="300" t="s">
        <v>4858</v>
      </c>
      <c r="G1010" s="300" t="s">
        <v>446</v>
      </c>
    </row>
    <row r="1011" spans="1:7" ht="14.5">
      <c r="A1011" s="300" t="s">
        <v>926</v>
      </c>
      <c r="B1011" s="300" t="s">
        <v>4045</v>
      </c>
      <c r="C1011" s="300" t="s">
        <v>4046</v>
      </c>
      <c r="D1011" s="300" t="s">
        <v>4857</v>
      </c>
      <c r="E1011" s="300" t="s">
        <v>1040</v>
      </c>
      <c r="F1011" s="300" t="s">
        <v>4858</v>
      </c>
      <c r="G1011" s="300" t="s">
        <v>446</v>
      </c>
    </row>
    <row r="1012" spans="1:7" ht="14.5">
      <c r="A1012" s="300" t="s">
        <v>926</v>
      </c>
      <c r="B1012" s="300" t="s">
        <v>4048</v>
      </c>
      <c r="C1012" s="300" t="s">
        <v>4049</v>
      </c>
      <c r="D1012" s="300" t="s">
        <v>4857</v>
      </c>
      <c r="E1012" s="300" t="s">
        <v>1040</v>
      </c>
      <c r="F1012" s="300" t="s">
        <v>4858</v>
      </c>
      <c r="G1012" s="300" t="s">
        <v>446</v>
      </c>
    </row>
    <row r="1013" spans="1:7" ht="14.5">
      <c r="A1013" s="300" t="s">
        <v>926</v>
      </c>
      <c r="B1013" s="300" t="s">
        <v>4052</v>
      </c>
      <c r="C1013" s="300" t="s">
        <v>4053</v>
      </c>
      <c r="D1013" s="300" t="s">
        <v>4857</v>
      </c>
      <c r="E1013" s="300" t="s">
        <v>1040</v>
      </c>
      <c r="F1013" s="300" t="s">
        <v>4858</v>
      </c>
      <c r="G1013" s="300" t="s">
        <v>446</v>
      </c>
    </row>
    <row r="1014" spans="1:7" ht="14.5">
      <c r="A1014" s="300" t="s">
        <v>926</v>
      </c>
      <c r="B1014" s="300" t="s">
        <v>4056</v>
      </c>
      <c r="C1014" s="300" t="s">
        <v>4057</v>
      </c>
      <c r="D1014" s="300" t="s">
        <v>4857</v>
      </c>
      <c r="E1014" s="300" t="s">
        <v>1040</v>
      </c>
      <c r="F1014" s="300" t="s">
        <v>4858</v>
      </c>
      <c r="G1014" s="300" t="s">
        <v>446</v>
      </c>
    </row>
    <row r="1015" spans="1:7" ht="14.5">
      <c r="A1015" s="300" t="s">
        <v>926</v>
      </c>
      <c r="B1015" s="300" t="s">
        <v>4059</v>
      </c>
      <c r="C1015" s="300" t="s">
        <v>4060</v>
      </c>
      <c r="D1015" s="300" t="s">
        <v>4872</v>
      </c>
      <c r="E1015" s="300" t="s">
        <v>448</v>
      </c>
      <c r="F1015" s="300" t="s">
        <v>4858</v>
      </c>
      <c r="G1015" s="300" t="s">
        <v>446</v>
      </c>
    </row>
    <row r="1016" spans="1:7" ht="14.5">
      <c r="A1016" s="300" t="s">
        <v>926</v>
      </c>
      <c r="B1016" s="300" t="s">
        <v>4061</v>
      </c>
      <c r="C1016" s="300" t="s">
        <v>4062</v>
      </c>
      <c r="D1016" s="300" t="s">
        <v>4857</v>
      </c>
      <c r="E1016" s="300" t="s">
        <v>1040</v>
      </c>
      <c r="F1016" s="300" t="s">
        <v>4858</v>
      </c>
      <c r="G1016" s="300" t="s">
        <v>446</v>
      </c>
    </row>
    <row r="1017" spans="1:7" ht="14.5">
      <c r="A1017" s="300" t="s">
        <v>926</v>
      </c>
      <c r="B1017" s="300" t="s">
        <v>4065</v>
      </c>
      <c r="C1017" s="300" t="s">
        <v>4066</v>
      </c>
      <c r="D1017" s="300" t="s">
        <v>4857</v>
      </c>
      <c r="E1017" s="300" t="s">
        <v>1040</v>
      </c>
      <c r="F1017" s="300" t="s">
        <v>4858</v>
      </c>
      <c r="G1017" s="300" t="s">
        <v>446</v>
      </c>
    </row>
    <row r="1018" spans="1:7" ht="14.5">
      <c r="A1018" s="300" t="s">
        <v>926</v>
      </c>
      <c r="B1018" s="300" t="s">
        <v>4069</v>
      </c>
      <c r="C1018" s="300" t="s">
        <v>4070</v>
      </c>
      <c r="D1018" s="300" t="s">
        <v>4857</v>
      </c>
      <c r="E1018" s="300" t="s">
        <v>1040</v>
      </c>
      <c r="F1018" s="300" t="s">
        <v>4858</v>
      </c>
      <c r="G1018" s="300" t="s">
        <v>446</v>
      </c>
    </row>
    <row r="1019" spans="1:7" ht="14.5">
      <c r="A1019" s="300" t="s">
        <v>926</v>
      </c>
      <c r="B1019" s="300" t="s">
        <v>4073</v>
      </c>
      <c r="C1019" s="300" t="s">
        <v>4074</v>
      </c>
      <c r="D1019" s="300" t="s">
        <v>4857</v>
      </c>
      <c r="E1019" s="300" t="s">
        <v>1040</v>
      </c>
      <c r="F1019" s="300" t="s">
        <v>4858</v>
      </c>
      <c r="G1019" s="300" t="s">
        <v>446</v>
      </c>
    </row>
    <row r="1020" spans="1:7" ht="14.5">
      <c r="A1020" s="300" t="s">
        <v>926</v>
      </c>
      <c r="B1020" s="300" t="s">
        <v>4075</v>
      </c>
      <c r="C1020" s="300" t="s">
        <v>4076</v>
      </c>
      <c r="D1020" s="300" t="s">
        <v>4884</v>
      </c>
      <c r="E1020" s="300" t="s">
        <v>4078</v>
      </c>
      <c r="F1020" s="300" t="s">
        <v>4885</v>
      </c>
      <c r="G1020" s="300" t="s">
        <v>447</v>
      </c>
    </row>
    <row r="1021" spans="1:7" ht="14.5">
      <c r="A1021" s="300" t="s">
        <v>926</v>
      </c>
      <c r="B1021" s="300" t="s">
        <v>4079</v>
      </c>
      <c r="C1021" s="300" t="s">
        <v>4080</v>
      </c>
      <c r="D1021" s="300" t="s">
        <v>4884</v>
      </c>
      <c r="E1021" s="300" t="s">
        <v>4078</v>
      </c>
      <c r="F1021" s="300" t="s">
        <v>4885</v>
      </c>
      <c r="G1021" s="300" t="s">
        <v>447</v>
      </c>
    </row>
    <row r="1022" spans="1:7" ht="14.5">
      <c r="A1022" s="300" t="s">
        <v>926</v>
      </c>
      <c r="B1022" s="300" t="s">
        <v>4083</v>
      </c>
      <c r="C1022" s="300" t="s">
        <v>4082</v>
      </c>
      <c r="D1022" s="300" t="s">
        <v>4884</v>
      </c>
      <c r="E1022" s="300" t="s">
        <v>4078</v>
      </c>
      <c r="F1022" s="300" t="s">
        <v>4885</v>
      </c>
      <c r="G1022" s="300" t="s">
        <v>447</v>
      </c>
    </row>
    <row r="1023" spans="1:7" ht="14.5">
      <c r="A1023" s="300" t="s">
        <v>926</v>
      </c>
      <c r="B1023" s="300" t="s">
        <v>4084</v>
      </c>
      <c r="C1023" s="300" t="s">
        <v>4085</v>
      </c>
      <c r="D1023" s="300" t="s">
        <v>4884</v>
      </c>
      <c r="E1023" s="300" t="s">
        <v>4078</v>
      </c>
      <c r="F1023" s="300" t="s">
        <v>4885</v>
      </c>
      <c r="G1023" s="300" t="s">
        <v>447</v>
      </c>
    </row>
    <row r="1024" spans="1:7" ht="14.5">
      <c r="A1024" s="300" t="s">
        <v>926</v>
      </c>
      <c r="B1024" s="300" t="s">
        <v>4087</v>
      </c>
      <c r="C1024" s="300" t="s">
        <v>4088</v>
      </c>
      <c r="D1024" s="300" t="s">
        <v>4884</v>
      </c>
      <c r="E1024" s="300" t="s">
        <v>4078</v>
      </c>
      <c r="F1024" s="300" t="s">
        <v>4885</v>
      </c>
      <c r="G1024" s="300" t="s">
        <v>447</v>
      </c>
    </row>
    <row r="1025" spans="1:7" ht="14.5">
      <c r="A1025" s="300" t="s">
        <v>926</v>
      </c>
      <c r="B1025" s="300" t="s">
        <v>4091</v>
      </c>
      <c r="C1025" s="300" t="s">
        <v>4092</v>
      </c>
      <c r="D1025" s="300" t="s">
        <v>4884</v>
      </c>
      <c r="E1025" s="300" t="s">
        <v>4078</v>
      </c>
      <c r="F1025" s="300" t="s">
        <v>4885</v>
      </c>
      <c r="G1025" s="300" t="s">
        <v>447</v>
      </c>
    </row>
    <row r="1026" spans="1:7" ht="14.5">
      <c r="A1026" s="300" t="s">
        <v>926</v>
      </c>
      <c r="B1026" s="300" t="s">
        <v>4095</v>
      </c>
      <c r="C1026" s="300" t="s">
        <v>4096</v>
      </c>
      <c r="D1026" s="300" t="s">
        <v>4884</v>
      </c>
      <c r="E1026" s="300" t="s">
        <v>4078</v>
      </c>
      <c r="F1026" s="300" t="s">
        <v>4885</v>
      </c>
      <c r="G1026" s="300" t="s">
        <v>447</v>
      </c>
    </row>
    <row r="1027" spans="1:7" ht="14.5">
      <c r="A1027" s="300" t="s">
        <v>926</v>
      </c>
      <c r="B1027" s="300" t="s">
        <v>4099</v>
      </c>
      <c r="C1027" s="300" t="s">
        <v>4100</v>
      </c>
      <c r="D1027" s="300" t="s">
        <v>4884</v>
      </c>
      <c r="E1027" s="300" t="s">
        <v>4078</v>
      </c>
      <c r="F1027" s="300" t="s">
        <v>4885</v>
      </c>
      <c r="G1027" s="300" t="s">
        <v>447</v>
      </c>
    </row>
    <row r="1028" spans="1:7" ht="14.5">
      <c r="A1028" s="300" t="s">
        <v>926</v>
      </c>
      <c r="B1028" s="300" t="s">
        <v>4103</v>
      </c>
      <c r="C1028" s="300" t="s">
        <v>4104</v>
      </c>
      <c r="D1028" s="300" t="s">
        <v>4884</v>
      </c>
      <c r="E1028" s="300" t="s">
        <v>4078</v>
      </c>
      <c r="F1028" s="300" t="s">
        <v>4885</v>
      </c>
      <c r="G1028" s="300" t="s">
        <v>447</v>
      </c>
    </row>
    <row r="1029" spans="1:7" ht="14.5">
      <c r="A1029" s="300" t="s">
        <v>926</v>
      </c>
      <c r="B1029" s="300" t="s">
        <v>4107</v>
      </c>
      <c r="C1029" s="300" t="s">
        <v>4108</v>
      </c>
      <c r="D1029" s="300" t="s">
        <v>4884</v>
      </c>
      <c r="E1029" s="300" t="s">
        <v>4078</v>
      </c>
      <c r="F1029" s="300" t="s">
        <v>4885</v>
      </c>
      <c r="G1029" s="300" t="s">
        <v>447</v>
      </c>
    </row>
    <row r="1030" spans="1:7" ht="14.5">
      <c r="A1030" s="300" t="s">
        <v>926</v>
      </c>
      <c r="B1030" s="300" t="s">
        <v>4110</v>
      </c>
      <c r="C1030" s="300" t="s">
        <v>4111</v>
      </c>
      <c r="D1030" s="300" t="s">
        <v>4884</v>
      </c>
      <c r="E1030" s="300" t="s">
        <v>4078</v>
      </c>
      <c r="F1030" s="300" t="s">
        <v>4885</v>
      </c>
      <c r="G1030" s="300" t="s">
        <v>447</v>
      </c>
    </row>
    <row r="1031" spans="1:7" ht="14.5">
      <c r="A1031" s="300" t="s">
        <v>926</v>
      </c>
      <c r="B1031" s="300" t="s">
        <v>4114</v>
      </c>
      <c r="C1031" s="300" t="s">
        <v>4115</v>
      </c>
      <c r="D1031" s="300" t="s">
        <v>4884</v>
      </c>
      <c r="E1031" s="300" t="s">
        <v>4078</v>
      </c>
      <c r="F1031" s="300" t="s">
        <v>4885</v>
      </c>
      <c r="G1031" s="300" t="s">
        <v>447</v>
      </c>
    </row>
    <row r="1032" spans="1:7" ht="14.5">
      <c r="A1032" s="300" t="s">
        <v>926</v>
      </c>
      <c r="B1032" s="300" t="s">
        <v>4117</v>
      </c>
      <c r="C1032" s="300" t="s">
        <v>4118</v>
      </c>
      <c r="D1032" s="300" t="s">
        <v>4884</v>
      </c>
      <c r="E1032" s="300" t="s">
        <v>4078</v>
      </c>
      <c r="F1032" s="300" t="s">
        <v>4885</v>
      </c>
      <c r="G1032" s="300" t="s">
        <v>447</v>
      </c>
    </row>
    <row r="1033" spans="1:7" ht="14.5">
      <c r="A1033" s="300" t="s">
        <v>926</v>
      </c>
      <c r="B1033" s="300" t="s">
        <v>4121</v>
      </c>
      <c r="C1033" s="300" t="s">
        <v>4122</v>
      </c>
      <c r="D1033" s="300" t="s">
        <v>4884</v>
      </c>
      <c r="E1033" s="300" t="s">
        <v>4078</v>
      </c>
      <c r="F1033" s="300" t="s">
        <v>4885</v>
      </c>
      <c r="G1033" s="300" t="s">
        <v>447</v>
      </c>
    </row>
    <row r="1034" spans="1:7" ht="14.5">
      <c r="A1034" s="300" t="s">
        <v>926</v>
      </c>
      <c r="B1034" s="300" t="s">
        <v>4124</v>
      </c>
      <c r="C1034" s="300" t="s">
        <v>4125</v>
      </c>
      <c r="D1034" s="300" t="s">
        <v>4884</v>
      </c>
      <c r="E1034" s="300" t="s">
        <v>4078</v>
      </c>
      <c r="F1034" s="300" t="s">
        <v>4885</v>
      </c>
      <c r="G1034" s="300" t="s">
        <v>447</v>
      </c>
    </row>
    <row r="1035" spans="1:7" ht="14.5">
      <c r="A1035" s="300" t="s">
        <v>926</v>
      </c>
      <c r="B1035" s="300" t="s">
        <v>4127</v>
      </c>
      <c r="C1035" s="300" t="s">
        <v>4128</v>
      </c>
      <c r="D1035" s="300" t="s">
        <v>4884</v>
      </c>
      <c r="E1035" s="300" t="s">
        <v>4078</v>
      </c>
      <c r="F1035" s="300" t="s">
        <v>4885</v>
      </c>
      <c r="G1035" s="300" t="s">
        <v>447</v>
      </c>
    </row>
    <row r="1036" spans="1:7" ht="14.5">
      <c r="A1036" s="300" t="s">
        <v>926</v>
      </c>
      <c r="B1036" s="300" t="s">
        <v>4130</v>
      </c>
      <c r="C1036" s="300" t="s">
        <v>4131</v>
      </c>
      <c r="D1036" s="300" t="s">
        <v>4884</v>
      </c>
      <c r="E1036" s="300" t="s">
        <v>4078</v>
      </c>
      <c r="F1036" s="300" t="s">
        <v>4885</v>
      </c>
      <c r="G1036" s="300" t="s">
        <v>447</v>
      </c>
    </row>
    <row r="1037" spans="1:7" ht="14.5">
      <c r="A1037" s="300" t="s">
        <v>926</v>
      </c>
      <c r="B1037" s="300" t="s">
        <v>4134</v>
      </c>
      <c r="C1037" s="300" t="s">
        <v>4135</v>
      </c>
      <c r="D1037" s="300" t="s">
        <v>4884</v>
      </c>
      <c r="E1037" s="300" t="s">
        <v>4078</v>
      </c>
      <c r="F1037" s="300" t="s">
        <v>4885</v>
      </c>
      <c r="G1037" s="300" t="s">
        <v>447</v>
      </c>
    </row>
    <row r="1038" spans="1:7" ht="14.5">
      <c r="A1038" s="300" t="s">
        <v>926</v>
      </c>
      <c r="B1038" s="300" t="s">
        <v>4136</v>
      </c>
      <c r="C1038" s="300" t="s">
        <v>4137</v>
      </c>
      <c r="D1038" s="300" t="s">
        <v>4884</v>
      </c>
      <c r="E1038" s="300" t="s">
        <v>4078</v>
      </c>
      <c r="F1038" s="300" t="s">
        <v>4885</v>
      </c>
      <c r="G1038" s="300" t="s">
        <v>447</v>
      </c>
    </row>
    <row r="1039" spans="1:7" ht="14.5">
      <c r="A1039" s="300" t="s">
        <v>926</v>
      </c>
      <c r="B1039" s="300" t="s">
        <v>4138</v>
      </c>
      <c r="C1039" s="300" t="s">
        <v>4139</v>
      </c>
      <c r="D1039" s="300" t="s">
        <v>4884</v>
      </c>
      <c r="E1039" s="300" t="s">
        <v>4078</v>
      </c>
      <c r="F1039" s="300" t="s">
        <v>4885</v>
      </c>
      <c r="G1039" s="300" t="s">
        <v>447</v>
      </c>
    </row>
    <row r="1040" spans="1:7" ht="14.5">
      <c r="A1040" s="300" t="s">
        <v>926</v>
      </c>
      <c r="B1040" s="300" t="s">
        <v>4140</v>
      </c>
      <c r="C1040" s="300" t="s">
        <v>4141</v>
      </c>
      <c r="D1040" s="300" t="s">
        <v>4884</v>
      </c>
      <c r="E1040" s="300" t="s">
        <v>4078</v>
      </c>
      <c r="F1040" s="300" t="s">
        <v>4885</v>
      </c>
      <c r="G1040" s="300" t="s">
        <v>447</v>
      </c>
    </row>
    <row r="1041" spans="1:7" ht="14.5">
      <c r="A1041" s="300" t="s">
        <v>926</v>
      </c>
      <c r="B1041" s="300" t="s">
        <v>4142</v>
      </c>
      <c r="C1041" s="300" t="s">
        <v>4143</v>
      </c>
      <c r="D1041" s="300" t="s">
        <v>4884</v>
      </c>
      <c r="E1041" s="300" t="s">
        <v>4078</v>
      </c>
      <c r="F1041" s="300" t="s">
        <v>4885</v>
      </c>
      <c r="G1041" s="300" t="s">
        <v>447</v>
      </c>
    </row>
    <row r="1042" spans="1:7" ht="14.5">
      <c r="A1042" s="300" t="s">
        <v>926</v>
      </c>
      <c r="B1042" s="300" t="s">
        <v>4144</v>
      </c>
      <c r="C1042" s="300" t="s">
        <v>4145</v>
      </c>
      <c r="D1042" s="300" t="s">
        <v>4884</v>
      </c>
      <c r="E1042" s="300" t="s">
        <v>4078</v>
      </c>
      <c r="F1042" s="300" t="s">
        <v>4885</v>
      </c>
      <c r="G1042" s="300" t="s">
        <v>447</v>
      </c>
    </row>
    <row r="1043" spans="1:7" ht="14.5">
      <c r="A1043" s="300" t="s">
        <v>926</v>
      </c>
      <c r="B1043" s="300" t="s">
        <v>4146</v>
      </c>
      <c r="C1043" s="300" t="s">
        <v>4147</v>
      </c>
      <c r="D1043" s="300" t="s">
        <v>4884</v>
      </c>
      <c r="E1043" s="300" t="s">
        <v>4078</v>
      </c>
      <c r="F1043" s="300" t="s">
        <v>4885</v>
      </c>
      <c r="G1043" s="300" t="s">
        <v>447</v>
      </c>
    </row>
    <row r="1044" spans="1:7" ht="14.5">
      <c r="A1044" s="300" t="s">
        <v>926</v>
      </c>
      <c r="B1044" s="300" t="s">
        <v>4148</v>
      </c>
      <c r="C1044" s="300" t="s">
        <v>4149</v>
      </c>
      <c r="D1044" s="300" t="s">
        <v>4884</v>
      </c>
      <c r="E1044" s="300" t="s">
        <v>4078</v>
      </c>
      <c r="F1044" s="300" t="s">
        <v>4885</v>
      </c>
      <c r="G1044" s="300" t="s">
        <v>447</v>
      </c>
    </row>
    <row r="1045" spans="1:7" ht="14.5">
      <c r="A1045" s="300" t="s">
        <v>926</v>
      </c>
      <c r="B1045" s="300" t="s">
        <v>4150</v>
      </c>
      <c r="C1045" s="300" t="s">
        <v>4151</v>
      </c>
      <c r="D1045" s="300" t="s">
        <v>4884</v>
      </c>
      <c r="E1045" s="300" t="s">
        <v>4078</v>
      </c>
      <c r="F1045" s="300" t="s">
        <v>4885</v>
      </c>
      <c r="G1045" s="300" t="s">
        <v>447</v>
      </c>
    </row>
    <row r="1046" spans="1:7" ht="14.5">
      <c r="A1046" s="300" t="s">
        <v>926</v>
      </c>
      <c r="B1046" s="300" t="s">
        <v>4152</v>
      </c>
      <c r="C1046" s="300" t="s">
        <v>4153</v>
      </c>
      <c r="D1046" s="300" t="s">
        <v>4884</v>
      </c>
      <c r="E1046" s="300" t="s">
        <v>4078</v>
      </c>
      <c r="F1046" s="300" t="s">
        <v>4885</v>
      </c>
      <c r="G1046" s="300" t="s">
        <v>447</v>
      </c>
    </row>
    <row r="1047" spans="1:7" ht="14.5">
      <c r="A1047" s="300" t="s">
        <v>926</v>
      </c>
      <c r="B1047" s="300" t="s">
        <v>4154</v>
      </c>
      <c r="C1047" s="300" t="s">
        <v>4155</v>
      </c>
      <c r="D1047" s="300" t="s">
        <v>4884</v>
      </c>
      <c r="E1047" s="300" t="s">
        <v>4078</v>
      </c>
      <c r="F1047" s="300" t="s">
        <v>4885</v>
      </c>
      <c r="G1047" s="300" t="s">
        <v>447</v>
      </c>
    </row>
    <row r="1048" spans="1:7" ht="14.5">
      <c r="A1048" s="300" t="s">
        <v>926</v>
      </c>
      <c r="B1048" s="300" t="s">
        <v>4156</v>
      </c>
      <c r="C1048" s="300" t="s">
        <v>4157</v>
      </c>
      <c r="D1048" s="300" t="s">
        <v>4872</v>
      </c>
      <c r="E1048" s="300" t="s">
        <v>448</v>
      </c>
      <c r="F1048" s="300" t="s">
        <v>4858</v>
      </c>
      <c r="G1048" s="300" t="s">
        <v>446</v>
      </c>
    </row>
    <row r="1049" spans="1:7" ht="14.5">
      <c r="A1049" s="300" t="s">
        <v>926</v>
      </c>
      <c r="B1049" s="300" t="s">
        <v>4158</v>
      </c>
      <c r="C1049" s="300" t="s">
        <v>4159</v>
      </c>
      <c r="D1049" s="300" t="s">
        <v>4884</v>
      </c>
      <c r="E1049" s="300" t="s">
        <v>4078</v>
      </c>
      <c r="F1049" s="300" t="s">
        <v>4885</v>
      </c>
      <c r="G1049" s="300" t="s">
        <v>447</v>
      </c>
    </row>
    <row r="1050" spans="1:7" ht="14.5">
      <c r="A1050" s="300" t="s">
        <v>926</v>
      </c>
      <c r="B1050" s="300" t="s">
        <v>4160</v>
      </c>
      <c r="C1050" s="300" t="s">
        <v>4161</v>
      </c>
      <c r="D1050" s="300" t="s">
        <v>4884</v>
      </c>
      <c r="E1050" s="300" t="s">
        <v>4078</v>
      </c>
      <c r="F1050" s="300" t="s">
        <v>4885</v>
      </c>
      <c r="G1050" s="300" t="s">
        <v>447</v>
      </c>
    </row>
    <row r="1051" spans="1:7" ht="14.5">
      <c r="A1051" s="300" t="s">
        <v>926</v>
      </c>
      <c r="B1051" s="300" t="s">
        <v>4162</v>
      </c>
      <c r="C1051" s="300" t="s">
        <v>4163</v>
      </c>
      <c r="D1051" s="300" t="s">
        <v>4884</v>
      </c>
      <c r="E1051" s="300" t="s">
        <v>4078</v>
      </c>
      <c r="F1051" s="300" t="s">
        <v>4885</v>
      </c>
      <c r="G1051" s="300" t="s">
        <v>447</v>
      </c>
    </row>
    <row r="1052" spans="1:7" ht="14.5">
      <c r="A1052" s="300" t="s">
        <v>926</v>
      </c>
      <c r="B1052" s="300" t="s">
        <v>4164</v>
      </c>
      <c r="C1052" s="300" t="s">
        <v>4165</v>
      </c>
      <c r="D1052" s="300" t="s">
        <v>4884</v>
      </c>
      <c r="E1052" s="300" t="s">
        <v>4078</v>
      </c>
      <c r="F1052" s="300" t="s">
        <v>4885</v>
      </c>
      <c r="G1052" s="300" t="s">
        <v>447</v>
      </c>
    </row>
    <row r="1053" spans="1:7" ht="14.5">
      <c r="A1053" s="300" t="s">
        <v>926</v>
      </c>
      <c r="B1053" s="300" t="s">
        <v>4166</v>
      </c>
      <c r="C1053" s="300" t="s">
        <v>4167</v>
      </c>
      <c r="D1053" s="300" t="s">
        <v>4884</v>
      </c>
      <c r="E1053" s="300" t="s">
        <v>4078</v>
      </c>
      <c r="F1053" s="300" t="s">
        <v>4885</v>
      </c>
      <c r="G1053" s="300" t="s">
        <v>447</v>
      </c>
    </row>
    <row r="1054" spans="1:7" ht="14.5">
      <c r="A1054" s="300" t="s">
        <v>926</v>
      </c>
      <c r="B1054" s="300" t="s">
        <v>4168</v>
      </c>
      <c r="C1054" s="300" t="s">
        <v>4169</v>
      </c>
      <c r="D1054" s="300" t="s">
        <v>4884</v>
      </c>
      <c r="E1054" s="300" t="s">
        <v>4078</v>
      </c>
      <c r="F1054" s="300" t="s">
        <v>4885</v>
      </c>
      <c r="G1054" s="300" t="s">
        <v>447</v>
      </c>
    </row>
    <row r="1055" spans="1:7" ht="14.5">
      <c r="A1055" s="300" t="s">
        <v>926</v>
      </c>
      <c r="B1055" s="300" t="s">
        <v>4171</v>
      </c>
      <c r="C1055" s="300" t="s">
        <v>4085</v>
      </c>
      <c r="D1055" s="300" t="s">
        <v>4884</v>
      </c>
      <c r="E1055" s="300" t="s">
        <v>4078</v>
      </c>
      <c r="F1055" s="300" t="s">
        <v>4885</v>
      </c>
      <c r="G1055" s="300" t="s">
        <v>447</v>
      </c>
    </row>
    <row r="1056" spans="1:7" ht="14.5">
      <c r="A1056" s="300" t="s">
        <v>926</v>
      </c>
      <c r="B1056" s="300" t="s">
        <v>4173</v>
      </c>
      <c r="C1056" s="300" t="s">
        <v>4088</v>
      </c>
      <c r="D1056" s="300" t="s">
        <v>4884</v>
      </c>
      <c r="E1056" s="300" t="s">
        <v>4078</v>
      </c>
      <c r="F1056" s="300" t="s">
        <v>4885</v>
      </c>
      <c r="G1056" s="300" t="s">
        <v>447</v>
      </c>
    </row>
    <row r="1057" spans="1:7" ht="14.5">
      <c r="A1057" s="300" t="s">
        <v>926</v>
      </c>
      <c r="B1057" s="300" t="s">
        <v>4176</v>
      </c>
      <c r="C1057" s="300" t="s">
        <v>4092</v>
      </c>
      <c r="D1057" s="300" t="s">
        <v>4884</v>
      </c>
      <c r="E1057" s="300" t="s">
        <v>4078</v>
      </c>
      <c r="F1057" s="300" t="s">
        <v>4885</v>
      </c>
      <c r="G1057" s="300" t="s">
        <v>447</v>
      </c>
    </row>
    <row r="1058" spans="1:7" ht="14.5">
      <c r="A1058" s="300" t="s">
        <v>926</v>
      </c>
      <c r="B1058" s="300" t="s">
        <v>4179</v>
      </c>
      <c r="C1058" s="300" t="s">
        <v>4096</v>
      </c>
      <c r="D1058" s="300" t="s">
        <v>4884</v>
      </c>
      <c r="E1058" s="300" t="s">
        <v>4078</v>
      </c>
      <c r="F1058" s="300" t="s">
        <v>4885</v>
      </c>
      <c r="G1058" s="300" t="s">
        <v>447</v>
      </c>
    </row>
    <row r="1059" spans="1:7" ht="14.5">
      <c r="A1059" s="300" t="s">
        <v>926</v>
      </c>
      <c r="B1059" s="300" t="s">
        <v>4182</v>
      </c>
      <c r="C1059" s="300" t="s">
        <v>4183</v>
      </c>
      <c r="D1059" s="300" t="s">
        <v>4884</v>
      </c>
      <c r="E1059" s="300" t="s">
        <v>4078</v>
      </c>
      <c r="F1059" s="300" t="s">
        <v>4885</v>
      </c>
      <c r="G1059" s="300" t="s">
        <v>447</v>
      </c>
    </row>
    <row r="1060" spans="1:7" ht="14.5">
      <c r="A1060" s="300" t="s">
        <v>926</v>
      </c>
      <c r="B1060" s="300" t="s">
        <v>4186</v>
      </c>
      <c r="C1060" s="300" t="s">
        <v>4100</v>
      </c>
      <c r="D1060" s="300" t="s">
        <v>4884</v>
      </c>
      <c r="E1060" s="300" t="s">
        <v>4078</v>
      </c>
      <c r="F1060" s="300" t="s">
        <v>4885</v>
      </c>
      <c r="G1060" s="300" t="s">
        <v>447</v>
      </c>
    </row>
    <row r="1061" spans="1:7" ht="14.5">
      <c r="A1061" s="300" t="s">
        <v>926</v>
      </c>
      <c r="B1061" s="300" t="s">
        <v>4189</v>
      </c>
      <c r="C1061" s="300" t="s">
        <v>4104</v>
      </c>
      <c r="D1061" s="300" t="s">
        <v>4884</v>
      </c>
      <c r="E1061" s="300" t="s">
        <v>4078</v>
      </c>
      <c r="F1061" s="300" t="s">
        <v>4885</v>
      </c>
      <c r="G1061" s="300" t="s">
        <v>447</v>
      </c>
    </row>
    <row r="1062" spans="1:7" ht="14.5">
      <c r="A1062" s="300" t="s">
        <v>926</v>
      </c>
      <c r="B1062" s="300" t="s">
        <v>4192</v>
      </c>
      <c r="C1062" s="300" t="s">
        <v>4193</v>
      </c>
      <c r="D1062" s="300" t="s">
        <v>4884</v>
      </c>
      <c r="E1062" s="300" t="s">
        <v>4078</v>
      </c>
      <c r="F1062" s="300" t="s">
        <v>4885</v>
      </c>
      <c r="G1062" s="300" t="s">
        <v>447</v>
      </c>
    </row>
    <row r="1063" spans="1:7" ht="14.5">
      <c r="A1063" s="300" t="s">
        <v>926</v>
      </c>
      <c r="B1063" s="300" t="s">
        <v>4196</v>
      </c>
      <c r="C1063" s="300" t="s">
        <v>4111</v>
      </c>
      <c r="D1063" s="300" t="s">
        <v>4884</v>
      </c>
      <c r="E1063" s="300" t="s">
        <v>4078</v>
      </c>
      <c r="F1063" s="300" t="s">
        <v>4885</v>
      </c>
      <c r="G1063" s="300" t="s">
        <v>447</v>
      </c>
    </row>
    <row r="1064" spans="1:7" ht="14.5">
      <c r="A1064" s="300" t="s">
        <v>926</v>
      </c>
      <c r="B1064" s="300" t="s">
        <v>4197</v>
      </c>
      <c r="C1064" s="300" t="s">
        <v>4131</v>
      </c>
      <c r="D1064" s="300" t="s">
        <v>4884</v>
      </c>
      <c r="E1064" s="300" t="s">
        <v>4078</v>
      </c>
      <c r="F1064" s="300" t="s">
        <v>4885</v>
      </c>
      <c r="G1064" s="300" t="s">
        <v>447</v>
      </c>
    </row>
    <row r="1065" spans="1:7" ht="14.5">
      <c r="A1065" s="300" t="s">
        <v>926</v>
      </c>
      <c r="B1065" s="300" t="s">
        <v>4200</v>
      </c>
      <c r="C1065" s="300" t="s">
        <v>4135</v>
      </c>
      <c r="D1065" s="300" t="s">
        <v>4884</v>
      </c>
      <c r="E1065" s="300" t="s">
        <v>4078</v>
      </c>
      <c r="F1065" s="300" t="s">
        <v>4885</v>
      </c>
      <c r="G1065" s="300" t="s">
        <v>447</v>
      </c>
    </row>
    <row r="1066" spans="1:7" ht="14.5">
      <c r="A1066" s="300" t="s">
        <v>926</v>
      </c>
      <c r="B1066" s="300" t="s">
        <v>4201</v>
      </c>
      <c r="C1066" s="300" t="s">
        <v>4137</v>
      </c>
      <c r="D1066" s="300" t="s">
        <v>4884</v>
      </c>
      <c r="E1066" s="300" t="s">
        <v>4078</v>
      </c>
      <c r="F1066" s="300" t="s">
        <v>4885</v>
      </c>
      <c r="G1066" s="300" t="s">
        <v>447</v>
      </c>
    </row>
    <row r="1067" spans="1:7" ht="14.5">
      <c r="A1067" s="300" t="s">
        <v>926</v>
      </c>
      <c r="B1067" s="300" t="s">
        <v>4202</v>
      </c>
      <c r="C1067" s="300" t="s">
        <v>4139</v>
      </c>
      <c r="D1067" s="300" t="s">
        <v>4884</v>
      </c>
      <c r="E1067" s="300" t="s">
        <v>4078</v>
      </c>
      <c r="F1067" s="300" t="s">
        <v>4885</v>
      </c>
      <c r="G1067" s="300" t="s">
        <v>447</v>
      </c>
    </row>
    <row r="1068" spans="1:7" ht="14.5">
      <c r="A1068" s="300" t="s">
        <v>926</v>
      </c>
      <c r="B1068" s="300" t="s">
        <v>4203</v>
      </c>
      <c r="C1068" s="300" t="s">
        <v>4141</v>
      </c>
      <c r="D1068" s="300" t="s">
        <v>4884</v>
      </c>
      <c r="E1068" s="300" t="s">
        <v>4078</v>
      </c>
      <c r="F1068" s="300" t="s">
        <v>4885</v>
      </c>
      <c r="G1068" s="300" t="s">
        <v>447</v>
      </c>
    </row>
    <row r="1069" spans="1:7" ht="14.5">
      <c r="A1069" s="300" t="s">
        <v>926</v>
      </c>
      <c r="B1069" s="300" t="s">
        <v>4204</v>
      </c>
      <c r="C1069" s="300" t="s">
        <v>4143</v>
      </c>
      <c r="D1069" s="300" t="s">
        <v>4884</v>
      </c>
      <c r="E1069" s="300" t="s">
        <v>4078</v>
      </c>
      <c r="F1069" s="300" t="s">
        <v>4885</v>
      </c>
      <c r="G1069" s="300" t="s">
        <v>447</v>
      </c>
    </row>
    <row r="1070" spans="1:7" ht="14.5">
      <c r="A1070" s="300" t="s">
        <v>926</v>
      </c>
      <c r="B1070" s="300" t="s">
        <v>4205</v>
      </c>
      <c r="C1070" s="300" t="s">
        <v>4145</v>
      </c>
      <c r="D1070" s="300" t="s">
        <v>4884</v>
      </c>
      <c r="E1070" s="300" t="s">
        <v>4078</v>
      </c>
      <c r="F1070" s="300" t="s">
        <v>4885</v>
      </c>
      <c r="G1070" s="300" t="s">
        <v>447</v>
      </c>
    </row>
    <row r="1071" spans="1:7" ht="14.5">
      <c r="A1071" s="300" t="s">
        <v>926</v>
      </c>
      <c r="B1071" s="300" t="s">
        <v>4206</v>
      </c>
      <c r="C1071" s="300" t="s">
        <v>4147</v>
      </c>
      <c r="D1071" s="300" t="s">
        <v>4884</v>
      </c>
      <c r="E1071" s="300" t="s">
        <v>4078</v>
      </c>
      <c r="F1071" s="300" t="s">
        <v>4885</v>
      </c>
      <c r="G1071" s="300" t="s">
        <v>447</v>
      </c>
    </row>
    <row r="1072" spans="1:7" ht="14.5">
      <c r="A1072" s="300" t="s">
        <v>926</v>
      </c>
      <c r="B1072" s="300" t="s">
        <v>4207</v>
      </c>
      <c r="C1072" s="300" t="s">
        <v>4149</v>
      </c>
      <c r="D1072" s="300" t="s">
        <v>4884</v>
      </c>
      <c r="E1072" s="300" t="s">
        <v>4078</v>
      </c>
      <c r="F1072" s="300" t="s">
        <v>4885</v>
      </c>
      <c r="G1072" s="300" t="s">
        <v>447</v>
      </c>
    </row>
    <row r="1073" spans="1:7" ht="14.5">
      <c r="A1073" s="300" t="s">
        <v>926</v>
      </c>
      <c r="B1073" s="300" t="s">
        <v>4208</v>
      </c>
      <c r="C1073" s="300" t="s">
        <v>4151</v>
      </c>
      <c r="D1073" s="300" t="s">
        <v>4884</v>
      </c>
      <c r="E1073" s="300" t="s">
        <v>4078</v>
      </c>
      <c r="F1073" s="300" t="s">
        <v>4885</v>
      </c>
      <c r="G1073" s="300" t="s">
        <v>447</v>
      </c>
    </row>
    <row r="1074" spans="1:7" ht="14.5">
      <c r="A1074" s="300" t="s">
        <v>926</v>
      </c>
      <c r="B1074" s="300" t="s">
        <v>4209</v>
      </c>
      <c r="C1074" s="300" t="s">
        <v>4153</v>
      </c>
      <c r="D1074" s="300" t="s">
        <v>4884</v>
      </c>
      <c r="E1074" s="300" t="s">
        <v>4078</v>
      </c>
      <c r="F1074" s="300" t="s">
        <v>4885</v>
      </c>
      <c r="G1074" s="300" t="s">
        <v>447</v>
      </c>
    </row>
    <row r="1075" spans="1:7" ht="14.5">
      <c r="A1075" s="300" t="s">
        <v>926</v>
      </c>
      <c r="B1075" s="300" t="s">
        <v>4210</v>
      </c>
      <c r="C1075" s="300" t="s">
        <v>4155</v>
      </c>
      <c r="D1075" s="300" t="s">
        <v>4884</v>
      </c>
      <c r="E1075" s="300" t="s">
        <v>4078</v>
      </c>
      <c r="F1075" s="300" t="s">
        <v>4885</v>
      </c>
      <c r="G1075" s="300" t="s">
        <v>447</v>
      </c>
    </row>
    <row r="1076" spans="1:7" ht="14.5">
      <c r="A1076" s="300" t="s">
        <v>926</v>
      </c>
      <c r="B1076" s="300" t="s">
        <v>4211</v>
      </c>
      <c r="C1076" s="300" t="s">
        <v>4157</v>
      </c>
      <c r="D1076" s="300" t="s">
        <v>4884</v>
      </c>
      <c r="E1076" s="300" t="s">
        <v>4078</v>
      </c>
      <c r="F1076" s="300" t="s">
        <v>4885</v>
      </c>
      <c r="G1076" s="300" t="s">
        <v>447</v>
      </c>
    </row>
    <row r="1077" spans="1:7" ht="14.5">
      <c r="A1077" s="300" t="s">
        <v>926</v>
      </c>
      <c r="B1077" s="300" t="s">
        <v>4212</v>
      </c>
      <c r="C1077" s="300" t="s">
        <v>4159</v>
      </c>
      <c r="D1077" s="300" t="s">
        <v>4884</v>
      </c>
      <c r="E1077" s="300" t="s">
        <v>4078</v>
      </c>
      <c r="F1077" s="300" t="s">
        <v>4885</v>
      </c>
      <c r="G1077" s="300" t="s">
        <v>447</v>
      </c>
    </row>
    <row r="1078" spans="1:7" ht="14.5">
      <c r="A1078" s="300" t="s">
        <v>926</v>
      </c>
      <c r="B1078" s="300" t="s">
        <v>4213</v>
      </c>
      <c r="C1078" s="300" t="s">
        <v>4161</v>
      </c>
      <c r="D1078" s="300" t="s">
        <v>4884</v>
      </c>
      <c r="E1078" s="300" t="s">
        <v>4078</v>
      </c>
      <c r="F1078" s="300" t="s">
        <v>4885</v>
      </c>
      <c r="G1078" s="300" t="s">
        <v>447</v>
      </c>
    </row>
    <row r="1079" spans="1:7" ht="14.5">
      <c r="A1079" s="300" t="s">
        <v>926</v>
      </c>
      <c r="B1079" s="300" t="s">
        <v>4214</v>
      </c>
      <c r="C1079" s="300" t="s">
        <v>4163</v>
      </c>
      <c r="D1079" s="300" t="s">
        <v>4884</v>
      </c>
      <c r="E1079" s="300" t="s">
        <v>4078</v>
      </c>
      <c r="F1079" s="300" t="s">
        <v>4885</v>
      </c>
      <c r="G1079" s="300" t="s">
        <v>447</v>
      </c>
    </row>
    <row r="1080" spans="1:7" ht="14.5">
      <c r="A1080" s="300" t="s">
        <v>926</v>
      </c>
      <c r="B1080" s="300" t="s">
        <v>4215</v>
      </c>
      <c r="C1080" s="300" t="s">
        <v>4216</v>
      </c>
      <c r="D1080" s="300" t="s">
        <v>4884</v>
      </c>
      <c r="E1080" s="300" t="s">
        <v>4078</v>
      </c>
      <c r="F1080" s="300" t="s">
        <v>4885</v>
      </c>
      <c r="G1080" s="300" t="s">
        <v>447</v>
      </c>
    </row>
    <row r="1081" spans="1:7" ht="14.5">
      <c r="A1081" s="300" t="s">
        <v>926</v>
      </c>
      <c r="B1081" s="300" t="s">
        <v>4217</v>
      </c>
      <c r="C1081" s="300" t="s">
        <v>4167</v>
      </c>
      <c r="D1081" s="300" t="s">
        <v>4884</v>
      </c>
      <c r="E1081" s="300" t="s">
        <v>4078</v>
      </c>
      <c r="F1081" s="300" t="s">
        <v>4885</v>
      </c>
      <c r="G1081" s="300" t="s">
        <v>447</v>
      </c>
    </row>
    <row r="1082" spans="1:7" ht="14.5">
      <c r="A1082" s="300" t="s">
        <v>926</v>
      </c>
      <c r="B1082" s="300" t="s">
        <v>4218</v>
      </c>
      <c r="C1082" s="300" t="s">
        <v>4219</v>
      </c>
      <c r="D1082" s="300" t="s">
        <v>4884</v>
      </c>
      <c r="E1082" s="300" t="s">
        <v>4078</v>
      </c>
      <c r="F1082" s="300" t="s">
        <v>4885</v>
      </c>
      <c r="G1082" s="300" t="s">
        <v>447</v>
      </c>
    </row>
    <row r="1083" spans="1:7" ht="14.5">
      <c r="A1083" s="300" t="s">
        <v>926</v>
      </c>
      <c r="B1083" s="300" t="s">
        <v>4221</v>
      </c>
      <c r="C1083" s="300" t="s">
        <v>4085</v>
      </c>
      <c r="D1083" s="300" t="s">
        <v>4884</v>
      </c>
      <c r="E1083" s="300" t="s">
        <v>4078</v>
      </c>
      <c r="F1083" s="300" t="s">
        <v>4885</v>
      </c>
      <c r="G1083" s="300" t="s">
        <v>447</v>
      </c>
    </row>
    <row r="1084" spans="1:7" ht="14.5">
      <c r="A1084" s="300" t="s">
        <v>926</v>
      </c>
      <c r="B1084" s="300" t="s">
        <v>4223</v>
      </c>
      <c r="C1084" s="300" t="s">
        <v>4224</v>
      </c>
      <c r="D1084" s="300" t="s">
        <v>4884</v>
      </c>
      <c r="E1084" s="300" t="s">
        <v>4078</v>
      </c>
      <c r="F1084" s="300" t="s">
        <v>4885</v>
      </c>
      <c r="G1084" s="300" t="s">
        <v>447</v>
      </c>
    </row>
    <row r="1085" spans="1:7" ht="14.5">
      <c r="A1085" s="300" t="s">
        <v>926</v>
      </c>
      <c r="B1085" s="300" t="s">
        <v>4227</v>
      </c>
      <c r="C1085" s="300" t="s">
        <v>4096</v>
      </c>
      <c r="D1085" s="300" t="s">
        <v>4884</v>
      </c>
      <c r="E1085" s="300" t="s">
        <v>4078</v>
      </c>
      <c r="F1085" s="300" t="s">
        <v>4885</v>
      </c>
      <c r="G1085" s="300" t="s">
        <v>447</v>
      </c>
    </row>
    <row r="1086" spans="1:7" ht="14.5">
      <c r="A1086" s="300" t="s">
        <v>926</v>
      </c>
      <c r="B1086" s="300" t="s">
        <v>4230</v>
      </c>
      <c r="C1086" s="300" t="s">
        <v>4183</v>
      </c>
      <c r="D1086" s="300" t="s">
        <v>4884</v>
      </c>
      <c r="E1086" s="300" t="s">
        <v>4078</v>
      </c>
      <c r="F1086" s="300" t="s">
        <v>4885</v>
      </c>
      <c r="G1086" s="300" t="s">
        <v>447</v>
      </c>
    </row>
    <row r="1087" spans="1:7" ht="14.5">
      <c r="A1087" s="300" t="s">
        <v>926</v>
      </c>
      <c r="B1087" s="300" t="s">
        <v>4233</v>
      </c>
      <c r="C1087" s="300" t="s">
        <v>4100</v>
      </c>
      <c r="D1087" s="300" t="s">
        <v>4884</v>
      </c>
      <c r="E1087" s="300" t="s">
        <v>4078</v>
      </c>
      <c r="F1087" s="300" t="s">
        <v>4885</v>
      </c>
      <c r="G1087" s="300" t="s">
        <v>447</v>
      </c>
    </row>
    <row r="1088" spans="1:7" ht="14.5">
      <c r="A1088" s="300" t="s">
        <v>926</v>
      </c>
      <c r="B1088" s="300" t="s">
        <v>4236</v>
      </c>
      <c r="C1088" s="300" t="s">
        <v>4104</v>
      </c>
      <c r="D1088" s="300" t="s">
        <v>4884</v>
      </c>
      <c r="E1088" s="300" t="s">
        <v>4078</v>
      </c>
      <c r="F1088" s="300" t="s">
        <v>4885</v>
      </c>
      <c r="G1088" s="300" t="s">
        <v>447</v>
      </c>
    </row>
    <row r="1089" spans="1:7" ht="14.5">
      <c r="A1089" s="300" t="s">
        <v>926</v>
      </c>
      <c r="B1089" s="300" t="s">
        <v>4239</v>
      </c>
      <c r="C1089" s="300" t="s">
        <v>4240</v>
      </c>
      <c r="D1089" s="300" t="s">
        <v>4884</v>
      </c>
      <c r="E1089" s="300" t="s">
        <v>4078</v>
      </c>
      <c r="F1089" s="300" t="s">
        <v>4885</v>
      </c>
      <c r="G1089" s="300" t="s">
        <v>447</v>
      </c>
    </row>
    <row r="1090" spans="1:7" ht="14.5">
      <c r="A1090" s="300" t="s">
        <v>926</v>
      </c>
      <c r="B1090" s="300" t="s">
        <v>4241</v>
      </c>
      <c r="C1090" s="300" t="s">
        <v>4135</v>
      </c>
      <c r="D1090" s="300" t="s">
        <v>4884</v>
      </c>
      <c r="E1090" s="300" t="s">
        <v>4078</v>
      </c>
      <c r="F1090" s="300" t="s">
        <v>4885</v>
      </c>
      <c r="G1090" s="300" t="s">
        <v>447</v>
      </c>
    </row>
    <row r="1091" spans="1:7" ht="14.5">
      <c r="A1091" s="300" t="s">
        <v>926</v>
      </c>
      <c r="B1091" s="300" t="s">
        <v>4244</v>
      </c>
      <c r="C1091" s="300" t="s">
        <v>4137</v>
      </c>
      <c r="D1091" s="300" t="s">
        <v>4884</v>
      </c>
      <c r="E1091" s="300" t="s">
        <v>4078</v>
      </c>
      <c r="F1091" s="300" t="s">
        <v>4885</v>
      </c>
      <c r="G1091" s="300" t="s">
        <v>447</v>
      </c>
    </row>
    <row r="1092" spans="1:7" ht="14.5">
      <c r="A1092" s="300" t="s">
        <v>926</v>
      </c>
      <c r="B1092" s="300" t="s">
        <v>4245</v>
      </c>
      <c r="C1092" s="300" t="s">
        <v>4139</v>
      </c>
      <c r="D1092" s="300" t="s">
        <v>4884</v>
      </c>
      <c r="E1092" s="300" t="s">
        <v>4078</v>
      </c>
      <c r="F1092" s="300" t="s">
        <v>4885</v>
      </c>
      <c r="G1092" s="300" t="s">
        <v>447</v>
      </c>
    </row>
    <row r="1093" spans="1:7" ht="14.5">
      <c r="A1093" s="300" t="s">
        <v>926</v>
      </c>
      <c r="B1093" s="300" t="s">
        <v>4246</v>
      </c>
      <c r="C1093" s="300" t="s">
        <v>4141</v>
      </c>
      <c r="D1093" s="300" t="s">
        <v>4884</v>
      </c>
      <c r="E1093" s="300" t="s">
        <v>4078</v>
      </c>
      <c r="F1093" s="300" t="s">
        <v>4885</v>
      </c>
      <c r="G1093" s="300" t="s">
        <v>447</v>
      </c>
    </row>
    <row r="1094" spans="1:7" ht="14.5">
      <c r="A1094" s="300" t="s">
        <v>926</v>
      </c>
      <c r="B1094" s="300" t="s">
        <v>4247</v>
      </c>
      <c r="C1094" s="300" t="s">
        <v>4143</v>
      </c>
      <c r="D1094" s="300" t="s">
        <v>4884</v>
      </c>
      <c r="E1094" s="300" t="s">
        <v>4078</v>
      </c>
      <c r="F1094" s="300" t="s">
        <v>4885</v>
      </c>
      <c r="G1094" s="300" t="s">
        <v>447</v>
      </c>
    </row>
    <row r="1095" spans="1:7" ht="14.5">
      <c r="A1095" s="300" t="s">
        <v>926</v>
      </c>
      <c r="B1095" s="300" t="s">
        <v>4248</v>
      </c>
      <c r="C1095" s="300" t="s">
        <v>4145</v>
      </c>
      <c r="D1095" s="300" t="s">
        <v>4884</v>
      </c>
      <c r="E1095" s="300" t="s">
        <v>4078</v>
      </c>
      <c r="F1095" s="300" t="s">
        <v>4885</v>
      </c>
      <c r="G1095" s="300" t="s">
        <v>447</v>
      </c>
    </row>
    <row r="1096" spans="1:7" ht="14.5">
      <c r="A1096" s="300" t="s">
        <v>926</v>
      </c>
      <c r="B1096" s="300" t="s">
        <v>4249</v>
      </c>
      <c r="C1096" s="300" t="s">
        <v>4147</v>
      </c>
      <c r="D1096" s="300" t="s">
        <v>4884</v>
      </c>
      <c r="E1096" s="300" t="s">
        <v>4078</v>
      </c>
      <c r="F1096" s="300" t="s">
        <v>4885</v>
      </c>
      <c r="G1096" s="300" t="s">
        <v>447</v>
      </c>
    </row>
    <row r="1097" spans="1:7" ht="14.5">
      <c r="A1097" s="300" t="s">
        <v>926</v>
      </c>
      <c r="B1097" s="300" t="s">
        <v>4250</v>
      </c>
      <c r="C1097" s="300" t="s">
        <v>4149</v>
      </c>
      <c r="D1097" s="300" t="s">
        <v>4884</v>
      </c>
      <c r="E1097" s="300" t="s">
        <v>4078</v>
      </c>
      <c r="F1097" s="300" t="s">
        <v>4885</v>
      </c>
      <c r="G1097" s="300" t="s">
        <v>447</v>
      </c>
    </row>
    <row r="1098" spans="1:7" ht="14.5">
      <c r="A1098" s="300" t="s">
        <v>926</v>
      </c>
      <c r="B1098" s="300" t="s">
        <v>4251</v>
      </c>
      <c r="C1098" s="300" t="s">
        <v>4151</v>
      </c>
      <c r="D1098" s="300" t="s">
        <v>4884</v>
      </c>
      <c r="E1098" s="300" t="s">
        <v>4078</v>
      </c>
      <c r="F1098" s="300" t="s">
        <v>4885</v>
      </c>
      <c r="G1098" s="300" t="s">
        <v>447</v>
      </c>
    </row>
    <row r="1099" spans="1:7" ht="14.5">
      <c r="A1099" s="300" t="s">
        <v>926</v>
      </c>
      <c r="B1099" s="300" t="s">
        <v>4252</v>
      </c>
      <c r="C1099" s="300" t="s">
        <v>4153</v>
      </c>
      <c r="D1099" s="300" t="s">
        <v>4884</v>
      </c>
      <c r="E1099" s="300" t="s">
        <v>4078</v>
      </c>
      <c r="F1099" s="300" t="s">
        <v>4885</v>
      </c>
      <c r="G1099" s="300" t="s">
        <v>447</v>
      </c>
    </row>
    <row r="1100" spans="1:7" ht="14.5">
      <c r="A1100" s="300" t="s">
        <v>926</v>
      </c>
      <c r="B1100" s="300" t="s">
        <v>4253</v>
      </c>
      <c r="C1100" s="300" t="s">
        <v>4155</v>
      </c>
      <c r="D1100" s="300" t="s">
        <v>4884</v>
      </c>
      <c r="E1100" s="300" t="s">
        <v>4078</v>
      </c>
      <c r="F1100" s="300" t="s">
        <v>4885</v>
      </c>
      <c r="G1100" s="300" t="s">
        <v>447</v>
      </c>
    </row>
    <row r="1101" spans="1:7" ht="14.5">
      <c r="A1101" s="300" t="s">
        <v>926</v>
      </c>
      <c r="B1101" s="300" t="s">
        <v>4254</v>
      </c>
      <c r="C1101" s="300" t="s">
        <v>4255</v>
      </c>
      <c r="D1101" s="300" t="s">
        <v>4884</v>
      </c>
      <c r="E1101" s="300" t="s">
        <v>4078</v>
      </c>
      <c r="F1101" s="300" t="s">
        <v>4885</v>
      </c>
      <c r="G1101" s="300" t="s">
        <v>447</v>
      </c>
    </row>
    <row r="1102" spans="1:7" ht="14.5">
      <c r="A1102" s="300" t="s">
        <v>926</v>
      </c>
      <c r="B1102" s="300" t="s">
        <v>4256</v>
      </c>
      <c r="C1102" s="300" t="s">
        <v>4159</v>
      </c>
      <c r="D1102" s="300" t="s">
        <v>4884</v>
      </c>
      <c r="E1102" s="300" t="s">
        <v>4078</v>
      </c>
      <c r="F1102" s="300" t="s">
        <v>4885</v>
      </c>
      <c r="G1102" s="300" t="s">
        <v>447</v>
      </c>
    </row>
    <row r="1103" spans="1:7" ht="14.5">
      <c r="A1103" s="300" t="s">
        <v>926</v>
      </c>
      <c r="B1103" s="300" t="s">
        <v>4257</v>
      </c>
      <c r="C1103" s="300" t="s">
        <v>4161</v>
      </c>
      <c r="D1103" s="300" t="s">
        <v>4884</v>
      </c>
      <c r="E1103" s="300" t="s">
        <v>4078</v>
      </c>
      <c r="F1103" s="300" t="s">
        <v>4885</v>
      </c>
      <c r="G1103" s="300" t="s">
        <v>447</v>
      </c>
    </row>
    <row r="1104" spans="1:7" ht="14.5">
      <c r="A1104" s="300" t="s">
        <v>926</v>
      </c>
      <c r="B1104" s="300" t="s">
        <v>4258</v>
      </c>
      <c r="C1104" s="300" t="s">
        <v>4163</v>
      </c>
      <c r="D1104" s="300" t="s">
        <v>4884</v>
      </c>
      <c r="E1104" s="300" t="s">
        <v>4078</v>
      </c>
      <c r="F1104" s="300" t="s">
        <v>4885</v>
      </c>
      <c r="G1104" s="300" t="s">
        <v>447</v>
      </c>
    </row>
    <row r="1105" spans="1:7" ht="14.5">
      <c r="A1105" s="300" t="s">
        <v>926</v>
      </c>
      <c r="B1105" s="300" t="s">
        <v>4259</v>
      </c>
      <c r="C1105" s="300" t="s">
        <v>4216</v>
      </c>
      <c r="D1105" s="300" t="s">
        <v>4884</v>
      </c>
      <c r="E1105" s="300" t="s">
        <v>4078</v>
      </c>
      <c r="F1105" s="300" t="s">
        <v>4885</v>
      </c>
      <c r="G1105" s="300" t="s">
        <v>447</v>
      </c>
    </row>
    <row r="1106" spans="1:7" ht="14.5">
      <c r="A1106" s="300" t="s">
        <v>926</v>
      </c>
      <c r="B1106" s="300" t="s">
        <v>4260</v>
      </c>
      <c r="C1106" s="300" t="s">
        <v>4261</v>
      </c>
      <c r="D1106" s="300" t="s">
        <v>4884</v>
      </c>
      <c r="E1106" s="300" t="s">
        <v>4078</v>
      </c>
      <c r="F1106" s="300" t="s">
        <v>4885</v>
      </c>
      <c r="G1106" s="300" t="s">
        <v>447</v>
      </c>
    </row>
    <row r="1107" spans="1:7" ht="14.5">
      <c r="A1107" s="300" t="s">
        <v>926</v>
      </c>
      <c r="B1107" s="300" t="s">
        <v>4264</v>
      </c>
      <c r="C1107" s="300" t="s">
        <v>4265</v>
      </c>
      <c r="D1107" s="300" t="s">
        <v>4884</v>
      </c>
      <c r="E1107" s="300" t="s">
        <v>4078</v>
      </c>
      <c r="F1107" s="300" t="s">
        <v>4885</v>
      </c>
      <c r="G1107" s="300" t="s">
        <v>447</v>
      </c>
    </row>
    <row r="1108" spans="1:7" ht="14.5">
      <c r="A1108" s="300" t="s">
        <v>926</v>
      </c>
      <c r="B1108" s="300" t="s">
        <v>4266</v>
      </c>
      <c r="C1108" s="300" t="s">
        <v>4261</v>
      </c>
      <c r="D1108" s="300" t="s">
        <v>4884</v>
      </c>
      <c r="E1108" s="300" t="s">
        <v>4078</v>
      </c>
      <c r="F1108" s="300" t="s">
        <v>4885</v>
      </c>
      <c r="G1108" s="300" t="s">
        <v>447</v>
      </c>
    </row>
    <row r="1109" spans="1:7" ht="14.5">
      <c r="A1109" s="300" t="s">
        <v>926</v>
      </c>
      <c r="B1109" s="300" t="s">
        <v>4267</v>
      </c>
      <c r="C1109" s="300" t="s">
        <v>4268</v>
      </c>
      <c r="D1109" s="300" t="s">
        <v>4886</v>
      </c>
      <c r="E1109" s="300" t="s">
        <v>4269</v>
      </c>
      <c r="F1109" s="300" t="s">
        <v>4885</v>
      </c>
      <c r="G1109" s="300" t="s">
        <v>447</v>
      </c>
    </row>
    <row r="1110" spans="1:7" ht="14.5">
      <c r="A1110" s="300" t="s">
        <v>926</v>
      </c>
      <c r="B1110" s="300" t="s">
        <v>4270</v>
      </c>
      <c r="C1110" s="300" t="s">
        <v>4271</v>
      </c>
      <c r="D1110" s="300" t="s">
        <v>4886</v>
      </c>
      <c r="E1110" s="300" t="s">
        <v>4269</v>
      </c>
      <c r="F1110" s="300" t="s">
        <v>4885</v>
      </c>
      <c r="G1110" s="300" t="s">
        <v>447</v>
      </c>
    </row>
    <row r="1111" spans="1:7" ht="14.5">
      <c r="A1111" s="300" t="s">
        <v>926</v>
      </c>
      <c r="B1111" s="300" t="s">
        <v>4274</v>
      </c>
      <c r="C1111" s="300" t="s">
        <v>4271</v>
      </c>
      <c r="D1111" s="300" t="s">
        <v>4886</v>
      </c>
      <c r="E1111" s="300" t="s">
        <v>4269</v>
      </c>
      <c r="F1111" s="300" t="s">
        <v>4885</v>
      </c>
      <c r="G1111" s="300" t="s">
        <v>447</v>
      </c>
    </row>
    <row r="1112" spans="1:7" ht="14.5">
      <c r="A1112" s="300" t="s">
        <v>926</v>
      </c>
      <c r="B1112" s="300" t="s">
        <v>4275</v>
      </c>
      <c r="C1112" s="300" t="s">
        <v>4276</v>
      </c>
      <c r="D1112" s="300" t="s">
        <v>4886</v>
      </c>
      <c r="E1112" s="300" t="s">
        <v>4269</v>
      </c>
      <c r="F1112" s="300" t="s">
        <v>4885</v>
      </c>
      <c r="G1112" s="300" t="s">
        <v>447</v>
      </c>
    </row>
    <row r="1113" spans="1:7" ht="14.5">
      <c r="A1113" s="300" t="s">
        <v>926</v>
      </c>
      <c r="B1113" s="300" t="s">
        <v>4279</v>
      </c>
      <c r="C1113" s="300" t="s">
        <v>4280</v>
      </c>
      <c r="D1113" s="300" t="s">
        <v>4886</v>
      </c>
      <c r="E1113" s="300" t="s">
        <v>4269</v>
      </c>
      <c r="F1113" s="300" t="s">
        <v>4885</v>
      </c>
      <c r="G1113" s="300" t="s">
        <v>447</v>
      </c>
    </row>
    <row r="1114" spans="1:7" ht="14.5">
      <c r="A1114" s="300" t="s">
        <v>926</v>
      </c>
      <c r="B1114" s="300" t="s">
        <v>4281</v>
      </c>
      <c r="C1114" s="300" t="s">
        <v>4282</v>
      </c>
      <c r="D1114" s="300" t="s">
        <v>4886</v>
      </c>
      <c r="E1114" s="300" t="s">
        <v>4269</v>
      </c>
      <c r="F1114" s="300" t="s">
        <v>4885</v>
      </c>
      <c r="G1114" s="300" t="s">
        <v>447</v>
      </c>
    </row>
    <row r="1115" spans="1:7" ht="14.5">
      <c r="A1115" s="300" t="s">
        <v>926</v>
      </c>
      <c r="B1115" s="300" t="s">
        <v>4285</v>
      </c>
      <c r="C1115" s="300" t="s">
        <v>4286</v>
      </c>
      <c r="D1115" s="300" t="s">
        <v>4886</v>
      </c>
      <c r="E1115" s="300" t="s">
        <v>4269</v>
      </c>
      <c r="F1115" s="300" t="s">
        <v>4885</v>
      </c>
      <c r="G1115" s="300" t="s">
        <v>447</v>
      </c>
    </row>
    <row r="1116" spans="1:7" ht="14.5">
      <c r="A1116" s="300" t="s">
        <v>926</v>
      </c>
      <c r="B1116" s="300" t="s">
        <v>4287</v>
      </c>
      <c r="C1116" s="300" t="s">
        <v>4288</v>
      </c>
      <c r="D1116" s="300" t="s">
        <v>4886</v>
      </c>
      <c r="E1116" s="300" t="s">
        <v>4269</v>
      </c>
      <c r="F1116" s="300" t="s">
        <v>4885</v>
      </c>
      <c r="G1116" s="300" t="s">
        <v>447</v>
      </c>
    </row>
    <row r="1117" spans="1:7" ht="14.5">
      <c r="A1117" s="300" t="s">
        <v>926</v>
      </c>
      <c r="B1117" s="300" t="s">
        <v>4291</v>
      </c>
      <c r="C1117" s="300" t="s">
        <v>4292</v>
      </c>
      <c r="D1117" s="300" t="s">
        <v>4886</v>
      </c>
      <c r="E1117" s="300" t="s">
        <v>4269</v>
      </c>
      <c r="F1117" s="300" t="s">
        <v>4885</v>
      </c>
      <c r="G1117" s="300" t="s">
        <v>447</v>
      </c>
    </row>
    <row r="1118" spans="1:7" ht="14.5">
      <c r="A1118" s="300" t="s">
        <v>926</v>
      </c>
      <c r="B1118" s="300" t="s">
        <v>4293</v>
      </c>
      <c r="C1118" s="300" t="s">
        <v>4294</v>
      </c>
      <c r="D1118" s="300" t="s">
        <v>4887</v>
      </c>
      <c r="E1118" s="300" t="s">
        <v>4296</v>
      </c>
      <c r="F1118" s="300" t="s">
        <v>4858</v>
      </c>
      <c r="G1118" s="300" t="s">
        <v>446</v>
      </c>
    </row>
    <row r="1119" spans="1:7" ht="14.5">
      <c r="A1119" s="300" t="s">
        <v>926</v>
      </c>
      <c r="B1119" s="300" t="s">
        <v>4297</v>
      </c>
      <c r="C1119" s="300" t="s">
        <v>4298</v>
      </c>
      <c r="D1119" s="300" t="s">
        <v>4887</v>
      </c>
      <c r="E1119" s="300" t="s">
        <v>4296</v>
      </c>
      <c r="F1119" s="300" t="s">
        <v>4858</v>
      </c>
      <c r="G1119" s="300" t="s">
        <v>446</v>
      </c>
    </row>
    <row r="1120" spans="1:7" ht="14.5">
      <c r="A1120" s="300" t="s">
        <v>926</v>
      </c>
      <c r="B1120" s="300" t="s">
        <v>4301</v>
      </c>
      <c r="C1120" s="300" t="s">
        <v>4302</v>
      </c>
      <c r="D1120" s="300" t="s">
        <v>4868</v>
      </c>
      <c r="E1120" s="300" t="s">
        <v>1818</v>
      </c>
      <c r="F1120" s="300" t="s">
        <v>4858</v>
      </c>
      <c r="G1120" s="300" t="s">
        <v>446</v>
      </c>
    </row>
    <row r="1121" spans="1:7" ht="14.5">
      <c r="A1121" s="300" t="s">
        <v>926</v>
      </c>
      <c r="B1121" s="300" t="s">
        <v>4304</v>
      </c>
      <c r="C1121" s="300" t="s">
        <v>4305</v>
      </c>
      <c r="D1121" s="300" t="s">
        <v>4868</v>
      </c>
      <c r="E1121" s="300" t="s">
        <v>1818</v>
      </c>
      <c r="F1121" s="300" t="s">
        <v>4858</v>
      </c>
      <c r="G1121" s="300" t="s">
        <v>446</v>
      </c>
    </row>
    <row r="1122" spans="1:7" ht="14.5">
      <c r="A1122" s="300" t="s">
        <v>926</v>
      </c>
      <c r="B1122" s="300" t="s">
        <v>4307</v>
      </c>
      <c r="C1122" s="300" t="s">
        <v>4308</v>
      </c>
      <c r="D1122" s="300" t="s">
        <v>4886</v>
      </c>
      <c r="E1122" s="300" t="s">
        <v>4269</v>
      </c>
      <c r="F1122" s="300" t="s">
        <v>4885</v>
      </c>
      <c r="G1122" s="300" t="s">
        <v>447</v>
      </c>
    </row>
    <row r="1123" spans="1:7" ht="14.5">
      <c r="A1123" s="300" t="s">
        <v>926</v>
      </c>
      <c r="B1123" s="300" t="s">
        <v>4310</v>
      </c>
      <c r="C1123" s="300" t="s">
        <v>4311</v>
      </c>
      <c r="D1123" s="300" t="s">
        <v>4886</v>
      </c>
      <c r="E1123" s="300" t="s">
        <v>4269</v>
      </c>
      <c r="F1123" s="300" t="s">
        <v>4885</v>
      </c>
      <c r="G1123" s="300" t="s">
        <v>447</v>
      </c>
    </row>
    <row r="1124" spans="1:7" ht="14.5">
      <c r="A1124" s="300" t="s">
        <v>926</v>
      </c>
      <c r="B1124" s="300" t="s">
        <v>4312</v>
      </c>
      <c r="C1124" s="300" t="s">
        <v>4313</v>
      </c>
      <c r="D1124" s="300" t="s">
        <v>4888</v>
      </c>
      <c r="E1124" s="300" t="s">
        <v>4314</v>
      </c>
      <c r="F1124" s="300" t="s">
        <v>4885</v>
      </c>
      <c r="G1124" s="300" t="s">
        <v>447</v>
      </c>
    </row>
    <row r="1125" spans="1:7" ht="14.5">
      <c r="A1125" s="300" t="s">
        <v>926</v>
      </c>
      <c r="B1125" s="300" t="s">
        <v>4315</v>
      </c>
      <c r="C1125" s="300" t="s">
        <v>4316</v>
      </c>
      <c r="D1125" s="300" t="s">
        <v>4888</v>
      </c>
      <c r="E1125" s="300" t="s">
        <v>4314</v>
      </c>
      <c r="F1125" s="300" t="s">
        <v>4885</v>
      </c>
      <c r="G1125" s="300" t="s">
        <v>447</v>
      </c>
    </row>
    <row r="1126" spans="1:7" ht="14.5">
      <c r="A1126" s="300" t="s">
        <v>926</v>
      </c>
      <c r="B1126" s="300" t="s">
        <v>4318</v>
      </c>
      <c r="C1126" s="300" t="s">
        <v>4319</v>
      </c>
      <c r="D1126" s="300" t="s">
        <v>4888</v>
      </c>
      <c r="E1126" s="300" t="s">
        <v>4314</v>
      </c>
      <c r="F1126" s="300" t="s">
        <v>4885</v>
      </c>
      <c r="G1126" s="300" t="s">
        <v>447</v>
      </c>
    </row>
    <row r="1127" spans="1:7" ht="14.5">
      <c r="A1127" s="300" t="s">
        <v>926</v>
      </c>
      <c r="B1127" s="300" t="s">
        <v>4322</v>
      </c>
      <c r="C1127" s="300" t="s">
        <v>4323</v>
      </c>
      <c r="D1127" s="300" t="s">
        <v>4888</v>
      </c>
      <c r="E1127" s="300" t="s">
        <v>4314</v>
      </c>
      <c r="F1127" s="300" t="s">
        <v>4885</v>
      </c>
      <c r="G1127" s="300" t="s">
        <v>447</v>
      </c>
    </row>
    <row r="1128" spans="1:7" ht="14.5">
      <c r="A1128" s="300" t="s">
        <v>926</v>
      </c>
      <c r="B1128" s="300" t="s">
        <v>4326</v>
      </c>
      <c r="C1128" s="300" t="s">
        <v>4327</v>
      </c>
      <c r="D1128" s="300" t="s">
        <v>4888</v>
      </c>
      <c r="E1128" s="300" t="s">
        <v>4314</v>
      </c>
      <c r="F1128" s="300" t="s">
        <v>4885</v>
      </c>
      <c r="G1128" s="300" t="s">
        <v>447</v>
      </c>
    </row>
    <row r="1129" spans="1:7" ht="14.5">
      <c r="A1129" s="300" t="s">
        <v>926</v>
      </c>
      <c r="B1129" s="300" t="s">
        <v>4328</v>
      </c>
      <c r="C1129" s="300" t="s">
        <v>4329</v>
      </c>
      <c r="D1129" s="300" t="s">
        <v>4889</v>
      </c>
      <c r="E1129" s="300" t="s">
        <v>4331</v>
      </c>
      <c r="F1129" s="300" t="s">
        <v>4885</v>
      </c>
      <c r="G1129" s="300" t="s">
        <v>447</v>
      </c>
    </row>
    <row r="1130" spans="1:7" ht="14.5">
      <c r="A1130" s="300" t="s">
        <v>926</v>
      </c>
      <c r="B1130" s="300" t="s">
        <v>4332</v>
      </c>
      <c r="C1130" s="300" t="s">
        <v>4333</v>
      </c>
      <c r="D1130" s="300" t="s">
        <v>4889</v>
      </c>
      <c r="E1130" s="300" t="s">
        <v>4331</v>
      </c>
      <c r="F1130" s="300" t="s">
        <v>4885</v>
      </c>
      <c r="G1130" s="300" t="s">
        <v>447</v>
      </c>
    </row>
    <row r="1131" spans="1:7" ht="14.5">
      <c r="A1131" s="300" t="s">
        <v>926</v>
      </c>
      <c r="B1131" s="300" t="s">
        <v>4336</v>
      </c>
      <c r="C1131" s="300" t="s">
        <v>4337</v>
      </c>
      <c r="D1131" s="300" t="s">
        <v>4889</v>
      </c>
      <c r="E1131" s="300" t="s">
        <v>4331</v>
      </c>
      <c r="F1131" s="300" t="s">
        <v>4885</v>
      </c>
      <c r="G1131" s="300" t="s">
        <v>447</v>
      </c>
    </row>
    <row r="1132" spans="1:7" ht="14.5">
      <c r="A1132" s="300" t="s">
        <v>926</v>
      </c>
      <c r="B1132" s="300" t="s">
        <v>4340</v>
      </c>
      <c r="C1132" s="300" t="s">
        <v>4341</v>
      </c>
      <c r="D1132" s="300" t="s">
        <v>4889</v>
      </c>
      <c r="E1132" s="300" t="s">
        <v>4331</v>
      </c>
      <c r="F1132" s="300" t="s">
        <v>4885</v>
      </c>
      <c r="G1132" s="300" t="s">
        <v>447</v>
      </c>
    </row>
    <row r="1133" spans="1:7" ht="14.5">
      <c r="A1133" s="300" t="s">
        <v>926</v>
      </c>
      <c r="B1133" s="300" t="s">
        <v>4344</v>
      </c>
      <c r="C1133" s="300" t="s">
        <v>4345</v>
      </c>
      <c r="D1133" s="300" t="s">
        <v>4889</v>
      </c>
      <c r="E1133" s="300" t="s">
        <v>4331</v>
      </c>
      <c r="F1133" s="300" t="s">
        <v>4885</v>
      </c>
      <c r="G1133" s="300" t="s">
        <v>447</v>
      </c>
    </row>
    <row r="1134" spans="1:7" ht="14.5">
      <c r="A1134" s="300" t="s">
        <v>926</v>
      </c>
      <c r="B1134" s="300" t="s">
        <v>4348</v>
      </c>
      <c r="C1134" s="300" t="s">
        <v>4349</v>
      </c>
      <c r="D1134" s="300" t="s">
        <v>4889</v>
      </c>
      <c r="E1134" s="300" t="s">
        <v>4331</v>
      </c>
      <c r="F1134" s="300" t="s">
        <v>4885</v>
      </c>
      <c r="G1134" s="300" t="s">
        <v>447</v>
      </c>
    </row>
    <row r="1135" spans="1:7" ht="14.5">
      <c r="A1135" s="300" t="s">
        <v>926</v>
      </c>
      <c r="B1135" s="300" t="s">
        <v>4352</v>
      </c>
      <c r="C1135" s="300" t="s">
        <v>4353</v>
      </c>
      <c r="D1135" s="300" t="s">
        <v>4889</v>
      </c>
      <c r="E1135" s="300" t="s">
        <v>4331</v>
      </c>
      <c r="F1135" s="300" t="s">
        <v>4885</v>
      </c>
      <c r="G1135" s="300" t="s">
        <v>447</v>
      </c>
    </row>
    <row r="1136" spans="1:7" ht="14.5">
      <c r="A1136" s="300" t="s">
        <v>926</v>
      </c>
      <c r="B1136" s="300" t="s">
        <v>4354</v>
      </c>
      <c r="C1136" s="300" t="s">
        <v>4355</v>
      </c>
      <c r="D1136" s="300" t="s">
        <v>4889</v>
      </c>
      <c r="E1136" s="300" t="s">
        <v>4331</v>
      </c>
      <c r="F1136" s="300" t="s">
        <v>4885</v>
      </c>
      <c r="G1136" s="300" t="s">
        <v>447</v>
      </c>
    </row>
    <row r="1137" spans="1:7" ht="14.5">
      <c r="A1137" s="300" t="s">
        <v>926</v>
      </c>
      <c r="B1137" s="300" t="s">
        <v>4356</v>
      </c>
      <c r="C1137" s="300" t="s">
        <v>4357</v>
      </c>
      <c r="D1137" s="300" t="s">
        <v>4889</v>
      </c>
      <c r="E1137" s="300" t="s">
        <v>4331</v>
      </c>
      <c r="F1137" s="300" t="s">
        <v>4885</v>
      </c>
      <c r="G1137" s="300" t="s">
        <v>447</v>
      </c>
    </row>
    <row r="1138" spans="1:7" ht="14.5">
      <c r="A1138" s="300" t="s">
        <v>926</v>
      </c>
      <c r="B1138" s="300" t="s">
        <v>4358</v>
      </c>
      <c r="C1138" s="300" t="s">
        <v>4359</v>
      </c>
      <c r="D1138" s="300" t="s">
        <v>4890</v>
      </c>
      <c r="E1138" s="300" t="s">
        <v>4361</v>
      </c>
      <c r="F1138" s="300" t="s">
        <v>4885</v>
      </c>
      <c r="G1138" s="300" t="s">
        <v>447</v>
      </c>
    </row>
    <row r="1139" spans="1:7" ht="14.5">
      <c r="A1139" s="300" t="s">
        <v>926</v>
      </c>
      <c r="B1139" s="300" t="s">
        <v>4362</v>
      </c>
      <c r="C1139" s="300" t="s">
        <v>4363</v>
      </c>
      <c r="D1139" s="300" t="s">
        <v>4890</v>
      </c>
      <c r="E1139" s="300" t="s">
        <v>4361</v>
      </c>
      <c r="F1139" s="300" t="s">
        <v>4885</v>
      </c>
      <c r="G1139" s="300" t="s">
        <v>447</v>
      </c>
    </row>
    <row r="1140" spans="1:7" ht="14.5">
      <c r="A1140" s="300" t="s">
        <v>926</v>
      </c>
      <c r="B1140" s="300" t="s">
        <v>4366</v>
      </c>
      <c r="C1140" s="300" t="s">
        <v>4367</v>
      </c>
      <c r="D1140" s="300" t="s">
        <v>4891</v>
      </c>
      <c r="E1140" s="300" t="s">
        <v>4369</v>
      </c>
      <c r="F1140" s="300" t="s">
        <v>4885</v>
      </c>
      <c r="G1140" s="300" t="s">
        <v>447</v>
      </c>
    </row>
    <row r="1141" spans="1:7" ht="14.5">
      <c r="A1141" s="300" t="s">
        <v>926</v>
      </c>
      <c r="B1141" s="300" t="s">
        <v>4370</v>
      </c>
      <c r="C1141" s="300" t="s">
        <v>4371</v>
      </c>
      <c r="D1141" s="300" t="s">
        <v>4891</v>
      </c>
      <c r="E1141" s="300" t="s">
        <v>4369</v>
      </c>
      <c r="F1141" s="300" t="s">
        <v>4885</v>
      </c>
      <c r="G1141" s="300" t="s">
        <v>447</v>
      </c>
    </row>
    <row r="1142" spans="1:7" ht="14.5">
      <c r="A1142" s="300" t="s">
        <v>926</v>
      </c>
      <c r="B1142" s="300" t="s">
        <v>4374</v>
      </c>
      <c r="C1142" s="300" t="s">
        <v>4375</v>
      </c>
      <c r="D1142" s="300" t="s">
        <v>4891</v>
      </c>
      <c r="E1142" s="300" t="s">
        <v>4369</v>
      </c>
      <c r="F1142" s="300" t="s">
        <v>4885</v>
      </c>
      <c r="G1142" s="300" t="s">
        <v>447</v>
      </c>
    </row>
    <row r="1143" spans="1:7" ht="14.5">
      <c r="A1143" s="300" t="s">
        <v>926</v>
      </c>
      <c r="B1143" s="300" t="s">
        <v>4378</v>
      </c>
      <c r="C1143" s="300" t="s">
        <v>4379</v>
      </c>
      <c r="D1143" s="300" t="s">
        <v>4891</v>
      </c>
      <c r="E1143" s="300" t="s">
        <v>4369</v>
      </c>
      <c r="F1143" s="300" t="s">
        <v>4885</v>
      </c>
      <c r="G1143" s="300" t="s">
        <v>447</v>
      </c>
    </row>
    <row r="1144" spans="1:7" ht="14.5">
      <c r="A1144" s="300" t="s">
        <v>926</v>
      </c>
      <c r="B1144" s="300" t="s">
        <v>4382</v>
      </c>
      <c r="C1144" s="300" t="s">
        <v>4383</v>
      </c>
      <c r="D1144" s="300" t="s">
        <v>4891</v>
      </c>
      <c r="E1144" s="300" t="s">
        <v>4369</v>
      </c>
      <c r="F1144" s="300" t="s">
        <v>4885</v>
      </c>
      <c r="G1144" s="300" t="s">
        <v>447</v>
      </c>
    </row>
    <row r="1145" spans="1:7" ht="14.5">
      <c r="A1145" s="300" t="s">
        <v>926</v>
      </c>
      <c r="B1145" s="300" t="s">
        <v>4386</v>
      </c>
      <c r="C1145" s="300" t="s">
        <v>4387</v>
      </c>
      <c r="D1145" s="300" t="s">
        <v>4891</v>
      </c>
      <c r="E1145" s="300" t="s">
        <v>4369</v>
      </c>
      <c r="F1145" s="300" t="s">
        <v>4885</v>
      </c>
      <c r="G1145" s="300" t="s">
        <v>447</v>
      </c>
    </row>
    <row r="1146" spans="1:7" ht="14.5">
      <c r="A1146" s="300" t="s">
        <v>926</v>
      </c>
      <c r="B1146" s="300" t="s">
        <v>4388</v>
      </c>
      <c r="C1146" s="300" t="s">
        <v>4389</v>
      </c>
      <c r="D1146" s="300" t="s">
        <v>4890</v>
      </c>
      <c r="E1146" s="300" t="s">
        <v>4361</v>
      </c>
      <c r="F1146" s="300" t="s">
        <v>4885</v>
      </c>
      <c r="G1146" s="300" t="s">
        <v>447</v>
      </c>
    </row>
    <row r="1147" spans="1:7" ht="14.5">
      <c r="A1147" s="300" t="s">
        <v>926</v>
      </c>
      <c r="B1147" s="300" t="s">
        <v>4392</v>
      </c>
      <c r="C1147" s="300" t="s">
        <v>4393</v>
      </c>
      <c r="D1147" s="300" t="s">
        <v>4890</v>
      </c>
      <c r="E1147" s="300" t="s">
        <v>4361</v>
      </c>
      <c r="F1147" s="300" t="s">
        <v>4885</v>
      </c>
      <c r="G1147" s="300" t="s">
        <v>447</v>
      </c>
    </row>
    <row r="1148" spans="1:7" ht="14.5">
      <c r="A1148" s="300" t="s">
        <v>926</v>
      </c>
      <c r="B1148" s="300" t="s">
        <v>4394</v>
      </c>
      <c r="C1148" s="300" t="s">
        <v>4395</v>
      </c>
      <c r="D1148" s="300" t="s">
        <v>4890</v>
      </c>
      <c r="E1148" s="300" t="s">
        <v>4361</v>
      </c>
      <c r="F1148" s="300" t="s">
        <v>4885</v>
      </c>
      <c r="G1148" s="300" t="s">
        <v>447</v>
      </c>
    </row>
    <row r="1149" spans="1:7" ht="14.5">
      <c r="A1149" s="300" t="s">
        <v>926</v>
      </c>
      <c r="B1149" s="300" t="s">
        <v>4396</v>
      </c>
      <c r="C1149" s="300" t="s">
        <v>4397</v>
      </c>
      <c r="D1149" s="300" t="s">
        <v>4890</v>
      </c>
      <c r="E1149" s="300" t="s">
        <v>4361</v>
      </c>
      <c r="F1149" s="300" t="s">
        <v>4885</v>
      </c>
      <c r="G1149" s="300" t="s">
        <v>447</v>
      </c>
    </row>
    <row r="1150" spans="1:7" ht="14.5">
      <c r="A1150" s="300" t="s">
        <v>926</v>
      </c>
      <c r="B1150" s="300" t="s">
        <v>4399</v>
      </c>
      <c r="C1150" s="300" t="s">
        <v>4400</v>
      </c>
      <c r="D1150" s="300" t="s">
        <v>4890</v>
      </c>
      <c r="E1150" s="300" t="s">
        <v>4361</v>
      </c>
      <c r="F1150" s="300" t="s">
        <v>4885</v>
      </c>
      <c r="G1150" s="300" t="s">
        <v>447</v>
      </c>
    </row>
    <row r="1151" spans="1:7" ht="14.5">
      <c r="A1151" s="300" t="s">
        <v>926</v>
      </c>
      <c r="B1151" s="300" t="s">
        <v>4402</v>
      </c>
      <c r="C1151" s="300" t="s">
        <v>4403</v>
      </c>
      <c r="D1151" s="300" t="s">
        <v>4890</v>
      </c>
      <c r="E1151" s="300" t="s">
        <v>4361</v>
      </c>
      <c r="F1151" s="300" t="s">
        <v>4885</v>
      </c>
      <c r="G1151" s="300" t="s">
        <v>447</v>
      </c>
    </row>
    <row r="1152" spans="1:7" ht="14.5">
      <c r="A1152" s="300" t="s">
        <v>926</v>
      </c>
      <c r="B1152" s="300" t="s">
        <v>4406</v>
      </c>
      <c r="C1152" s="300" t="s">
        <v>4407</v>
      </c>
      <c r="D1152" s="300" t="s">
        <v>4890</v>
      </c>
      <c r="E1152" s="300" t="s">
        <v>4361</v>
      </c>
      <c r="F1152" s="300" t="s">
        <v>4885</v>
      </c>
      <c r="G1152" s="300" t="s">
        <v>447</v>
      </c>
    </row>
    <row r="1153" spans="1:7" ht="14.5">
      <c r="A1153" s="300" t="s">
        <v>926</v>
      </c>
      <c r="B1153" s="300" t="s">
        <v>4410</v>
      </c>
      <c r="C1153" s="300" t="s">
        <v>4411</v>
      </c>
      <c r="D1153" s="300" t="s">
        <v>4890</v>
      </c>
      <c r="E1153" s="300" t="s">
        <v>4361</v>
      </c>
      <c r="F1153" s="300" t="s">
        <v>4885</v>
      </c>
      <c r="G1153" s="300" t="s">
        <v>447</v>
      </c>
    </row>
    <row r="1154" spans="1:7" ht="14.5">
      <c r="A1154" s="300" t="s">
        <v>926</v>
      </c>
      <c r="B1154" s="300" t="s">
        <v>4412</v>
      </c>
      <c r="C1154" s="300" t="s">
        <v>4413</v>
      </c>
      <c r="D1154" s="300" t="s">
        <v>4890</v>
      </c>
      <c r="E1154" s="300" t="s">
        <v>4361</v>
      </c>
      <c r="F1154" s="300" t="s">
        <v>4885</v>
      </c>
      <c r="G1154" s="300" t="s">
        <v>447</v>
      </c>
    </row>
    <row r="1155" spans="1:7" ht="14.5">
      <c r="A1155" s="300" t="s">
        <v>926</v>
      </c>
      <c r="B1155" s="300" t="s">
        <v>4416</v>
      </c>
      <c r="C1155" s="300" t="s">
        <v>4417</v>
      </c>
      <c r="D1155" s="300" t="s">
        <v>4890</v>
      </c>
      <c r="E1155" s="300" t="s">
        <v>4361</v>
      </c>
      <c r="F1155" s="300" t="s">
        <v>4885</v>
      </c>
      <c r="G1155" s="300" t="s">
        <v>447</v>
      </c>
    </row>
    <row r="1156" spans="1:7" ht="14.5">
      <c r="A1156" s="300" t="s">
        <v>926</v>
      </c>
      <c r="B1156" s="300" t="s">
        <v>4419</v>
      </c>
      <c r="C1156" s="300" t="s">
        <v>4420</v>
      </c>
      <c r="D1156" s="300" t="s">
        <v>4890</v>
      </c>
      <c r="E1156" s="300" t="s">
        <v>4361</v>
      </c>
      <c r="F1156" s="300" t="s">
        <v>4885</v>
      </c>
      <c r="G1156" s="300" t="s">
        <v>447</v>
      </c>
    </row>
    <row r="1157" spans="1:7" ht="14.5">
      <c r="A1157" s="300" t="s">
        <v>926</v>
      </c>
      <c r="B1157" s="300" t="s">
        <v>4421</v>
      </c>
      <c r="C1157" s="300" t="s">
        <v>4422</v>
      </c>
      <c r="D1157" s="300" t="s">
        <v>4890</v>
      </c>
      <c r="E1157" s="300" t="s">
        <v>4361</v>
      </c>
      <c r="F1157" s="300" t="s">
        <v>4885</v>
      </c>
      <c r="G1157" s="300" t="s">
        <v>447</v>
      </c>
    </row>
    <row r="1158" spans="1:7" ht="14.5">
      <c r="A1158" s="300" t="s">
        <v>926</v>
      </c>
      <c r="B1158" s="300" t="s">
        <v>4423</v>
      </c>
      <c r="C1158" s="300" t="s">
        <v>4424</v>
      </c>
      <c r="D1158" s="300" t="s">
        <v>4890</v>
      </c>
      <c r="E1158" s="300" t="s">
        <v>4361</v>
      </c>
      <c r="F1158" s="300" t="s">
        <v>4885</v>
      </c>
      <c r="G1158" s="300" t="s">
        <v>447</v>
      </c>
    </row>
    <row r="1159" spans="1:7" ht="14.5">
      <c r="A1159" s="300" t="s">
        <v>926</v>
      </c>
      <c r="B1159" s="300" t="s">
        <v>4425</v>
      </c>
      <c r="C1159" s="300" t="s">
        <v>4426</v>
      </c>
      <c r="D1159" s="300" t="s">
        <v>4890</v>
      </c>
      <c r="E1159" s="300" t="s">
        <v>4361</v>
      </c>
      <c r="F1159" s="300" t="s">
        <v>4885</v>
      </c>
      <c r="G1159" s="300" t="s">
        <v>447</v>
      </c>
    </row>
    <row r="1160" spans="1:7" ht="14.5">
      <c r="A1160" s="300" t="s">
        <v>926</v>
      </c>
      <c r="B1160" s="300" t="s">
        <v>4427</v>
      </c>
      <c r="C1160" s="300" t="s">
        <v>4428</v>
      </c>
      <c r="D1160" s="300" t="s">
        <v>4890</v>
      </c>
      <c r="E1160" s="300" t="s">
        <v>4361</v>
      </c>
      <c r="F1160" s="300" t="s">
        <v>4885</v>
      </c>
      <c r="G1160" s="300" t="s">
        <v>447</v>
      </c>
    </row>
    <row r="1161" spans="1:7" ht="14.5">
      <c r="A1161" s="300" t="s">
        <v>926</v>
      </c>
      <c r="B1161" s="300" t="s">
        <v>4431</v>
      </c>
      <c r="C1161" s="300" t="s">
        <v>4432</v>
      </c>
      <c r="D1161" s="300" t="s">
        <v>4891</v>
      </c>
      <c r="E1161" s="300" t="s">
        <v>4369</v>
      </c>
      <c r="F1161" s="300" t="s">
        <v>4885</v>
      </c>
      <c r="G1161" s="300" t="s">
        <v>447</v>
      </c>
    </row>
    <row r="1162" spans="1:7" ht="14.5">
      <c r="A1162" s="300" t="s">
        <v>926</v>
      </c>
      <c r="B1162" s="300" t="s">
        <v>4433</v>
      </c>
      <c r="C1162" s="300" t="s">
        <v>4434</v>
      </c>
      <c r="D1162" s="300" t="s">
        <v>4891</v>
      </c>
      <c r="E1162" s="300" t="s">
        <v>4369</v>
      </c>
      <c r="F1162" s="300" t="s">
        <v>4885</v>
      </c>
      <c r="G1162" s="300" t="s">
        <v>447</v>
      </c>
    </row>
    <row r="1163" spans="1:7" ht="14.5">
      <c r="A1163" s="300" t="s">
        <v>926</v>
      </c>
      <c r="B1163" s="300" t="s">
        <v>4435</v>
      </c>
      <c r="C1163" s="300" t="s">
        <v>4436</v>
      </c>
      <c r="D1163" s="300" t="s">
        <v>4890</v>
      </c>
      <c r="E1163" s="300" t="s">
        <v>4361</v>
      </c>
      <c r="F1163" s="300" t="s">
        <v>4885</v>
      </c>
      <c r="G1163" s="300" t="s">
        <v>447</v>
      </c>
    </row>
    <row r="1164" spans="1:7" ht="14.5">
      <c r="A1164" s="300" t="s">
        <v>926</v>
      </c>
      <c r="B1164" s="300" t="s">
        <v>4439</v>
      </c>
      <c r="C1164" s="300" t="s">
        <v>4440</v>
      </c>
      <c r="D1164" s="300" t="s">
        <v>4890</v>
      </c>
      <c r="E1164" s="300" t="s">
        <v>4361</v>
      </c>
      <c r="F1164" s="300" t="s">
        <v>4885</v>
      </c>
      <c r="G1164" s="300" t="s">
        <v>447</v>
      </c>
    </row>
    <row r="1165" spans="1:7" ht="14.5">
      <c r="A1165" s="300" t="s">
        <v>926</v>
      </c>
      <c r="B1165" s="300" t="s">
        <v>4441</v>
      </c>
      <c r="C1165" s="300" t="s">
        <v>4442</v>
      </c>
      <c r="D1165" s="300" t="s">
        <v>4890</v>
      </c>
      <c r="E1165" s="300" t="s">
        <v>4361</v>
      </c>
      <c r="F1165" s="300" t="s">
        <v>4885</v>
      </c>
      <c r="G1165" s="300" t="s">
        <v>447</v>
      </c>
    </row>
    <row r="1166" spans="1:7" ht="14.5">
      <c r="A1166" s="300" t="s">
        <v>926</v>
      </c>
      <c r="B1166" s="300" t="s">
        <v>4443</v>
      </c>
      <c r="C1166" s="300" t="s">
        <v>4444</v>
      </c>
      <c r="D1166" s="300" t="s">
        <v>4890</v>
      </c>
      <c r="E1166" s="300" t="s">
        <v>4361</v>
      </c>
      <c r="F1166" s="300" t="s">
        <v>4885</v>
      </c>
      <c r="G1166" s="300" t="s">
        <v>447</v>
      </c>
    </row>
    <row r="1167" spans="1:7" ht="14.5">
      <c r="A1167" s="300" t="s">
        <v>926</v>
      </c>
      <c r="B1167" s="300" t="s">
        <v>4445</v>
      </c>
      <c r="C1167" s="300" t="s">
        <v>4446</v>
      </c>
      <c r="D1167" s="300" t="s">
        <v>4890</v>
      </c>
      <c r="E1167" s="300" t="s">
        <v>4361</v>
      </c>
      <c r="F1167" s="300" t="s">
        <v>4885</v>
      </c>
      <c r="G1167" s="300" t="s">
        <v>447</v>
      </c>
    </row>
    <row r="1168" spans="1:7" ht="14.5">
      <c r="A1168" s="300" t="s">
        <v>926</v>
      </c>
      <c r="B1168" s="300" t="s">
        <v>4447</v>
      </c>
      <c r="C1168" s="300" t="s">
        <v>4448</v>
      </c>
      <c r="D1168" s="300" t="s">
        <v>4890</v>
      </c>
      <c r="E1168" s="300" t="s">
        <v>4361</v>
      </c>
      <c r="F1168" s="300" t="s">
        <v>4885</v>
      </c>
      <c r="G1168" s="300" t="s">
        <v>447</v>
      </c>
    </row>
    <row r="1169" spans="1:7" ht="14.5">
      <c r="A1169" s="300" t="s">
        <v>926</v>
      </c>
      <c r="B1169" s="300" t="s">
        <v>4451</v>
      </c>
      <c r="C1169" s="300" t="s">
        <v>4452</v>
      </c>
      <c r="D1169" s="300" t="s">
        <v>4890</v>
      </c>
      <c r="E1169" s="300" t="s">
        <v>4361</v>
      </c>
      <c r="F1169" s="300" t="s">
        <v>4885</v>
      </c>
      <c r="G1169" s="300" t="s">
        <v>447</v>
      </c>
    </row>
    <row r="1170" spans="1:7" ht="14.5">
      <c r="A1170" s="300" t="s">
        <v>926</v>
      </c>
      <c r="B1170" s="300" t="s">
        <v>4453</v>
      </c>
      <c r="C1170" s="300" t="s">
        <v>4454</v>
      </c>
      <c r="D1170" s="300" t="s">
        <v>4890</v>
      </c>
      <c r="E1170" s="300" t="s">
        <v>4361</v>
      </c>
      <c r="F1170" s="300" t="s">
        <v>4885</v>
      </c>
      <c r="G1170" s="300" t="s">
        <v>447</v>
      </c>
    </row>
    <row r="1171" spans="1:7" ht="14.5">
      <c r="A1171" s="300" t="s">
        <v>926</v>
      </c>
      <c r="B1171" s="300" t="s">
        <v>4457</v>
      </c>
      <c r="C1171" s="300" t="s">
        <v>4458</v>
      </c>
      <c r="D1171" s="300" t="s">
        <v>4857</v>
      </c>
      <c r="E1171" s="300" t="s">
        <v>1040</v>
      </c>
      <c r="F1171" s="300" t="s">
        <v>4858</v>
      </c>
      <c r="G1171" s="300" t="s">
        <v>446</v>
      </c>
    </row>
    <row r="1172" spans="1:7" ht="14.5">
      <c r="A1172" s="300" t="s">
        <v>926</v>
      </c>
      <c r="B1172" s="300" t="s">
        <v>4461</v>
      </c>
      <c r="C1172" s="300" t="s">
        <v>4462</v>
      </c>
      <c r="D1172" s="300" t="s">
        <v>4857</v>
      </c>
      <c r="E1172" s="300" t="s">
        <v>1040</v>
      </c>
      <c r="F1172" s="300" t="s">
        <v>4858</v>
      </c>
      <c r="G1172" s="300" t="s">
        <v>446</v>
      </c>
    </row>
    <row r="1173" spans="1:7" ht="14.5">
      <c r="A1173" s="300" t="s">
        <v>926</v>
      </c>
      <c r="B1173" s="300" t="s">
        <v>4463</v>
      </c>
      <c r="C1173" s="300" t="s">
        <v>4464</v>
      </c>
      <c r="D1173" s="300" t="s">
        <v>4857</v>
      </c>
      <c r="E1173" s="300" t="s">
        <v>1040</v>
      </c>
      <c r="F1173" s="300" t="s">
        <v>4858</v>
      </c>
      <c r="G1173" s="300" t="s">
        <v>446</v>
      </c>
    </row>
    <row r="1174" spans="1:7" ht="14.5">
      <c r="A1174" s="300" t="s">
        <v>926</v>
      </c>
      <c r="B1174" s="300" t="s">
        <v>4467</v>
      </c>
      <c r="C1174" s="300" t="s">
        <v>4468</v>
      </c>
      <c r="D1174" s="300" t="s">
        <v>4857</v>
      </c>
      <c r="E1174" s="300" t="s">
        <v>1040</v>
      </c>
      <c r="F1174" s="300" t="s">
        <v>4858</v>
      </c>
      <c r="G1174" s="300" t="s">
        <v>446</v>
      </c>
    </row>
    <row r="1175" spans="1:7" ht="14.5">
      <c r="A1175" s="300" t="s">
        <v>926</v>
      </c>
      <c r="B1175" s="300" t="s">
        <v>4469</v>
      </c>
      <c r="C1175" s="300" t="s">
        <v>4470</v>
      </c>
      <c r="D1175" s="300" t="s">
        <v>4857</v>
      </c>
      <c r="E1175" s="300" t="s">
        <v>1040</v>
      </c>
      <c r="F1175" s="300" t="s">
        <v>4858</v>
      </c>
      <c r="G1175" s="300" t="s">
        <v>446</v>
      </c>
    </row>
    <row r="1176" spans="1:7" ht="14.5">
      <c r="A1176" s="300" t="s">
        <v>926</v>
      </c>
      <c r="B1176" s="300" t="s">
        <v>4471</v>
      </c>
      <c r="C1176" s="300" t="s">
        <v>4472</v>
      </c>
      <c r="D1176" s="300" t="s">
        <v>4857</v>
      </c>
      <c r="E1176" s="300" t="s">
        <v>1040</v>
      </c>
      <c r="F1176" s="300" t="s">
        <v>4858</v>
      </c>
      <c r="G1176" s="300" t="s">
        <v>446</v>
      </c>
    </row>
    <row r="1177" spans="1:7" ht="14.5">
      <c r="A1177" s="300" t="s">
        <v>926</v>
      </c>
      <c r="B1177" s="300" t="s">
        <v>4473</v>
      </c>
      <c r="C1177" s="300" t="s">
        <v>4331</v>
      </c>
      <c r="D1177" s="300" t="s">
        <v>4892</v>
      </c>
      <c r="E1177" s="300" t="s">
        <v>4475</v>
      </c>
      <c r="F1177" s="300" t="s">
        <v>4858</v>
      </c>
      <c r="G1177" s="300" t="s">
        <v>446</v>
      </c>
    </row>
    <row r="1178" spans="1:7" ht="14.5">
      <c r="A1178" s="300" t="s">
        <v>926</v>
      </c>
      <c r="B1178" s="300" t="s">
        <v>4476</v>
      </c>
      <c r="C1178" s="300" t="s">
        <v>4477</v>
      </c>
      <c r="D1178" s="300" t="s">
        <v>4892</v>
      </c>
      <c r="E1178" s="300" t="s">
        <v>4475</v>
      </c>
      <c r="F1178" s="300" t="s">
        <v>4858</v>
      </c>
      <c r="G1178" s="300" t="s">
        <v>446</v>
      </c>
    </row>
    <row r="1179" spans="1:7" ht="14.5">
      <c r="A1179" s="300" t="s">
        <v>926</v>
      </c>
      <c r="B1179" s="300" t="s">
        <v>4479</v>
      </c>
      <c r="C1179" s="300" t="s">
        <v>4480</v>
      </c>
      <c r="D1179" s="300" t="s">
        <v>4892</v>
      </c>
      <c r="E1179" s="300" t="s">
        <v>4475</v>
      </c>
      <c r="F1179" s="300" t="s">
        <v>4858</v>
      </c>
      <c r="G1179" s="300" t="s">
        <v>446</v>
      </c>
    </row>
    <row r="1180" spans="1:7" ht="14.5">
      <c r="A1180" s="300" t="s">
        <v>926</v>
      </c>
      <c r="B1180" s="300" t="s">
        <v>4483</v>
      </c>
      <c r="C1180" s="300" t="s">
        <v>4484</v>
      </c>
      <c r="D1180" s="300" t="s">
        <v>4892</v>
      </c>
      <c r="E1180" s="300" t="s">
        <v>4475</v>
      </c>
      <c r="F1180" s="300" t="s">
        <v>4858</v>
      </c>
      <c r="G1180" s="300" t="s">
        <v>446</v>
      </c>
    </row>
    <row r="1181" spans="1:7" ht="14.5">
      <c r="A1181" s="300" t="s">
        <v>926</v>
      </c>
      <c r="B1181" s="300" t="s">
        <v>4486</v>
      </c>
      <c r="C1181" s="300" t="s">
        <v>4487</v>
      </c>
      <c r="D1181" s="300" t="s">
        <v>4887</v>
      </c>
      <c r="E1181" s="300" t="s">
        <v>4296</v>
      </c>
      <c r="F1181" s="300" t="s">
        <v>4858</v>
      </c>
      <c r="G1181" s="300" t="s">
        <v>446</v>
      </c>
    </row>
    <row r="1182" spans="1:7" ht="14.5">
      <c r="A1182" s="300" t="s">
        <v>926</v>
      </c>
      <c r="B1182" s="300" t="s">
        <v>4490</v>
      </c>
      <c r="C1182" s="300" t="s">
        <v>4491</v>
      </c>
      <c r="D1182" s="300" t="s">
        <v>4892</v>
      </c>
      <c r="E1182" s="300" t="s">
        <v>4475</v>
      </c>
      <c r="F1182" s="300" t="s">
        <v>4858</v>
      </c>
      <c r="G1182" s="300" t="s">
        <v>446</v>
      </c>
    </row>
    <row r="1183" spans="1:7" ht="14.5">
      <c r="A1183" s="300" t="s">
        <v>926</v>
      </c>
      <c r="B1183" s="300" t="s">
        <v>4494</v>
      </c>
      <c r="C1183" s="300" t="s">
        <v>4495</v>
      </c>
      <c r="D1183" s="300" t="s">
        <v>4892</v>
      </c>
      <c r="E1183" s="300" t="s">
        <v>4475</v>
      </c>
      <c r="F1183" s="300" t="s">
        <v>4858</v>
      </c>
      <c r="G1183" s="300" t="s">
        <v>446</v>
      </c>
    </row>
    <row r="1184" spans="1:7" ht="14.5">
      <c r="A1184" s="300" t="s">
        <v>926</v>
      </c>
      <c r="B1184" s="300" t="s">
        <v>4496</v>
      </c>
      <c r="C1184" s="300" t="s">
        <v>4497</v>
      </c>
      <c r="D1184" s="300" t="s">
        <v>4887</v>
      </c>
      <c r="E1184" s="300" t="s">
        <v>4296</v>
      </c>
      <c r="F1184" s="300" t="s">
        <v>4858</v>
      </c>
      <c r="G1184" s="300" t="s">
        <v>446</v>
      </c>
    </row>
    <row r="1185" spans="1:7" ht="14.5">
      <c r="A1185" s="300" t="s">
        <v>926</v>
      </c>
      <c r="B1185" s="300" t="s">
        <v>4499</v>
      </c>
      <c r="C1185" s="300" t="s">
        <v>4500</v>
      </c>
      <c r="D1185" s="300" t="s">
        <v>4887</v>
      </c>
      <c r="E1185" s="300" t="s">
        <v>4296</v>
      </c>
      <c r="F1185" s="300" t="s">
        <v>4858</v>
      </c>
      <c r="G1185" s="300" t="s">
        <v>446</v>
      </c>
    </row>
    <row r="1186" spans="1:7" ht="14.5">
      <c r="A1186" s="300" t="s">
        <v>926</v>
      </c>
      <c r="B1186" s="300" t="s">
        <v>4503</v>
      </c>
      <c r="C1186" s="300" t="s">
        <v>4504</v>
      </c>
      <c r="D1186" s="300" t="s">
        <v>4887</v>
      </c>
      <c r="E1186" s="300" t="s">
        <v>4296</v>
      </c>
      <c r="F1186" s="300" t="s">
        <v>4858</v>
      </c>
      <c r="G1186" s="300" t="s">
        <v>446</v>
      </c>
    </row>
    <row r="1187" spans="1:7" ht="14.5">
      <c r="A1187" s="300" t="s">
        <v>926</v>
      </c>
      <c r="B1187" s="300" t="s">
        <v>4505</v>
      </c>
      <c r="C1187" s="300" t="s">
        <v>4506</v>
      </c>
      <c r="D1187" s="300" t="s">
        <v>4887</v>
      </c>
      <c r="E1187" s="300" t="s">
        <v>4296</v>
      </c>
      <c r="F1187" s="300" t="s">
        <v>4858</v>
      </c>
      <c r="G1187" s="300" t="s">
        <v>446</v>
      </c>
    </row>
    <row r="1188" spans="1:7" ht="14.5">
      <c r="A1188" s="300" t="s">
        <v>926</v>
      </c>
      <c r="B1188" s="300" t="s">
        <v>4509</v>
      </c>
      <c r="C1188" s="300" t="s">
        <v>4510</v>
      </c>
      <c r="D1188" s="300" t="s">
        <v>4887</v>
      </c>
      <c r="E1188" s="300" t="s">
        <v>4296</v>
      </c>
      <c r="F1188" s="300" t="s">
        <v>4858</v>
      </c>
      <c r="G1188" s="300" t="s">
        <v>446</v>
      </c>
    </row>
    <row r="1189" spans="1:7" ht="14.5">
      <c r="A1189" s="300" t="s">
        <v>926</v>
      </c>
      <c r="B1189" s="300" t="s">
        <v>4513</v>
      </c>
      <c r="C1189" s="300" t="s">
        <v>4514</v>
      </c>
      <c r="D1189" s="300" t="s">
        <v>4893</v>
      </c>
      <c r="E1189" s="300" t="s">
        <v>4516</v>
      </c>
      <c r="F1189" s="300" t="s">
        <v>4858</v>
      </c>
      <c r="G1189" s="300" t="s">
        <v>446</v>
      </c>
    </row>
    <row r="1190" spans="1:7" ht="14.5">
      <c r="A1190" s="300" t="s">
        <v>926</v>
      </c>
      <c r="B1190" s="300" t="s">
        <v>4517</v>
      </c>
      <c r="C1190" s="300" t="s">
        <v>4518</v>
      </c>
      <c r="D1190" s="300" t="s">
        <v>4893</v>
      </c>
      <c r="E1190" s="300" t="s">
        <v>4516</v>
      </c>
      <c r="F1190" s="300" t="s">
        <v>4858</v>
      </c>
      <c r="G1190" s="300" t="s">
        <v>446</v>
      </c>
    </row>
    <row r="1191" spans="1:7" ht="14.5">
      <c r="A1191" s="300" t="s">
        <v>926</v>
      </c>
      <c r="B1191" s="300" t="s">
        <v>4521</v>
      </c>
      <c r="C1191" s="300" t="s">
        <v>4522</v>
      </c>
      <c r="D1191" s="300" t="s">
        <v>4893</v>
      </c>
      <c r="E1191" s="300" t="s">
        <v>4516</v>
      </c>
      <c r="F1191" s="300" t="s">
        <v>4858</v>
      </c>
      <c r="G1191" s="300" t="s">
        <v>446</v>
      </c>
    </row>
    <row r="1192" spans="1:7" ht="14.5">
      <c r="A1192" s="300" t="s">
        <v>926</v>
      </c>
      <c r="B1192" s="300" t="s">
        <v>4523</v>
      </c>
      <c r="C1192" s="300" t="s">
        <v>4524</v>
      </c>
      <c r="D1192" s="300" t="s">
        <v>4893</v>
      </c>
      <c r="E1192" s="300" t="s">
        <v>4516</v>
      </c>
      <c r="F1192" s="300" t="s">
        <v>4858</v>
      </c>
      <c r="G1192" s="300" t="s">
        <v>446</v>
      </c>
    </row>
    <row r="1193" spans="1:7" ht="14.5">
      <c r="A1193" s="300" t="s">
        <v>926</v>
      </c>
      <c r="B1193" s="300" t="s">
        <v>4527</v>
      </c>
      <c r="C1193" s="300" t="s">
        <v>4528</v>
      </c>
      <c r="D1193" s="300" t="s">
        <v>4893</v>
      </c>
      <c r="E1193" s="300" t="s">
        <v>4516</v>
      </c>
      <c r="F1193" s="300" t="s">
        <v>4858</v>
      </c>
      <c r="G1193" s="300" t="s">
        <v>446</v>
      </c>
    </row>
    <row r="1194" spans="1:7" ht="14.5">
      <c r="A1194" s="300" t="s">
        <v>926</v>
      </c>
      <c r="B1194" s="300" t="s">
        <v>4530</v>
      </c>
      <c r="C1194" s="300" t="s">
        <v>4531</v>
      </c>
      <c r="D1194" s="300" t="s">
        <v>4855</v>
      </c>
      <c r="E1194" s="300" t="s">
        <v>930</v>
      </c>
      <c r="F1194" s="300" t="s">
        <v>4856</v>
      </c>
      <c r="G1194" s="300" t="s">
        <v>449</v>
      </c>
    </row>
    <row r="1195" spans="1:7" ht="14.5">
      <c r="A1195" s="300" t="s">
        <v>926</v>
      </c>
      <c r="B1195" s="300" t="s">
        <v>4532</v>
      </c>
      <c r="C1195" s="300" t="s">
        <v>4533</v>
      </c>
      <c r="D1195" s="300" t="s">
        <v>4893</v>
      </c>
      <c r="E1195" s="300" t="s">
        <v>4516</v>
      </c>
      <c r="F1195" s="300" t="s">
        <v>4858</v>
      </c>
      <c r="G1195" s="300" t="s">
        <v>446</v>
      </c>
    </row>
    <row r="1196" spans="1:7" ht="14.5">
      <c r="A1196" s="300" t="s">
        <v>926</v>
      </c>
      <c r="B1196" s="300" t="s">
        <v>4536</v>
      </c>
      <c r="C1196" s="300" t="s">
        <v>4537</v>
      </c>
      <c r="D1196" s="300" t="s">
        <v>4893</v>
      </c>
      <c r="E1196" s="300" t="s">
        <v>4516</v>
      </c>
      <c r="F1196" s="300" t="s">
        <v>4858</v>
      </c>
      <c r="G1196" s="300" t="s">
        <v>446</v>
      </c>
    </row>
    <row r="1197" spans="1:7" ht="14.5">
      <c r="A1197" s="300" t="s">
        <v>926</v>
      </c>
      <c r="B1197" s="300" t="s">
        <v>4538</v>
      </c>
      <c r="C1197" s="300" t="s">
        <v>4539</v>
      </c>
      <c r="D1197" s="300" t="s">
        <v>4887</v>
      </c>
      <c r="E1197" s="300" t="s">
        <v>4296</v>
      </c>
      <c r="F1197" s="300" t="s">
        <v>4858</v>
      </c>
      <c r="G1197" s="300" t="s">
        <v>446</v>
      </c>
    </row>
    <row r="1198" spans="1:7" ht="14.5">
      <c r="A1198" s="300" t="s">
        <v>926</v>
      </c>
      <c r="B1198" s="300" t="s">
        <v>4541</v>
      </c>
      <c r="C1198" s="300" t="s">
        <v>4542</v>
      </c>
      <c r="D1198" s="300" t="s">
        <v>4868</v>
      </c>
      <c r="E1198" s="300" t="s">
        <v>1818</v>
      </c>
      <c r="F1198" s="300" t="s">
        <v>4858</v>
      </c>
      <c r="G1198" s="300" t="s">
        <v>446</v>
      </c>
    </row>
    <row r="1199" spans="1:7" ht="14.5">
      <c r="A1199" s="300" t="s">
        <v>926</v>
      </c>
      <c r="B1199" s="300" t="s">
        <v>4544</v>
      </c>
      <c r="C1199" s="300" t="s">
        <v>4545</v>
      </c>
      <c r="D1199" s="300" t="s">
        <v>4868</v>
      </c>
      <c r="E1199" s="300" t="s">
        <v>1818</v>
      </c>
      <c r="F1199" s="300" t="s">
        <v>4858</v>
      </c>
      <c r="G1199" s="300" t="s">
        <v>446</v>
      </c>
    </row>
    <row r="1200" spans="1:7" ht="14.5">
      <c r="A1200" s="300" t="s">
        <v>926</v>
      </c>
      <c r="B1200" s="300" t="s">
        <v>4548</v>
      </c>
      <c r="C1200" s="300" t="s">
        <v>4549</v>
      </c>
      <c r="D1200" s="300" t="s">
        <v>4868</v>
      </c>
      <c r="E1200" s="300" t="s">
        <v>1818</v>
      </c>
      <c r="F1200" s="300" t="s">
        <v>4858</v>
      </c>
      <c r="G1200" s="300" t="s">
        <v>446</v>
      </c>
    </row>
    <row r="1201" spans="1:7" ht="14.5">
      <c r="A1201" s="300" t="s">
        <v>926</v>
      </c>
      <c r="B1201" s="300" t="s">
        <v>4552</v>
      </c>
      <c r="C1201" s="300" t="s">
        <v>4553</v>
      </c>
      <c r="D1201" s="300" t="s">
        <v>4868</v>
      </c>
      <c r="E1201" s="300" t="s">
        <v>1818</v>
      </c>
      <c r="F1201" s="300" t="s">
        <v>4858</v>
      </c>
      <c r="G1201" s="300" t="s">
        <v>446</v>
      </c>
    </row>
    <row r="1202" spans="1:7" ht="14.5">
      <c r="A1202" s="300" t="s">
        <v>926</v>
      </c>
      <c r="B1202" s="300" t="s">
        <v>4556</v>
      </c>
      <c r="C1202" s="300" t="s">
        <v>4557</v>
      </c>
      <c r="D1202" s="300" t="s">
        <v>4868</v>
      </c>
      <c r="E1202" s="300" t="s">
        <v>1818</v>
      </c>
      <c r="F1202" s="300" t="s">
        <v>4858</v>
      </c>
      <c r="G1202" s="300" t="s">
        <v>446</v>
      </c>
    </row>
    <row r="1203" spans="1:7" ht="14.5">
      <c r="A1203" s="300" t="s">
        <v>926</v>
      </c>
      <c r="B1203" s="300" t="s">
        <v>4560</v>
      </c>
      <c r="C1203" s="300" t="s">
        <v>4547</v>
      </c>
      <c r="D1203" s="300" t="s">
        <v>4868</v>
      </c>
      <c r="E1203" s="300" t="s">
        <v>1818</v>
      </c>
      <c r="F1203" s="300" t="s">
        <v>4858</v>
      </c>
      <c r="G1203" s="300" t="s">
        <v>446</v>
      </c>
    </row>
    <row r="1204" spans="1:7" ht="14.5">
      <c r="A1204" s="300" t="s">
        <v>926</v>
      </c>
      <c r="B1204" s="300" t="s">
        <v>4561</v>
      </c>
      <c r="C1204" s="300" t="s">
        <v>4562</v>
      </c>
      <c r="D1204" s="300" t="s">
        <v>4868</v>
      </c>
      <c r="E1204" s="300" t="s">
        <v>1818</v>
      </c>
      <c r="F1204" s="300" t="s">
        <v>4858</v>
      </c>
      <c r="G1204" s="300" t="s">
        <v>446</v>
      </c>
    </row>
    <row r="1205" spans="1:7" ht="14.5">
      <c r="A1205" s="300" t="s">
        <v>926</v>
      </c>
      <c r="B1205" s="300" t="s">
        <v>4563</v>
      </c>
      <c r="C1205" s="300" t="s">
        <v>4564</v>
      </c>
      <c r="D1205" s="300" t="s">
        <v>4868</v>
      </c>
      <c r="E1205" s="300" t="s">
        <v>1818</v>
      </c>
      <c r="F1205" s="300" t="s">
        <v>4858</v>
      </c>
      <c r="G1205" s="300" t="s">
        <v>446</v>
      </c>
    </row>
    <row r="1206" spans="1:7" ht="14.5">
      <c r="A1206" s="300" t="s">
        <v>926</v>
      </c>
      <c r="B1206" s="300" t="s">
        <v>4565</v>
      </c>
      <c r="C1206" s="300" t="s">
        <v>4566</v>
      </c>
      <c r="D1206" s="300" t="s">
        <v>4868</v>
      </c>
      <c r="E1206" s="300" t="s">
        <v>1818</v>
      </c>
      <c r="F1206" s="300" t="s">
        <v>4858</v>
      </c>
      <c r="G1206" s="300" t="s">
        <v>446</v>
      </c>
    </row>
    <row r="1207" spans="1:7" ht="14.5">
      <c r="A1207" s="300" t="s">
        <v>926</v>
      </c>
      <c r="B1207" s="300" t="s">
        <v>4569</v>
      </c>
      <c r="C1207" s="300" t="s">
        <v>4570</v>
      </c>
      <c r="D1207" s="300" t="s">
        <v>4868</v>
      </c>
      <c r="E1207" s="300" t="s">
        <v>1818</v>
      </c>
      <c r="F1207" s="300" t="s">
        <v>4858</v>
      </c>
      <c r="G1207" s="300" t="s">
        <v>446</v>
      </c>
    </row>
    <row r="1208" spans="1:7" ht="14.5">
      <c r="A1208" s="300" t="s">
        <v>926</v>
      </c>
      <c r="B1208" s="300" t="s">
        <v>4571</v>
      </c>
      <c r="C1208" s="300" t="s">
        <v>4572</v>
      </c>
      <c r="D1208" s="300" t="s">
        <v>4868</v>
      </c>
      <c r="E1208" s="300" t="s">
        <v>1818</v>
      </c>
      <c r="F1208" s="300" t="s">
        <v>4858</v>
      </c>
      <c r="G1208" s="300" t="s">
        <v>446</v>
      </c>
    </row>
    <row r="1209" spans="1:7" ht="14.5">
      <c r="A1209" s="300" t="s">
        <v>926</v>
      </c>
      <c r="B1209" s="300" t="s">
        <v>4573</v>
      </c>
      <c r="C1209" s="300" t="s">
        <v>4574</v>
      </c>
      <c r="D1209" s="300" t="s">
        <v>4887</v>
      </c>
      <c r="E1209" s="300" t="s">
        <v>4296</v>
      </c>
      <c r="F1209" s="300" t="s">
        <v>4858</v>
      </c>
      <c r="G1209" s="300" t="s">
        <v>446</v>
      </c>
    </row>
    <row r="1210" spans="1:7" ht="14.5">
      <c r="A1210" s="300" t="s">
        <v>926</v>
      </c>
      <c r="B1210" s="300" t="s">
        <v>4576</v>
      </c>
      <c r="C1210" s="300" t="s">
        <v>4577</v>
      </c>
      <c r="D1210" s="300" t="s">
        <v>4887</v>
      </c>
      <c r="E1210" s="300" t="s">
        <v>4296</v>
      </c>
      <c r="F1210" s="300" t="s">
        <v>4858</v>
      </c>
      <c r="G1210" s="300" t="s">
        <v>446</v>
      </c>
    </row>
    <row r="1211" spans="1:7" ht="14.5">
      <c r="A1211" s="300" t="s">
        <v>926</v>
      </c>
      <c r="B1211" s="300" t="s">
        <v>4580</v>
      </c>
      <c r="C1211" s="300" t="s">
        <v>4581</v>
      </c>
      <c r="D1211" s="300" t="s">
        <v>4887</v>
      </c>
      <c r="E1211" s="300" t="s">
        <v>4296</v>
      </c>
      <c r="F1211" s="300" t="s">
        <v>4858</v>
      </c>
      <c r="G1211" s="300" t="s">
        <v>446</v>
      </c>
    </row>
    <row r="1212" spans="1:7" ht="14.5">
      <c r="A1212" s="300" t="s">
        <v>926</v>
      </c>
      <c r="B1212" s="300" t="s">
        <v>4582</v>
      </c>
      <c r="C1212" s="300" t="s">
        <v>4583</v>
      </c>
      <c r="D1212" s="300" t="s">
        <v>4887</v>
      </c>
      <c r="E1212" s="300" t="s">
        <v>4296</v>
      </c>
      <c r="F1212" s="300" t="s">
        <v>4858</v>
      </c>
      <c r="G1212" s="300" t="s">
        <v>446</v>
      </c>
    </row>
    <row r="1213" spans="1:7" ht="14.5">
      <c r="A1213" s="300" t="s">
        <v>926</v>
      </c>
      <c r="B1213" s="300" t="s">
        <v>4586</v>
      </c>
      <c r="C1213" s="300" t="s">
        <v>4587</v>
      </c>
      <c r="D1213" s="300" t="s">
        <v>4887</v>
      </c>
      <c r="E1213" s="300" t="s">
        <v>4296</v>
      </c>
      <c r="F1213" s="300" t="s">
        <v>4858</v>
      </c>
      <c r="G1213" s="300" t="s">
        <v>446</v>
      </c>
    </row>
    <row r="1214" spans="1:7" ht="14.5">
      <c r="A1214" s="300" t="s">
        <v>926</v>
      </c>
      <c r="B1214" s="300" t="s">
        <v>4589</v>
      </c>
      <c r="C1214" s="300" t="s">
        <v>4590</v>
      </c>
      <c r="D1214" s="300" t="s">
        <v>4887</v>
      </c>
      <c r="E1214" s="300" t="s">
        <v>4296</v>
      </c>
      <c r="F1214" s="300" t="s">
        <v>4858</v>
      </c>
      <c r="G1214" s="300" t="s">
        <v>446</v>
      </c>
    </row>
    <row r="1215" spans="1:7" ht="14.5">
      <c r="A1215" s="300" t="s">
        <v>926</v>
      </c>
      <c r="B1215" s="300" t="s">
        <v>4592</v>
      </c>
      <c r="C1215" s="300" t="s">
        <v>4593</v>
      </c>
      <c r="D1215" s="300" t="s">
        <v>4887</v>
      </c>
      <c r="E1215" s="300" t="s">
        <v>4296</v>
      </c>
      <c r="F1215" s="300" t="s">
        <v>4858</v>
      </c>
      <c r="G1215" s="300" t="s">
        <v>446</v>
      </c>
    </row>
    <row r="1216" spans="1:7" ht="14.5">
      <c r="A1216" s="300" t="s">
        <v>926</v>
      </c>
      <c r="B1216" s="300" t="s">
        <v>4595</v>
      </c>
      <c r="C1216" s="300" t="s">
        <v>4596</v>
      </c>
      <c r="D1216" s="300" t="s">
        <v>4887</v>
      </c>
      <c r="E1216" s="300" t="s">
        <v>4296</v>
      </c>
      <c r="F1216" s="300" t="s">
        <v>4858</v>
      </c>
      <c r="G1216" s="300" t="s">
        <v>446</v>
      </c>
    </row>
    <row r="1217" spans="1:7" ht="14.5">
      <c r="A1217" s="300" t="s">
        <v>926</v>
      </c>
      <c r="B1217" s="300" t="s">
        <v>4598</v>
      </c>
      <c r="C1217" s="300" t="s">
        <v>4599</v>
      </c>
      <c r="D1217" s="300" t="s">
        <v>4887</v>
      </c>
      <c r="E1217" s="300" t="s">
        <v>4296</v>
      </c>
      <c r="F1217" s="300" t="s">
        <v>4858</v>
      </c>
      <c r="G1217" s="300" t="s">
        <v>446</v>
      </c>
    </row>
    <row r="1218" spans="1:7" ht="14.5">
      <c r="A1218" s="300" t="s">
        <v>926</v>
      </c>
      <c r="B1218" s="300" t="s">
        <v>4601</v>
      </c>
      <c r="C1218" s="300" t="s">
        <v>4602</v>
      </c>
      <c r="D1218" s="300" t="s">
        <v>4887</v>
      </c>
      <c r="E1218" s="300" t="s">
        <v>4296</v>
      </c>
      <c r="F1218" s="300" t="s">
        <v>4858</v>
      </c>
      <c r="G1218" s="300" t="s">
        <v>446</v>
      </c>
    </row>
    <row r="1219" spans="1:7" ht="14.5">
      <c r="A1219" s="300" t="s">
        <v>926</v>
      </c>
      <c r="B1219" s="300" t="s">
        <v>4604</v>
      </c>
      <c r="C1219" s="300" t="s">
        <v>4605</v>
      </c>
      <c r="D1219" s="300" t="s">
        <v>4887</v>
      </c>
      <c r="E1219" s="300" t="s">
        <v>4296</v>
      </c>
      <c r="F1219" s="300" t="s">
        <v>4858</v>
      </c>
      <c r="G1219" s="300" t="s">
        <v>446</v>
      </c>
    </row>
    <row r="1220" spans="1:7" ht="14.5">
      <c r="A1220" s="300" t="s">
        <v>926</v>
      </c>
      <c r="B1220" s="300" t="s">
        <v>4608</v>
      </c>
      <c r="C1220" s="300" t="s">
        <v>4609</v>
      </c>
      <c r="D1220" s="300" t="s">
        <v>4887</v>
      </c>
      <c r="E1220" s="300" t="s">
        <v>4296</v>
      </c>
      <c r="F1220" s="300" t="s">
        <v>4858</v>
      </c>
      <c r="G1220" s="300" t="s">
        <v>446</v>
      </c>
    </row>
    <row r="1221" spans="1:7" ht="14.5">
      <c r="A1221" s="300" t="s">
        <v>926</v>
      </c>
      <c r="B1221" s="300" t="s">
        <v>4612</v>
      </c>
      <c r="C1221" s="300" t="s">
        <v>4613</v>
      </c>
      <c r="D1221" s="300" t="s">
        <v>4887</v>
      </c>
      <c r="E1221" s="300" t="s">
        <v>4296</v>
      </c>
      <c r="F1221" s="300" t="s">
        <v>4858</v>
      </c>
      <c r="G1221" s="300" t="s">
        <v>446</v>
      </c>
    </row>
    <row r="1222" spans="1:7" ht="14.5">
      <c r="A1222" s="300" t="s">
        <v>926</v>
      </c>
      <c r="B1222" s="300" t="s">
        <v>4616</v>
      </c>
      <c r="C1222" s="300" t="s">
        <v>4617</v>
      </c>
      <c r="D1222" s="300" t="s">
        <v>4887</v>
      </c>
      <c r="E1222" s="300" t="s">
        <v>4296</v>
      </c>
      <c r="F1222" s="300" t="s">
        <v>4858</v>
      </c>
      <c r="G1222" s="300" t="s">
        <v>446</v>
      </c>
    </row>
    <row r="1223" spans="1:7" ht="14.5">
      <c r="A1223" s="300" t="s">
        <v>926</v>
      </c>
      <c r="B1223" s="300" t="s">
        <v>4620</v>
      </c>
      <c r="C1223" s="300" t="s">
        <v>4603</v>
      </c>
      <c r="D1223" s="300" t="s">
        <v>4887</v>
      </c>
      <c r="E1223" s="300" t="s">
        <v>4296</v>
      </c>
      <c r="F1223" s="300" t="s">
        <v>4858</v>
      </c>
      <c r="G1223" s="300" t="s">
        <v>446</v>
      </c>
    </row>
    <row r="1224" spans="1:7" ht="14.5">
      <c r="A1224" s="300" t="s">
        <v>926</v>
      </c>
      <c r="B1224" s="300" t="s">
        <v>4622</v>
      </c>
      <c r="C1224" s="300" t="s">
        <v>4623</v>
      </c>
      <c r="D1224" s="300" t="s">
        <v>4887</v>
      </c>
      <c r="E1224" s="300" t="s">
        <v>4296</v>
      </c>
      <c r="F1224" s="300" t="s">
        <v>4858</v>
      </c>
      <c r="G1224" s="300" t="s">
        <v>446</v>
      </c>
    </row>
    <row r="1225" spans="1:7" ht="14.5">
      <c r="A1225" s="300" t="s">
        <v>926</v>
      </c>
      <c r="B1225" s="300" t="s">
        <v>4624</v>
      </c>
      <c r="C1225" s="300" t="s">
        <v>4625</v>
      </c>
      <c r="D1225" s="300" t="s">
        <v>4887</v>
      </c>
      <c r="E1225" s="300" t="s">
        <v>4296</v>
      </c>
      <c r="F1225" s="300" t="s">
        <v>4858</v>
      </c>
      <c r="G1225" s="300" t="s">
        <v>446</v>
      </c>
    </row>
    <row r="1226" spans="1:7" ht="14.5">
      <c r="A1226" s="300" t="s">
        <v>926</v>
      </c>
      <c r="B1226" s="300" t="s">
        <v>4627</v>
      </c>
      <c r="C1226" s="300" t="s">
        <v>4628</v>
      </c>
      <c r="D1226" s="300" t="s">
        <v>4887</v>
      </c>
      <c r="E1226" s="300" t="s">
        <v>4296</v>
      </c>
      <c r="F1226" s="300" t="s">
        <v>4858</v>
      </c>
      <c r="G1226" s="300" t="s">
        <v>446</v>
      </c>
    </row>
    <row r="1227" spans="1:7" ht="14.5">
      <c r="A1227" s="300" t="s">
        <v>926</v>
      </c>
      <c r="B1227" s="300" t="s">
        <v>4631</v>
      </c>
      <c r="C1227" s="300" t="s">
        <v>4632</v>
      </c>
      <c r="D1227" s="300" t="s">
        <v>4887</v>
      </c>
      <c r="E1227" s="300" t="s">
        <v>4296</v>
      </c>
      <c r="F1227" s="300" t="s">
        <v>4858</v>
      </c>
      <c r="G1227" s="300" t="s">
        <v>446</v>
      </c>
    </row>
    <row r="1228" spans="1:7" ht="14.5">
      <c r="A1228" s="300" t="s">
        <v>926</v>
      </c>
      <c r="B1228" s="300" t="s">
        <v>4633</v>
      </c>
      <c r="C1228" s="300" t="s">
        <v>4634</v>
      </c>
      <c r="D1228" s="300" t="s">
        <v>4887</v>
      </c>
      <c r="E1228" s="300" t="s">
        <v>4296</v>
      </c>
      <c r="F1228" s="300" t="s">
        <v>4858</v>
      </c>
      <c r="G1228" s="300" t="s">
        <v>446</v>
      </c>
    </row>
    <row r="1229" spans="1:7" ht="14.5">
      <c r="A1229" s="300" t="s">
        <v>926</v>
      </c>
      <c r="B1229" s="300" t="s">
        <v>4637</v>
      </c>
      <c r="C1229" s="300" t="s">
        <v>4638</v>
      </c>
      <c r="D1229" s="300" t="s">
        <v>4887</v>
      </c>
      <c r="E1229" s="300" t="s">
        <v>4296</v>
      </c>
      <c r="F1229" s="300" t="s">
        <v>4858</v>
      </c>
      <c r="G1229" s="300" t="s">
        <v>446</v>
      </c>
    </row>
    <row r="1230" spans="1:7" ht="14.5">
      <c r="A1230" s="300" t="s">
        <v>926</v>
      </c>
      <c r="B1230" s="300" t="s">
        <v>4641</v>
      </c>
      <c r="C1230" s="300" t="s">
        <v>4642</v>
      </c>
      <c r="D1230" s="300" t="s">
        <v>4887</v>
      </c>
      <c r="E1230" s="300" t="s">
        <v>4296</v>
      </c>
      <c r="F1230" s="300" t="s">
        <v>4858</v>
      </c>
      <c r="G1230" s="300" t="s">
        <v>446</v>
      </c>
    </row>
    <row r="1231" spans="1:7" ht="14.5">
      <c r="A1231" s="300" t="s">
        <v>926</v>
      </c>
      <c r="B1231" s="300" t="s">
        <v>4643</v>
      </c>
      <c r="C1231" s="300" t="s">
        <v>4644</v>
      </c>
      <c r="D1231" s="300" t="s">
        <v>4887</v>
      </c>
      <c r="E1231" s="300" t="s">
        <v>4296</v>
      </c>
      <c r="F1231" s="300" t="s">
        <v>4858</v>
      </c>
      <c r="G1231" s="300" t="s">
        <v>446</v>
      </c>
    </row>
    <row r="1232" spans="1:7" ht="14.5">
      <c r="A1232" s="300" t="s">
        <v>926</v>
      </c>
      <c r="B1232" s="300" t="s">
        <v>4647</v>
      </c>
      <c r="C1232" s="300" t="s">
        <v>4648</v>
      </c>
      <c r="D1232" s="300" t="s">
        <v>4887</v>
      </c>
      <c r="E1232" s="300" t="s">
        <v>4296</v>
      </c>
      <c r="F1232" s="300" t="s">
        <v>4858</v>
      </c>
      <c r="G1232" s="300" t="s">
        <v>446</v>
      </c>
    </row>
    <row r="1233" spans="1:7" ht="14.5">
      <c r="A1233" s="300" t="s">
        <v>926</v>
      </c>
      <c r="B1233" s="300" t="s">
        <v>4649</v>
      </c>
      <c r="C1233" s="300" t="s">
        <v>4650</v>
      </c>
      <c r="D1233" s="300" t="s">
        <v>4887</v>
      </c>
      <c r="E1233" s="300" t="s">
        <v>4296</v>
      </c>
      <c r="F1233" s="300" t="s">
        <v>4858</v>
      </c>
      <c r="G1233" s="300" t="s">
        <v>446</v>
      </c>
    </row>
    <row r="1234" spans="1:7" ht="14.5">
      <c r="A1234" s="300" t="s">
        <v>926</v>
      </c>
      <c r="B1234" s="300" t="s">
        <v>4653</v>
      </c>
      <c r="C1234" s="300" t="s">
        <v>4654</v>
      </c>
      <c r="D1234" s="300" t="s">
        <v>4887</v>
      </c>
      <c r="E1234" s="300" t="s">
        <v>4296</v>
      </c>
      <c r="F1234" s="300" t="s">
        <v>4858</v>
      </c>
      <c r="G1234" s="300" t="s">
        <v>446</v>
      </c>
    </row>
    <row r="1235" spans="1:7" ht="14.5">
      <c r="A1235" s="300" t="s">
        <v>926</v>
      </c>
      <c r="B1235" s="300" t="s">
        <v>4655</v>
      </c>
      <c r="C1235" s="300" t="s">
        <v>4603</v>
      </c>
      <c r="D1235" s="300" t="s">
        <v>4887</v>
      </c>
      <c r="E1235" s="300" t="s">
        <v>4296</v>
      </c>
      <c r="F1235" s="300" t="s">
        <v>4858</v>
      </c>
      <c r="G1235" s="300" t="s">
        <v>446</v>
      </c>
    </row>
    <row r="1236" spans="1:7" ht="14.5">
      <c r="A1236" s="300" t="s">
        <v>926</v>
      </c>
      <c r="B1236" s="300" t="s">
        <v>4656</v>
      </c>
      <c r="C1236" s="300" t="s">
        <v>4657</v>
      </c>
      <c r="D1236" s="300" t="s">
        <v>4857</v>
      </c>
      <c r="E1236" s="300" t="s">
        <v>1040</v>
      </c>
      <c r="F1236" s="300" t="s">
        <v>4858</v>
      </c>
      <c r="G1236" s="300" t="s">
        <v>446</v>
      </c>
    </row>
    <row r="1237" spans="1:7" ht="14.5">
      <c r="A1237" s="300" t="s">
        <v>926</v>
      </c>
      <c r="B1237" s="300" t="s">
        <v>4659</v>
      </c>
      <c r="C1237" s="300" t="s">
        <v>4660</v>
      </c>
      <c r="D1237" s="300" t="s">
        <v>4857</v>
      </c>
      <c r="E1237" s="300" t="s">
        <v>1040</v>
      </c>
      <c r="F1237" s="300" t="s">
        <v>4858</v>
      </c>
      <c r="G1237" s="300" t="s">
        <v>446</v>
      </c>
    </row>
    <row r="1238" spans="1:7" ht="14.5">
      <c r="A1238" s="300" t="s">
        <v>926</v>
      </c>
      <c r="B1238" s="300" t="s">
        <v>4662</v>
      </c>
      <c r="C1238" s="300" t="s">
        <v>4663</v>
      </c>
      <c r="D1238" s="300" t="s">
        <v>4857</v>
      </c>
      <c r="E1238" s="300" t="s">
        <v>1040</v>
      </c>
      <c r="F1238" s="300" t="s">
        <v>4858</v>
      </c>
      <c r="G1238" s="300" t="s">
        <v>446</v>
      </c>
    </row>
    <row r="1239" spans="1:7" ht="14.5">
      <c r="A1239" s="300" t="s">
        <v>926</v>
      </c>
      <c r="B1239" s="300" t="s">
        <v>4665</v>
      </c>
      <c r="C1239" s="300" t="s">
        <v>4666</v>
      </c>
      <c r="D1239" s="300" t="s">
        <v>4857</v>
      </c>
      <c r="E1239" s="300" t="s">
        <v>1040</v>
      </c>
      <c r="F1239" s="300" t="s">
        <v>4858</v>
      </c>
      <c r="G1239" s="300" t="s">
        <v>446</v>
      </c>
    </row>
    <row r="1240" spans="1:7" ht="14.5">
      <c r="A1240" s="300" t="s">
        <v>926</v>
      </c>
      <c r="B1240" s="300" t="s">
        <v>4669</v>
      </c>
      <c r="C1240" s="300" t="s">
        <v>4670</v>
      </c>
      <c r="D1240" s="300" t="s">
        <v>4857</v>
      </c>
      <c r="E1240" s="300" t="s">
        <v>1040</v>
      </c>
      <c r="F1240" s="300" t="s">
        <v>4858</v>
      </c>
      <c r="G1240" s="300" t="s">
        <v>446</v>
      </c>
    </row>
    <row r="1241" spans="1:7" ht="14.5">
      <c r="A1241" s="300" t="s">
        <v>926</v>
      </c>
      <c r="B1241" s="300" t="s">
        <v>4673</v>
      </c>
      <c r="C1241" s="300" t="s">
        <v>4674</v>
      </c>
      <c r="D1241" s="300" t="s">
        <v>4857</v>
      </c>
      <c r="E1241" s="300" t="s">
        <v>1040</v>
      </c>
      <c r="F1241" s="300" t="s">
        <v>4858</v>
      </c>
      <c r="G1241" s="300" t="s">
        <v>446</v>
      </c>
    </row>
    <row r="1242" spans="1:7" ht="14.5">
      <c r="A1242" s="300" t="s">
        <v>926</v>
      </c>
      <c r="B1242" s="300" t="s">
        <v>4677</v>
      </c>
      <c r="C1242" s="300" t="s">
        <v>4678</v>
      </c>
      <c r="D1242" s="300" t="s">
        <v>4857</v>
      </c>
      <c r="E1242" s="300" t="s">
        <v>1040</v>
      </c>
      <c r="F1242" s="300" t="s">
        <v>4858</v>
      </c>
      <c r="G1242" s="300" t="s">
        <v>446</v>
      </c>
    </row>
    <row r="1243" spans="1:7" ht="14.5">
      <c r="A1243" s="300" t="s">
        <v>926</v>
      </c>
      <c r="B1243" s="300" t="s">
        <v>4679</v>
      </c>
      <c r="C1243" s="300" t="s">
        <v>4680</v>
      </c>
      <c r="D1243" s="300" t="s">
        <v>4857</v>
      </c>
      <c r="E1243" s="300" t="s">
        <v>1040</v>
      </c>
      <c r="F1243" s="300" t="s">
        <v>4858</v>
      </c>
      <c r="G1243" s="300" t="s">
        <v>446</v>
      </c>
    </row>
    <row r="1244" spans="1:7" ht="14.5">
      <c r="A1244" s="300" t="s">
        <v>926</v>
      </c>
      <c r="B1244" s="300" t="s">
        <v>4682</v>
      </c>
      <c r="C1244" s="300" t="s">
        <v>4683</v>
      </c>
      <c r="D1244" s="300" t="s">
        <v>4857</v>
      </c>
      <c r="E1244" s="300" t="s">
        <v>1040</v>
      </c>
      <c r="F1244" s="300" t="s">
        <v>4858</v>
      </c>
      <c r="G1244" s="300" t="s">
        <v>446</v>
      </c>
    </row>
    <row r="1245" spans="1:7" ht="14.5">
      <c r="A1245" s="300" t="s">
        <v>926</v>
      </c>
      <c r="B1245" s="300" t="s">
        <v>4686</v>
      </c>
      <c r="C1245" s="300" t="s">
        <v>4687</v>
      </c>
      <c r="D1245" s="300" t="s">
        <v>4857</v>
      </c>
      <c r="E1245" s="300" t="s">
        <v>1040</v>
      </c>
      <c r="F1245" s="300" t="s">
        <v>4858</v>
      </c>
      <c r="G1245" s="300" t="s">
        <v>446</v>
      </c>
    </row>
    <row r="1246" spans="1:7" ht="14.5">
      <c r="A1246" s="300" t="s">
        <v>926</v>
      </c>
      <c r="B1246" s="300" t="s">
        <v>4688</v>
      </c>
      <c r="C1246" s="300" t="s">
        <v>4689</v>
      </c>
      <c r="D1246" s="300" t="s">
        <v>4857</v>
      </c>
      <c r="E1246" s="300" t="s">
        <v>1040</v>
      </c>
      <c r="F1246" s="300" t="s">
        <v>4858</v>
      </c>
      <c r="G1246" s="300" t="s">
        <v>446</v>
      </c>
    </row>
    <row r="1247" spans="1:7" ht="14.5">
      <c r="A1247" s="300" t="s">
        <v>926</v>
      </c>
      <c r="B1247" s="300" t="s">
        <v>4692</v>
      </c>
      <c r="C1247" s="300" t="s">
        <v>4693</v>
      </c>
      <c r="D1247" s="300" t="s">
        <v>4857</v>
      </c>
      <c r="E1247" s="300" t="s">
        <v>1040</v>
      </c>
      <c r="F1247" s="300" t="s">
        <v>4858</v>
      </c>
      <c r="G1247" s="300" t="s">
        <v>446</v>
      </c>
    </row>
    <row r="1248" spans="1:7" ht="14.5">
      <c r="A1248" s="300" t="s">
        <v>926</v>
      </c>
      <c r="B1248" s="300" t="s">
        <v>4694</v>
      </c>
      <c r="C1248" s="300" t="s">
        <v>4695</v>
      </c>
      <c r="D1248" s="300" t="s">
        <v>4857</v>
      </c>
      <c r="E1248" s="300" t="s">
        <v>1040</v>
      </c>
      <c r="F1248" s="300" t="s">
        <v>4858</v>
      </c>
      <c r="G1248" s="300" t="s">
        <v>446</v>
      </c>
    </row>
    <row r="1249" spans="1:7" ht="14.5">
      <c r="A1249" s="300" t="s">
        <v>926</v>
      </c>
      <c r="B1249" s="300" t="s">
        <v>4698</v>
      </c>
      <c r="C1249" s="300" t="s">
        <v>4699</v>
      </c>
      <c r="D1249" s="300" t="s">
        <v>4857</v>
      </c>
      <c r="E1249" s="300" t="s">
        <v>1040</v>
      </c>
      <c r="F1249" s="300" t="s">
        <v>4858</v>
      </c>
      <c r="G1249" s="300" t="s">
        <v>446</v>
      </c>
    </row>
    <row r="1250" spans="1:7" ht="14.5">
      <c r="A1250" s="300" t="s">
        <v>926</v>
      </c>
      <c r="B1250" s="300" t="s">
        <v>4702</v>
      </c>
      <c r="C1250" s="300" t="s">
        <v>4703</v>
      </c>
      <c r="D1250" s="300" t="s">
        <v>4857</v>
      </c>
      <c r="E1250" s="300" t="s">
        <v>1040</v>
      </c>
      <c r="F1250" s="300" t="s">
        <v>4858</v>
      </c>
      <c r="G1250" s="300" t="s">
        <v>446</v>
      </c>
    </row>
    <row r="1251" spans="1:7" ht="14.5">
      <c r="A1251" s="300" t="s">
        <v>926</v>
      </c>
      <c r="B1251" s="300" t="s">
        <v>4704</v>
      </c>
      <c r="C1251" s="300" t="s">
        <v>4705</v>
      </c>
      <c r="D1251" s="300" t="s">
        <v>4857</v>
      </c>
      <c r="E1251" s="300" t="s">
        <v>1040</v>
      </c>
      <c r="F1251" s="300" t="s">
        <v>4858</v>
      </c>
      <c r="G1251" s="300" t="s">
        <v>446</v>
      </c>
    </row>
    <row r="1252" spans="1:7" ht="14.5">
      <c r="A1252" s="300" t="s">
        <v>926</v>
      </c>
      <c r="B1252" s="300" t="s">
        <v>4707</v>
      </c>
      <c r="C1252" s="300" t="s">
        <v>4708</v>
      </c>
      <c r="D1252" s="300" t="s">
        <v>4857</v>
      </c>
      <c r="E1252" s="300" t="s">
        <v>1040</v>
      </c>
      <c r="F1252" s="300" t="s">
        <v>4858</v>
      </c>
      <c r="G1252" s="300" t="s">
        <v>446</v>
      </c>
    </row>
    <row r="1253" spans="1:7" ht="14.5">
      <c r="A1253" s="300" t="s">
        <v>926</v>
      </c>
      <c r="B1253" s="300" t="s">
        <v>4710</v>
      </c>
      <c r="C1253" s="300" t="s">
        <v>4711</v>
      </c>
      <c r="D1253" s="300" t="s">
        <v>4857</v>
      </c>
      <c r="E1253" s="300" t="s">
        <v>1040</v>
      </c>
      <c r="F1253" s="300" t="s">
        <v>4858</v>
      </c>
      <c r="G1253" s="300" t="s">
        <v>446</v>
      </c>
    </row>
    <row r="1254" spans="1:7" ht="14.5">
      <c r="A1254" s="300" t="s">
        <v>926</v>
      </c>
      <c r="B1254" s="300" t="s">
        <v>4713</v>
      </c>
      <c r="C1254" s="300" t="s">
        <v>4714</v>
      </c>
      <c r="D1254" s="300" t="s">
        <v>4857</v>
      </c>
      <c r="E1254" s="300" t="s">
        <v>1040</v>
      </c>
      <c r="F1254" s="300" t="s">
        <v>4858</v>
      </c>
      <c r="G1254" s="300" t="s">
        <v>446</v>
      </c>
    </row>
    <row r="1255" spans="1:7" ht="14.5">
      <c r="A1255" s="300" t="s">
        <v>926</v>
      </c>
      <c r="B1255" s="300" t="s">
        <v>4717</v>
      </c>
      <c r="C1255" s="300" t="s">
        <v>4718</v>
      </c>
      <c r="D1255" s="300" t="s">
        <v>4857</v>
      </c>
      <c r="E1255" s="300" t="s">
        <v>1040</v>
      </c>
      <c r="F1255" s="300" t="s">
        <v>4858</v>
      </c>
      <c r="G1255" s="300" t="s">
        <v>446</v>
      </c>
    </row>
    <row r="1256" spans="1:7" ht="14.5">
      <c r="A1256" s="300" t="s">
        <v>926</v>
      </c>
      <c r="B1256" s="300" t="s">
        <v>4719</v>
      </c>
      <c r="C1256" s="300" t="s">
        <v>4720</v>
      </c>
      <c r="D1256" s="300" t="s">
        <v>4857</v>
      </c>
      <c r="E1256" s="300" t="s">
        <v>1040</v>
      </c>
      <c r="F1256" s="300" t="s">
        <v>4858</v>
      </c>
      <c r="G1256" s="300" t="s">
        <v>446</v>
      </c>
    </row>
    <row r="1257" spans="1:7" ht="14.5">
      <c r="A1257" s="300" t="s">
        <v>926</v>
      </c>
      <c r="B1257" s="300" t="s">
        <v>4722</v>
      </c>
      <c r="C1257" s="300" t="s">
        <v>4723</v>
      </c>
      <c r="D1257" s="300" t="s">
        <v>4879</v>
      </c>
      <c r="E1257" s="300" t="s">
        <v>3488</v>
      </c>
      <c r="F1257" s="300" t="s">
        <v>4858</v>
      </c>
      <c r="G1257" s="300" t="s">
        <v>446</v>
      </c>
    </row>
    <row r="1258" spans="1:7" ht="14.5">
      <c r="A1258" s="300" t="s">
        <v>926</v>
      </c>
      <c r="B1258" s="300" t="s">
        <v>4726</v>
      </c>
      <c r="C1258" s="300" t="s">
        <v>4727</v>
      </c>
      <c r="D1258" s="300" t="s">
        <v>4857</v>
      </c>
      <c r="E1258" s="300" t="s">
        <v>1040</v>
      </c>
      <c r="F1258" s="300" t="s">
        <v>4858</v>
      </c>
      <c r="G1258" s="300" t="s">
        <v>446</v>
      </c>
    </row>
    <row r="1259" spans="1:7" ht="14.5">
      <c r="A1259" s="300" t="s">
        <v>926</v>
      </c>
      <c r="B1259" s="300" t="s">
        <v>4728</v>
      </c>
      <c r="C1259" s="300" t="s">
        <v>4729</v>
      </c>
      <c r="D1259" s="300" t="s">
        <v>4857</v>
      </c>
      <c r="E1259" s="300" t="s">
        <v>1040</v>
      </c>
      <c r="F1259" s="300" t="s">
        <v>4858</v>
      </c>
      <c r="G1259" s="300" t="s">
        <v>446</v>
      </c>
    </row>
    <row r="1260" spans="1:7" ht="14.5">
      <c r="A1260" s="300" t="s">
        <v>926</v>
      </c>
      <c r="B1260" s="300" t="s">
        <v>4730</v>
      </c>
      <c r="C1260" s="300" t="s">
        <v>4731</v>
      </c>
      <c r="D1260" s="300" t="s">
        <v>4857</v>
      </c>
      <c r="E1260" s="300" t="s">
        <v>1040</v>
      </c>
      <c r="F1260" s="300" t="s">
        <v>4858</v>
      </c>
      <c r="G1260" s="300" t="s">
        <v>446</v>
      </c>
    </row>
    <row r="1261" spans="1:7" ht="14.5">
      <c r="A1261" s="300" t="s">
        <v>926</v>
      </c>
      <c r="B1261" s="300" t="s">
        <v>4733</v>
      </c>
      <c r="C1261" s="300" t="s">
        <v>4734</v>
      </c>
      <c r="D1261" s="300" t="s">
        <v>4894</v>
      </c>
      <c r="E1261" s="300" t="s">
        <v>4736</v>
      </c>
      <c r="F1261" s="300" t="s">
        <v>4885</v>
      </c>
      <c r="G1261" s="300" t="s">
        <v>447</v>
      </c>
    </row>
    <row r="1262" spans="1:7" ht="14.5">
      <c r="A1262" s="300" t="s">
        <v>926</v>
      </c>
      <c r="B1262" s="300" t="s">
        <v>4737</v>
      </c>
      <c r="C1262" s="300" t="s">
        <v>4738</v>
      </c>
      <c r="D1262" s="300" t="s">
        <v>4894</v>
      </c>
      <c r="E1262" s="300" t="s">
        <v>4736</v>
      </c>
      <c r="F1262" s="300" t="s">
        <v>4885</v>
      </c>
      <c r="G1262" s="300" t="s">
        <v>447</v>
      </c>
    </row>
    <row r="1263" spans="1:7" ht="14.5">
      <c r="A1263" s="300" t="s">
        <v>926</v>
      </c>
      <c r="B1263" s="300" t="s">
        <v>4739</v>
      </c>
      <c r="C1263" s="300" t="s">
        <v>4740</v>
      </c>
      <c r="D1263" s="300" t="s">
        <v>4857</v>
      </c>
      <c r="E1263" s="300" t="s">
        <v>1040</v>
      </c>
      <c r="F1263" s="300" t="s">
        <v>4858</v>
      </c>
      <c r="G1263" s="300" t="s">
        <v>446</v>
      </c>
    </row>
    <row r="1264" spans="1:7" ht="14.5">
      <c r="A1264" s="300" t="s">
        <v>926</v>
      </c>
      <c r="B1264" s="300" t="s">
        <v>4742</v>
      </c>
      <c r="C1264" s="300" t="s">
        <v>4743</v>
      </c>
      <c r="D1264" s="300" t="s">
        <v>4857</v>
      </c>
      <c r="E1264" s="300" t="s">
        <v>1040</v>
      </c>
      <c r="F1264" s="300" t="s">
        <v>4858</v>
      </c>
      <c r="G1264" s="300" t="s">
        <v>446</v>
      </c>
    </row>
    <row r="1265" spans="1:7" ht="14.5">
      <c r="A1265" s="300" t="s">
        <v>926</v>
      </c>
      <c r="B1265" s="300" t="s">
        <v>4746</v>
      </c>
      <c r="C1265" s="300" t="s">
        <v>4747</v>
      </c>
      <c r="D1265" s="300" t="s">
        <v>4857</v>
      </c>
      <c r="E1265" s="300" t="s">
        <v>1040</v>
      </c>
      <c r="F1265" s="300" t="s">
        <v>4858</v>
      </c>
      <c r="G1265" s="300" t="s">
        <v>446</v>
      </c>
    </row>
    <row r="1266" spans="1:7" ht="14.5">
      <c r="A1266" s="300" t="s">
        <v>926</v>
      </c>
      <c r="B1266" s="300" t="s">
        <v>4748</v>
      </c>
      <c r="C1266" s="300" t="s">
        <v>4749</v>
      </c>
      <c r="D1266" s="300" t="s">
        <v>4857</v>
      </c>
      <c r="E1266" s="300" t="s">
        <v>1040</v>
      </c>
      <c r="F1266" s="300" t="s">
        <v>4858</v>
      </c>
      <c r="G1266" s="300" t="s">
        <v>446</v>
      </c>
    </row>
    <row r="1267" spans="1:7" ht="14.5">
      <c r="A1267" s="300" t="s">
        <v>926</v>
      </c>
      <c r="B1267" s="300" t="s">
        <v>4750</v>
      </c>
      <c r="C1267" s="300" t="s">
        <v>4751</v>
      </c>
      <c r="D1267" s="300" t="s">
        <v>4857</v>
      </c>
      <c r="E1267" s="300" t="s">
        <v>1040</v>
      </c>
      <c r="F1267" s="300" t="s">
        <v>4858</v>
      </c>
      <c r="G1267" s="300" t="s">
        <v>446</v>
      </c>
    </row>
    <row r="1268" spans="1:7" ht="14.5">
      <c r="A1268" s="300" t="s">
        <v>926</v>
      </c>
      <c r="B1268" s="300" t="s">
        <v>4752</v>
      </c>
      <c r="C1268" s="300" t="s">
        <v>4753</v>
      </c>
      <c r="D1268" s="300" t="s">
        <v>4857</v>
      </c>
      <c r="E1268" s="300" t="s">
        <v>1040</v>
      </c>
      <c r="F1268" s="300" t="s">
        <v>4858</v>
      </c>
      <c r="G1268" s="300" t="s">
        <v>446</v>
      </c>
    </row>
    <row r="1269" spans="1:7" ht="14.5">
      <c r="A1269" s="300" t="s">
        <v>926</v>
      </c>
      <c r="B1269" s="300" t="s">
        <v>4754</v>
      </c>
      <c r="C1269" s="300" t="s">
        <v>4755</v>
      </c>
      <c r="D1269" s="300" t="s">
        <v>4857</v>
      </c>
      <c r="E1269" s="300" t="s">
        <v>1040</v>
      </c>
      <c r="F1269" s="300" t="s">
        <v>4858</v>
      </c>
      <c r="G1269" s="300" t="s">
        <v>446</v>
      </c>
    </row>
    <row r="1270" spans="1:7" ht="14.5">
      <c r="A1270" s="300" t="s">
        <v>926</v>
      </c>
      <c r="B1270" s="300" t="s">
        <v>4758</v>
      </c>
      <c r="C1270" s="300" t="s">
        <v>4759</v>
      </c>
      <c r="D1270" s="300" t="s">
        <v>4857</v>
      </c>
      <c r="E1270" s="300" t="s">
        <v>1040</v>
      </c>
      <c r="F1270" s="300" t="s">
        <v>4858</v>
      </c>
      <c r="G1270" s="300" t="s">
        <v>446</v>
      </c>
    </row>
    <row r="1271" spans="1:7" ht="14.5">
      <c r="A1271" s="300" t="s">
        <v>926</v>
      </c>
      <c r="B1271" s="300" t="s">
        <v>4760</v>
      </c>
      <c r="C1271" s="300" t="s">
        <v>4761</v>
      </c>
      <c r="D1271" s="300" t="s">
        <v>4857</v>
      </c>
      <c r="E1271" s="300" t="s">
        <v>1040</v>
      </c>
      <c r="F1271" s="300" t="s">
        <v>4858</v>
      </c>
      <c r="G1271" s="300" t="s">
        <v>446</v>
      </c>
    </row>
    <row r="1272" spans="1:7" ht="14.5">
      <c r="A1272" s="300" t="s">
        <v>926</v>
      </c>
      <c r="B1272" s="300" t="s">
        <v>4763</v>
      </c>
      <c r="C1272" s="300" t="s">
        <v>4764</v>
      </c>
      <c r="D1272" s="300" t="s">
        <v>4857</v>
      </c>
      <c r="E1272" s="300" t="s">
        <v>1040</v>
      </c>
      <c r="F1272" s="300" t="s">
        <v>4858</v>
      </c>
      <c r="G1272" s="300" t="s">
        <v>446</v>
      </c>
    </row>
    <row r="1273" spans="1:7" ht="14.5">
      <c r="A1273" s="300" t="s">
        <v>926</v>
      </c>
      <c r="B1273" s="300" t="s">
        <v>4767</v>
      </c>
      <c r="C1273" s="300" t="s">
        <v>4768</v>
      </c>
      <c r="D1273" s="300" t="s">
        <v>4857</v>
      </c>
      <c r="E1273" s="300" t="s">
        <v>1040</v>
      </c>
      <c r="F1273" s="300" t="s">
        <v>4858</v>
      </c>
      <c r="G1273" s="300" t="s">
        <v>446</v>
      </c>
    </row>
    <row r="1274" spans="1:7" ht="14.5">
      <c r="A1274" s="300" t="s">
        <v>926</v>
      </c>
      <c r="B1274" s="300" t="s">
        <v>4769</v>
      </c>
      <c r="C1274" s="300" t="s">
        <v>4770</v>
      </c>
      <c r="D1274" s="300" t="s">
        <v>4857</v>
      </c>
      <c r="E1274" s="300" t="s">
        <v>1040</v>
      </c>
      <c r="F1274" s="300" t="s">
        <v>4858</v>
      </c>
      <c r="G1274" s="300" t="s">
        <v>446</v>
      </c>
    </row>
    <row r="1275" spans="1:7" ht="14.5">
      <c r="A1275" s="300" t="s">
        <v>926</v>
      </c>
      <c r="B1275" s="300" t="s">
        <v>4771</v>
      </c>
      <c r="C1275" s="300" t="s">
        <v>4772</v>
      </c>
      <c r="D1275" s="300" t="s">
        <v>4857</v>
      </c>
      <c r="E1275" s="300" t="s">
        <v>1040</v>
      </c>
      <c r="F1275" s="300" t="s">
        <v>4858</v>
      </c>
      <c r="G1275" s="300" t="s">
        <v>446</v>
      </c>
    </row>
    <row r="1276" spans="1:7" ht="14.5">
      <c r="A1276" s="300" t="s">
        <v>926</v>
      </c>
      <c r="B1276" s="300" t="s">
        <v>4774</v>
      </c>
      <c r="C1276" s="300" t="s">
        <v>4775</v>
      </c>
      <c r="D1276" s="300" t="s">
        <v>4857</v>
      </c>
      <c r="E1276" s="300" t="s">
        <v>1040</v>
      </c>
      <c r="F1276" s="300" t="s">
        <v>4858</v>
      </c>
      <c r="G1276" s="300" t="s">
        <v>446</v>
      </c>
    </row>
    <row r="1277" spans="1:7" ht="14.5">
      <c r="A1277" s="300" t="s">
        <v>926</v>
      </c>
      <c r="B1277" s="300" t="s">
        <v>4778</v>
      </c>
      <c r="C1277" s="300" t="s">
        <v>4779</v>
      </c>
      <c r="D1277" s="300" t="s">
        <v>4857</v>
      </c>
      <c r="E1277" s="300" t="s">
        <v>1040</v>
      </c>
      <c r="F1277" s="300" t="s">
        <v>4858</v>
      </c>
      <c r="G1277" s="300" t="s">
        <v>446</v>
      </c>
    </row>
    <row r="1278" spans="1:7" ht="14.5">
      <c r="A1278" s="300" t="s">
        <v>926</v>
      </c>
      <c r="B1278" s="300" t="s">
        <v>4782</v>
      </c>
      <c r="C1278" s="300" t="s">
        <v>4783</v>
      </c>
      <c r="D1278" s="300" t="s">
        <v>4857</v>
      </c>
      <c r="E1278" s="300" t="s">
        <v>1040</v>
      </c>
      <c r="F1278" s="300" t="s">
        <v>4858</v>
      </c>
      <c r="G1278" s="300" t="s">
        <v>446</v>
      </c>
    </row>
    <row r="1279" spans="1:7" ht="14.5">
      <c r="A1279" s="300" t="s">
        <v>926</v>
      </c>
      <c r="B1279" s="300" t="s">
        <v>4786</v>
      </c>
      <c r="C1279" s="300" t="s">
        <v>4787</v>
      </c>
      <c r="D1279" s="300" t="s">
        <v>4857</v>
      </c>
      <c r="E1279" s="300" t="s">
        <v>1040</v>
      </c>
      <c r="F1279" s="300" t="s">
        <v>4858</v>
      </c>
      <c r="G1279" s="300" t="s">
        <v>446</v>
      </c>
    </row>
    <row r="1280" spans="1:7" ht="14.5">
      <c r="A1280" s="300" t="s">
        <v>926</v>
      </c>
      <c r="B1280" s="300" t="s">
        <v>4788</v>
      </c>
      <c r="C1280" s="300" t="s">
        <v>4789</v>
      </c>
      <c r="D1280" s="300" t="s">
        <v>4857</v>
      </c>
      <c r="E1280" s="300" t="s">
        <v>1040</v>
      </c>
      <c r="F1280" s="300" t="s">
        <v>4858</v>
      </c>
      <c r="G1280" s="300" t="s">
        <v>446</v>
      </c>
    </row>
    <row r="1281" spans="1:7" ht="14.5">
      <c r="A1281" s="300" t="s">
        <v>926</v>
      </c>
      <c r="B1281" s="300" t="s">
        <v>4790</v>
      </c>
      <c r="C1281" s="300" t="s">
        <v>4791</v>
      </c>
      <c r="D1281" s="300" t="s">
        <v>4857</v>
      </c>
      <c r="E1281" s="300" t="s">
        <v>1040</v>
      </c>
      <c r="F1281" s="300" t="s">
        <v>4858</v>
      </c>
      <c r="G1281" s="300" t="s">
        <v>446</v>
      </c>
    </row>
    <row r="1282" spans="1:7" ht="14.5">
      <c r="A1282" s="300" t="s">
        <v>926</v>
      </c>
      <c r="B1282" s="300" t="s">
        <v>4793</v>
      </c>
      <c r="C1282" s="300" t="s">
        <v>4794</v>
      </c>
      <c r="D1282" s="300" t="s">
        <v>4857</v>
      </c>
      <c r="E1282" s="300" t="s">
        <v>1040</v>
      </c>
      <c r="F1282" s="300" t="s">
        <v>4858</v>
      </c>
      <c r="G1282" s="300" t="s">
        <v>446</v>
      </c>
    </row>
    <row r="1283" spans="1:7" ht="14.5">
      <c r="A1283" s="300" t="s">
        <v>926</v>
      </c>
      <c r="B1283" s="300" t="s">
        <v>4797</v>
      </c>
      <c r="C1283" s="300" t="s">
        <v>4798</v>
      </c>
      <c r="D1283" s="300" t="s">
        <v>4857</v>
      </c>
      <c r="E1283" s="300" t="s">
        <v>1040</v>
      </c>
      <c r="F1283" s="300" t="s">
        <v>4858</v>
      </c>
      <c r="G1283" s="300" t="s">
        <v>446</v>
      </c>
    </row>
    <row r="1284" spans="1:7" ht="14.5">
      <c r="A1284" s="300" t="s">
        <v>926</v>
      </c>
      <c r="B1284" s="300" t="s">
        <v>4800</v>
      </c>
      <c r="C1284" s="300" t="s">
        <v>4801</v>
      </c>
      <c r="D1284" s="300" t="s">
        <v>4857</v>
      </c>
      <c r="E1284" s="300" t="s">
        <v>1040</v>
      </c>
      <c r="F1284" s="300" t="s">
        <v>4858</v>
      </c>
      <c r="G1284" s="300" t="s">
        <v>446</v>
      </c>
    </row>
    <row r="1285" spans="1:7" ht="14.5">
      <c r="A1285" s="300" t="s">
        <v>926</v>
      </c>
      <c r="B1285" s="300" t="s">
        <v>4804</v>
      </c>
      <c r="C1285" s="300" t="s">
        <v>4805</v>
      </c>
      <c r="D1285" s="300" t="s">
        <v>4879</v>
      </c>
      <c r="E1285" s="300" t="s">
        <v>3488</v>
      </c>
      <c r="F1285" s="300" t="s">
        <v>4858</v>
      </c>
      <c r="G1285" s="300" t="s">
        <v>446</v>
      </c>
    </row>
    <row r="1286" spans="1:7" ht="14.5">
      <c r="A1286" s="300" t="s">
        <v>926</v>
      </c>
      <c r="B1286" s="300" t="s">
        <v>4806</v>
      </c>
      <c r="C1286" s="300" t="s">
        <v>4807</v>
      </c>
      <c r="D1286" s="300" t="s">
        <v>4879</v>
      </c>
      <c r="E1286" s="300" t="s">
        <v>3488</v>
      </c>
      <c r="F1286" s="300" t="s">
        <v>4858</v>
      </c>
      <c r="G1286" s="300" t="s">
        <v>446</v>
      </c>
    </row>
    <row r="1287" spans="1:7" ht="14.5">
      <c r="A1287" s="300" t="s">
        <v>926</v>
      </c>
      <c r="B1287" s="300" t="s">
        <v>4810</v>
      </c>
      <c r="C1287" s="300" t="s">
        <v>4811</v>
      </c>
      <c r="D1287" s="300" t="s">
        <v>4879</v>
      </c>
      <c r="E1287" s="300" t="s">
        <v>3488</v>
      </c>
      <c r="F1287" s="300" t="s">
        <v>4858</v>
      </c>
      <c r="G1287" s="300" t="s">
        <v>446</v>
      </c>
    </row>
    <row r="1288" spans="1:7" ht="14.5">
      <c r="A1288" s="300" t="s">
        <v>926</v>
      </c>
      <c r="B1288" s="300" t="s">
        <v>4812</v>
      </c>
      <c r="C1288" s="300" t="s">
        <v>4813</v>
      </c>
      <c r="D1288" s="300" t="s">
        <v>4879</v>
      </c>
      <c r="E1288" s="300" t="s">
        <v>3488</v>
      </c>
      <c r="F1288" s="300" t="s">
        <v>4858</v>
      </c>
      <c r="G1288" s="300" t="s">
        <v>446</v>
      </c>
    </row>
    <row r="1289" spans="1:7" ht="14.5">
      <c r="A1289" s="300" t="s">
        <v>926</v>
      </c>
      <c r="B1289" s="300" t="s">
        <v>4814</v>
      </c>
      <c r="C1289" s="300" t="s">
        <v>4815</v>
      </c>
      <c r="D1289" s="300" t="s">
        <v>4857</v>
      </c>
      <c r="E1289" s="300" t="s">
        <v>1040</v>
      </c>
      <c r="F1289" s="300" t="s">
        <v>4858</v>
      </c>
      <c r="G1289" s="300" t="s">
        <v>446</v>
      </c>
    </row>
    <row r="1290" spans="1:7" ht="14.5">
      <c r="A1290" s="300" t="s">
        <v>926</v>
      </c>
      <c r="B1290" s="300" t="s">
        <v>4817</v>
      </c>
      <c r="C1290" s="300" t="s">
        <v>4818</v>
      </c>
      <c r="D1290" s="300" t="s">
        <v>4857</v>
      </c>
      <c r="E1290" s="300" t="s">
        <v>1040</v>
      </c>
      <c r="F1290" s="300" t="s">
        <v>4858</v>
      </c>
      <c r="G1290" s="300" t="s">
        <v>446</v>
      </c>
    </row>
    <row r="1291" spans="1:7" ht="14.5">
      <c r="A1291" s="300" t="s">
        <v>926</v>
      </c>
      <c r="B1291" s="300" t="s">
        <v>4821</v>
      </c>
      <c r="C1291" s="300" t="s">
        <v>4822</v>
      </c>
      <c r="D1291" s="300" t="s">
        <v>4857</v>
      </c>
      <c r="E1291" s="300" t="s">
        <v>1040</v>
      </c>
      <c r="F1291" s="300" t="s">
        <v>4858</v>
      </c>
      <c r="G1291" s="300" t="s">
        <v>446</v>
      </c>
    </row>
    <row r="1292" spans="1:7" ht="14.5">
      <c r="A1292" s="300" t="s">
        <v>926</v>
      </c>
      <c r="B1292" s="300" t="s">
        <v>4824</v>
      </c>
      <c r="C1292" s="300" t="s">
        <v>4825</v>
      </c>
      <c r="D1292" s="300" t="s">
        <v>4857</v>
      </c>
      <c r="E1292" s="300" t="s">
        <v>1040</v>
      </c>
      <c r="F1292" s="300" t="s">
        <v>4858</v>
      </c>
      <c r="G1292" s="300" t="s">
        <v>446</v>
      </c>
    </row>
    <row r="1293" spans="1:7" ht="14.5">
      <c r="A1293" s="300" t="s">
        <v>926</v>
      </c>
      <c r="B1293" s="300" t="s">
        <v>4828</v>
      </c>
      <c r="C1293" s="300" t="s">
        <v>4829</v>
      </c>
      <c r="D1293" s="300" t="s">
        <v>4857</v>
      </c>
      <c r="E1293" s="300" t="s">
        <v>1040</v>
      </c>
      <c r="F1293" s="300" t="s">
        <v>4858</v>
      </c>
      <c r="G1293" s="300" t="s">
        <v>446</v>
      </c>
    </row>
    <row r="1294" spans="1:7" ht="14.5">
      <c r="A1294" s="300" t="s">
        <v>926</v>
      </c>
      <c r="B1294" s="300" t="s">
        <v>4832</v>
      </c>
      <c r="C1294" s="300" t="s">
        <v>4833</v>
      </c>
      <c r="D1294" s="300" t="s">
        <v>4857</v>
      </c>
      <c r="E1294" s="300" t="s">
        <v>1040</v>
      </c>
      <c r="F1294" s="300" t="s">
        <v>4858</v>
      </c>
      <c r="G1294" s="300" t="s">
        <v>446</v>
      </c>
    </row>
    <row r="1295" spans="1:7" ht="14.5">
      <c r="A1295" s="300" t="s">
        <v>926</v>
      </c>
      <c r="B1295" s="300" t="s">
        <v>4835</v>
      </c>
      <c r="C1295" s="300" t="s">
        <v>4836</v>
      </c>
      <c r="D1295" s="300" t="s">
        <v>4857</v>
      </c>
      <c r="E1295" s="300" t="s">
        <v>1040</v>
      </c>
      <c r="F1295" s="300" t="s">
        <v>4858</v>
      </c>
      <c r="G1295" s="300" t="s">
        <v>446</v>
      </c>
    </row>
    <row r="1296" spans="1:7" ht="14.5">
      <c r="A1296" s="300" t="s">
        <v>926</v>
      </c>
      <c r="B1296" s="300" t="s">
        <v>4839</v>
      </c>
      <c r="C1296" s="300" t="s">
        <v>4840</v>
      </c>
      <c r="D1296" s="300" t="s">
        <v>4857</v>
      </c>
      <c r="E1296" s="300" t="s">
        <v>1040</v>
      </c>
      <c r="F1296" s="300" t="s">
        <v>4858</v>
      </c>
      <c r="G1296" s="300" t="s">
        <v>446</v>
      </c>
    </row>
    <row r="1297" spans="1:7" ht="14.5">
      <c r="A1297" s="300" t="s">
        <v>926</v>
      </c>
      <c r="B1297" s="300" t="s">
        <v>4843</v>
      </c>
      <c r="C1297" s="300" t="s">
        <v>4844</v>
      </c>
      <c r="D1297" s="300" t="s">
        <v>4857</v>
      </c>
      <c r="E1297" s="300" t="s">
        <v>1040</v>
      </c>
      <c r="F1297" s="300" t="s">
        <v>4858</v>
      </c>
      <c r="G1297" s="300" t="s">
        <v>446</v>
      </c>
    </row>
    <row r="1298" spans="1:7" ht="14.5">
      <c r="A1298" s="300" t="s">
        <v>926</v>
      </c>
      <c r="B1298" s="300" t="s">
        <v>4845</v>
      </c>
      <c r="C1298" s="300" t="s">
        <v>4846</v>
      </c>
      <c r="D1298" s="300" t="s">
        <v>4857</v>
      </c>
      <c r="E1298" s="300" t="s">
        <v>1040</v>
      </c>
      <c r="F1298" s="300" t="s">
        <v>4858</v>
      </c>
      <c r="G1298" s="300" t="s">
        <v>446</v>
      </c>
    </row>
    <row r="1299" spans="1:7" ht="14.5">
      <c r="A1299" s="300" t="s">
        <v>926</v>
      </c>
      <c r="B1299" s="300" t="s">
        <v>4849</v>
      </c>
      <c r="C1299" s="300" t="s">
        <v>4844</v>
      </c>
      <c r="D1299" s="300" t="s">
        <v>4857</v>
      </c>
      <c r="E1299" s="300" t="s">
        <v>1040</v>
      </c>
      <c r="F1299" s="300" t="s">
        <v>4858</v>
      </c>
      <c r="G1299" s="300" t="s">
        <v>446</v>
      </c>
    </row>
    <row r="1300" spans="1:7" ht="14.5">
      <c r="A1300" s="300" t="s">
        <v>4895</v>
      </c>
      <c r="B1300" s="300" t="s">
        <v>4896</v>
      </c>
      <c r="C1300" s="300" t="s">
        <v>4897</v>
      </c>
      <c r="D1300" s="300" t="s">
        <v>4898</v>
      </c>
      <c r="E1300" s="300" t="s">
        <v>4899</v>
      </c>
      <c r="F1300" s="300" t="s">
        <v>4883</v>
      </c>
      <c r="G1300" s="300" t="s">
        <v>445</v>
      </c>
    </row>
    <row r="1301" spans="1:7" ht="14.5">
      <c r="A1301" s="300" t="s">
        <v>4895</v>
      </c>
      <c r="B1301" s="300" t="s">
        <v>4900</v>
      </c>
      <c r="C1301" s="300" t="s">
        <v>4901</v>
      </c>
      <c r="D1301" s="300" t="s">
        <v>4902</v>
      </c>
      <c r="E1301" s="300" t="s">
        <v>4901</v>
      </c>
      <c r="F1301" s="300" t="s">
        <v>4858</v>
      </c>
      <c r="G1301" s="300" t="s">
        <v>446</v>
      </c>
    </row>
    <row r="1302" spans="1:7" ht="14.5">
      <c r="A1302" s="300" t="s">
        <v>4895</v>
      </c>
      <c r="B1302" s="300" t="s">
        <v>4903</v>
      </c>
      <c r="C1302" s="300" t="s">
        <v>4904</v>
      </c>
      <c r="D1302" s="300" t="s">
        <v>4902</v>
      </c>
      <c r="E1302" s="300" t="s">
        <v>4901</v>
      </c>
      <c r="F1302" s="300" t="s">
        <v>4858</v>
      </c>
      <c r="G1302" s="300" t="s">
        <v>446</v>
      </c>
    </row>
    <row r="1303" spans="1:7" ht="14.5">
      <c r="A1303" s="300" t="s">
        <v>4895</v>
      </c>
      <c r="B1303" s="300" t="s">
        <v>4905</v>
      </c>
      <c r="C1303" s="300" t="s">
        <v>4906</v>
      </c>
      <c r="D1303" s="300" t="s">
        <v>4907</v>
      </c>
      <c r="E1303" s="300" t="s">
        <v>4908</v>
      </c>
      <c r="F1303" s="300" t="s">
        <v>4883</v>
      </c>
      <c r="G1303" s="300" t="s">
        <v>445</v>
      </c>
    </row>
    <row r="1304" spans="1:7" ht="14.5">
      <c r="A1304" s="300" t="s">
        <v>4895</v>
      </c>
      <c r="B1304" s="300" t="s">
        <v>4909</v>
      </c>
      <c r="C1304" s="300" t="s">
        <v>4910</v>
      </c>
      <c r="D1304" s="300" t="s">
        <v>4907</v>
      </c>
      <c r="E1304" s="300" t="s">
        <v>4908</v>
      </c>
      <c r="F1304" s="300" t="s">
        <v>4883</v>
      </c>
      <c r="G1304" s="300" t="s">
        <v>445</v>
      </c>
    </row>
    <row r="1305" spans="1:7" ht="14.5">
      <c r="A1305" s="300" t="s">
        <v>4895</v>
      </c>
      <c r="B1305" s="300" t="s">
        <v>4911</v>
      </c>
      <c r="C1305" s="300" t="s">
        <v>4912</v>
      </c>
      <c r="D1305" s="300" t="s">
        <v>4907</v>
      </c>
      <c r="E1305" s="300" t="s">
        <v>4908</v>
      </c>
      <c r="F1305" s="300" t="s">
        <v>4883</v>
      </c>
      <c r="G1305" s="300" t="s">
        <v>445</v>
      </c>
    </row>
    <row r="1306" spans="1:7" ht="14.5">
      <c r="A1306" s="300" t="s">
        <v>4895</v>
      </c>
      <c r="B1306" s="300" t="s">
        <v>4913</v>
      </c>
      <c r="C1306" s="300" t="s">
        <v>4914</v>
      </c>
      <c r="D1306" s="300" t="s">
        <v>4907</v>
      </c>
      <c r="E1306" s="300" t="s">
        <v>4908</v>
      </c>
      <c r="F1306" s="300" t="s">
        <v>4883</v>
      </c>
      <c r="G1306" s="300" t="s">
        <v>445</v>
      </c>
    </row>
    <row r="1307" spans="1:7" ht="14.5">
      <c r="A1307" s="300" t="s">
        <v>4895</v>
      </c>
      <c r="B1307" s="300" t="s">
        <v>4915</v>
      </c>
      <c r="C1307" s="300" t="s">
        <v>4916</v>
      </c>
      <c r="D1307" s="300" t="s">
        <v>4917</v>
      </c>
      <c r="E1307" s="300" t="s">
        <v>4918</v>
      </c>
      <c r="F1307" s="300" t="s">
        <v>4883</v>
      </c>
      <c r="G1307" s="300" t="s">
        <v>445</v>
      </c>
    </row>
    <row r="1308" spans="1:7" ht="14.5">
      <c r="A1308" s="300" t="s">
        <v>4895</v>
      </c>
      <c r="B1308" s="300" t="s">
        <v>4919</v>
      </c>
      <c r="C1308" s="300" t="s">
        <v>4920</v>
      </c>
      <c r="D1308" s="300" t="s">
        <v>4917</v>
      </c>
      <c r="E1308" s="300" t="s">
        <v>4918</v>
      </c>
      <c r="F1308" s="300" t="s">
        <v>4883</v>
      </c>
      <c r="G1308" s="300" t="s">
        <v>445</v>
      </c>
    </row>
    <row r="1309" spans="1:7" ht="14.5">
      <c r="A1309" s="300" t="s">
        <v>4895</v>
      </c>
      <c r="B1309" s="300" t="s">
        <v>4921</v>
      </c>
      <c r="C1309" s="300" t="s">
        <v>4922</v>
      </c>
      <c r="D1309" s="300" t="s">
        <v>4917</v>
      </c>
      <c r="E1309" s="300" t="s">
        <v>4918</v>
      </c>
      <c r="F1309" s="300" t="s">
        <v>4883</v>
      </c>
      <c r="G1309" s="300" t="s">
        <v>445</v>
      </c>
    </row>
    <row r="1310" spans="1:7" ht="14.5">
      <c r="A1310" s="300" t="s">
        <v>4895</v>
      </c>
      <c r="B1310" s="300" t="s">
        <v>4923</v>
      </c>
      <c r="C1310" s="300" t="s">
        <v>4924</v>
      </c>
      <c r="D1310" s="300" t="s">
        <v>4917</v>
      </c>
      <c r="E1310" s="300" t="s">
        <v>4918</v>
      </c>
      <c r="F1310" s="300" t="s">
        <v>4883</v>
      </c>
      <c r="G1310" s="300" t="s">
        <v>445</v>
      </c>
    </row>
    <row r="1311" spans="1:7" ht="14.5">
      <c r="A1311" s="300" t="s">
        <v>4895</v>
      </c>
      <c r="B1311" s="300" t="s">
        <v>4925</v>
      </c>
      <c r="C1311" s="300" t="s">
        <v>4926</v>
      </c>
      <c r="D1311" s="300" t="s">
        <v>4917</v>
      </c>
      <c r="E1311" s="300" t="s">
        <v>4918</v>
      </c>
      <c r="F1311" s="300" t="s">
        <v>4883</v>
      </c>
      <c r="G1311" s="300" t="s">
        <v>445</v>
      </c>
    </row>
    <row r="1312" spans="1:7" ht="14.5">
      <c r="A1312" s="300" t="s">
        <v>4895</v>
      </c>
      <c r="B1312" s="300" t="s">
        <v>4927</v>
      </c>
      <c r="C1312" s="300" t="s">
        <v>4928</v>
      </c>
      <c r="D1312" s="300" t="s">
        <v>4907</v>
      </c>
      <c r="E1312" s="300" t="s">
        <v>4908</v>
      </c>
      <c r="F1312" s="300" t="s">
        <v>4883</v>
      </c>
      <c r="G1312" s="300" t="s">
        <v>445</v>
      </c>
    </row>
    <row r="1313" spans="1:7" ht="14.5">
      <c r="A1313" s="300" t="s">
        <v>4895</v>
      </c>
      <c r="B1313" s="300" t="s">
        <v>4929</v>
      </c>
      <c r="C1313" s="300" t="s">
        <v>4930</v>
      </c>
      <c r="D1313" s="300" t="s">
        <v>4882</v>
      </c>
      <c r="E1313" s="300" t="s">
        <v>3925</v>
      </c>
      <c r="F1313" s="300" t="s">
        <v>4883</v>
      </c>
      <c r="G1313" s="300" t="s">
        <v>445</v>
      </c>
    </row>
    <row r="1314" spans="1:7" ht="14.5">
      <c r="A1314" s="300" t="s">
        <v>4895</v>
      </c>
      <c r="B1314" s="300" t="s">
        <v>4931</v>
      </c>
      <c r="C1314" s="300" t="s">
        <v>4932</v>
      </c>
      <c r="D1314" s="300" t="s">
        <v>4882</v>
      </c>
      <c r="E1314" s="300" t="s">
        <v>3925</v>
      </c>
      <c r="F1314" s="300" t="s">
        <v>4883</v>
      </c>
      <c r="G1314" s="300" t="s">
        <v>445</v>
      </c>
    </row>
    <row r="1315" spans="1:7" ht="14.5">
      <c r="A1315" s="300" t="s">
        <v>4895</v>
      </c>
      <c r="B1315" s="300" t="s">
        <v>4933</v>
      </c>
      <c r="C1315" s="300" t="s">
        <v>4934</v>
      </c>
      <c r="D1315" s="300" t="s">
        <v>4882</v>
      </c>
      <c r="E1315" s="300" t="s">
        <v>3925</v>
      </c>
      <c r="F1315" s="300" t="s">
        <v>4883</v>
      </c>
      <c r="G1315" s="300" t="s">
        <v>445</v>
      </c>
    </row>
    <row r="1316" spans="1:7" ht="14.5">
      <c r="A1316" s="300" t="s">
        <v>4895</v>
      </c>
      <c r="B1316" s="300" t="s">
        <v>4935</v>
      </c>
      <c r="C1316" s="300" t="s">
        <v>4936</v>
      </c>
      <c r="D1316" s="300" t="s">
        <v>4882</v>
      </c>
      <c r="E1316" s="300" t="s">
        <v>3925</v>
      </c>
      <c r="F1316" s="300" t="s">
        <v>4883</v>
      </c>
      <c r="G1316" s="300" t="s">
        <v>445</v>
      </c>
    </row>
    <row r="1317" spans="1:7" ht="14.5">
      <c r="A1317" s="300" t="s">
        <v>4895</v>
      </c>
      <c r="B1317" s="300" t="s">
        <v>4937</v>
      </c>
      <c r="C1317" s="300" t="s">
        <v>4938</v>
      </c>
      <c r="D1317" s="300" t="s">
        <v>4882</v>
      </c>
      <c r="E1317" s="300" t="s">
        <v>3925</v>
      </c>
      <c r="F1317" s="300" t="s">
        <v>4883</v>
      </c>
      <c r="G1317" s="300" t="s">
        <v>445</v>
      </c>
    </row>
    <row r="1318" spans="1:7" ht="14.5">
      <c r="A1318" s="300" t="s">
        <v>4895</v>
      </c>
      <c r="B1318" s="300" t="s">
        <v>4939</v>
      </c>
      <c r="C1318" s="300" t="s">
        <v>4940</v>
      </c>
      <c r="D1318" s="300" t="s">
        <v>4907</v>
      </c>
      <c r="E1318" s="300" t="s">
        <v>4908</v>
      </c>
      <c r="F1318" s="300" t="s">
        <v>4883</v>
      </c>
      <c r="G1318" s="300" t="s">
        <v>445</v>
      </c>
    </row>
    <row r="1319" spans="1:7" ht="14.5">
      <c r="A1319" s="300" t="s">
        <v>4895</v>
      </c>
      <c r="B1319" s="300" t="s">
        <v>4941</v>
      </c>
      <c r="C1319" s="300" t="s">
        <v>4942</v>
      </c>
      <c r="D1319" s="300" t="s">
        <v>4943</v>
      </c>
      <c r="E1319" s="300" t="s">
        <v>4942</v>
      </c>
      <c r="F1319" s="300" t="s">
        <v>4883</v>
      </c>
      <c r="G1319" s="300" t="s">
        <v>445</v>
      </c>
    </row>
    <row r="1320" spans="1:7" ht="14.5">
      <c r="A1320" s="300" t="s">
        <v>4895</v>
      </c>
      <c r="B1320" s="300" t="s">
        <v>4944</v>
      </c>
      <c r="C1320" s="300" t="s">
        <v>4945</v>
      </c>
      <c r="D1320" s="300" t="s">
        <v>4946</v>
      </c>
      <c r="E1320" s="300" t="s">
        <v>4945</v>
      </c>
      <c r="F1320" s="300" t="s">
        <v>4883</v>
      </c>
      <c r="G1320" s="300" t="s">
        <v>445</v>
      </c>
    </row>
  </sheetData>
  <sheetProtection password="C6C6"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5CEA61631EFE4D97DAA96D0E2AD0E3" ma:contentTypeVersion="16" ma:contentTypeDescription="Crée un document." ma:contentTypeScope="" ma:versionID="43cf85c5ee58000ca689f37867f12ad2">
  <xsd:schema xmlns:xsd="http://www.w3.org/2001/XMLSchema" xmlns:xs="http://www.w3.org/2001/XMLSchema" xmlns:p="http://schemas.microsoft.com/office/2006/metadata/properties" xmlns:ns2="b6ce08c7-aed7-45a4-b0d6-c1b7868f9bd7" xmlns:ns3="a5e6d64c-d5e7-4ed2-a774-72855e93e68e" targetNamespace="http://schemas.microsoft.com/office/2006/metadata/properties" ma:root="true" ma:fieldsID="689f797c236447d609bf85351c2f9ebb" ns2:_="" ns3:_="">
    <xsd:import namespace="b6ce08c7-aed7-45a4-b0d6-c1b7868f9bd7"/>
    <xsd:import namespace="a5e6d64c-d5e7-4ed2-a774-72855e93e68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e08c7-aed7-45a4-b0d6-c1b7868f9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60fd4b1-590a-4863-a642-a3a7f8f6c15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e6d64c-d5e7-4ed2-a774-72855e93e68e"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6ce08c7-aed7-45a4-b0d6-c1b7868f9b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6601CA-412B-4749-B155-A6225BE9C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e08c7-aed7-45a4-b0d6-c1b7868f9bd7"/>
    <ds:schemaRef ds:uri="a5e6d64c-d5e7-4ed2-a774-72855e93e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BD73AC-B588-4A89-8001-3E43A988B18B}">
  <ds:schemaRefs>
    <ds:schemaRef ds:uri="http://schemas.microsoft.com/sharepoint/v3/contenttype/forms"/>
  </ds:schemaRefs>
</ds:datastoreItem>
</file>

<file path=customXml/itemProps3.xml><?xml version="1.0" encoding="utf-8"?>
<ds:datastoreItem xmlns:ds="http://schemas.openxmlformats.org/officeDocument/2006/customXml" ds:itemID="{8A41ACD1-CCCB-4251-ABAE-644F98A5B1CA}">
  <ds:schemaRefs>
    <ds:schemaRef ds:uri="http://schemas.microsoft.com/office/2006/metadata/properties"/>
    <ds:schemaRef ds:uri="http://schemas.microsoft.com/office/infopath/2007/PartnerControls"/>
    <ds:schemaRef ds:uri="b6ce08c7-aed7-45a4-b0d6-c1b7868f9b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93</vt:i4>
      </vt:variant>
    </vt:vector>
  </HeadingPairs>
  <TitlesOfParts>
    <vt:vector size="107" baseType="lpstr">
      <vt:lpstr>Data</vt:lpstr>
      <vt:lpstr>1. Demande</vt:lpstr>
      <vt:lpstr>2. Plan d'implantation</vt:lpstr>
      <vt:lpstr>3 Rapport détaillé des coûts</vt:lpstr>
      <vt:lpstr>4. Résultats plan implantation</vt:lpstr>
      <vt:lpstr>4. Calcul Énergir et HQ</vt:lpstr>
      <vt:lpstr>Data_calc</vt:lpstr>
      <vt:lpstr>5. Dépenses internes</vt:lpstr>
      <vt:lpstr>Code CAE</vt:lpstr>
      <vt:lpstr>Définition</vt:lpstr>
      <vt:lpstr>CAE-SCIAN</vt:lpstr>
      <vt:lpstr>Annexe1 - GuidePlanImplantation</vt:lpstr>
      <vt:lpstr>Annexe 2 - Gabarit facture</vt:lpstr>
      <vt:lpstr>Annexe 3 - Facteurs</vt:lpstr>
      <vt:lpstr>'Annexe1 - GuidePlanImplantation'!_Hlk147137637</vt:lpstr>
      <vt:lpstr>'Annexe1 - GuidePlanImplantation'!_Hlk147137982</vt:lpstr>
      <vt:lpstr>'Annexe1 - GuidePlanImplantation'!_Hlk147138185</vt:lpstr>
      <vt:lpstr>A_Batiment</vt:lpstr>
      <vt:lpstr>Action</vt:lpstr>
      <vt:lpstr>Activite_Gestion_Dev</vt:lpstr>
      <vt:lpstr>ActiviteTransportExport</vt:lpstr>
      <vt:lpstr>Age_du_batiment</vt:lpstr>
      <vt:lpstr>Aide_dem</vt:lpstr>
      <vt:lpstr>AnalExport</vt:lpstr>
      <vt:lpstr>Analyse</vt:lpstr>
      <vt:lpstr>Appel</vt:lpstr>
      <vt:lpstr>Autes_Sites</vt:lpstr>
      <vt:lpstr>Autres_Sites</vt:lpstr>
      <vt:lpstr>BienerComp</vt:lpstr>
      <vt:lpstr>Bonif_microclimat</vt:lpstr>
      <vt:lpstr>CAE</vt:lpstr>
      <vt:lpstr>CAE_SCIAN</vt:lpstr>
      <vt:lpstr>Code_appel</vt:lpstr>
      <vt:lpstr>Commercial__Institutionnel_SANS_équipement_efficace</vt:lpstr>
      <vt:lpstr>compresseur_simple</vt:lpstr>
      <vt:lpstr>Connaissances</vt:lpstr>
      <vt:lpstr>Consomref</vt:lpstr>
      <vt:lpstr>Conversion</vt:lpstr>
      <vt:lpstr>Def_sec_C</vt:lpstr>
      <vt:lpstr>Deploiement2</vt:lpstr>
      <vt:lpstr>DEVA</vt:lpstr>
      <vt:lpstr>DEVB</vt:lpstr>
      <vt:lpstr>Echeancier</vt:lpstr>
      <vt:lpstr>Eff_énergétique</vt:lpstr>
      <vt:lpstr>Efficacité</vt:lpstr>
      <vt:lpstr>Émissions_fugitives</vt:lpstr>
      <vt:lpstr>Énergie</vt:lpstr>
      <vt:lpstr>Énergie_Biénergie</vt:lpstr>
      <vt:lpstr>Energie_SEQ</vt:lpstr>
      <vt:lpstr>EquipTranspoert</vt:lpstr>
      <vt:lpstr>EquipTransportExport</vt:lpstr>
      <vt:lpstr>Exportation</vt:lpstr>
      <vt:lpstr>Fin_Autre</vt:lpstr>
      <vt:lpstr>Fin_Autre_Biénergie</vt:lpstr>
      <vt:lpstr>Fin_autre2</vt:lpstr>
      <vt:lpstr>Fin_autre3</vt:lpstr>
      <vt:lpstr>Fugitive</vt:lpstr>
      <vt:lpstr>GESA</vt:lpstr>
      <vt:lpstr>GESB</vt:lpstr>
      <vt:lpstr>Gestion</vt:lpstr>
      <vt:lpstr>Gestion_d_énergie</vt:lpstr>
      <vt:lpstr>Implantation</vt:lpstr>
      <vt:lpstr>'1. Demande'!Impression_des_titres</vt:lpstr>
      <vt:lpstr>Définition!Impression_des_titres</vt:lpstr>
      <vt:lpstr>InnoDescType</vt:lpstr>
      <vt:lpstr>Innovation</vt:lpstr>
      <vt:lpstr>Liste_des_types_de_bâtiment</vt:lpstr>
      <vt:lpstr>Montage_Fin</vt:lpstr>
      <vt:lpstr>Montage_Fin_Inno</vt:lpstr>
      <vt:lpstr>Nbremes</vt:lpstr>
      <vt:lpstr>NRJ</vt:lpstr>
      <vt:lpstr>OPTER</vt:lpstr>
      <vt:lpstr>Ordre</vt:lpstr>
      <vt:lpstr>PRP</vt:lpstr>
      <vt:lpstr>Recom</vt:lpstr>
      <vt:lpstr>Refrigref</vt:lpstr>
      <vt:lpstr>Rep_Dep</vt:lpstr>
      <vt:lpstr>Rep_dep_Inno</vt:lpstr>
      <vt:lpstr>ResImplantation</vt:lpstr>
      <vt:lpstr>Tarif</vt:lpstr>
      <vt:lpstr>Terme_sec_C</vt:lpstr>
      <vt:lpstr>'Annexe 2 - Gabarit facture'!TPS</vt:lpstr>
      <vt:lpstr>'Annexe 2 - Gabarit facture'!TVQ</vt:lpstr>
      <vt:lpstr>Type_Aide</vt:lpstr>
      <vt:lpstr>type_bibloc</vt:lpstr>
      <vt:lpstr>type_boucle_eau</vt:lpstr>
      <vt:lpstr>Type_de_batiment</vt:lpstr>
      <vt:lpstr>'4. Calcul Énergir et HQ'!type_de_bâtiment</vt:lpstr>
      <vt:lpstr>Type_de_bâtiment</vt:lpstr>
      <vt:lpstr>Type_de_compresseur</vt:lpstr>
      <vt:lpstr>Type_de_projet</vt:lpstr>
      <vt:lpstr>Type_dequipement</vt:lpstr>
      <vt:lpstr>Type_dequipement_eff</vt:lpstr>
      <vt:lpstr>Type_dinstallation</vt:lpstr>
      <vt:lpstr>Type_emission</vt:lpstr>
      <vt:lpstr>Type_Entreprise</vt:lpstr>
      <vt:lpstr>type_rooftop</vt:lpstr>
      <vt:lpstr>Type_sys</vt:lpstr>
      <vt:lpstr>type_vrf</vt:lpstr>
      <vt:lpstr>Unite</vt:lpstr>
      <vt:lpstr>Unite_Surface</vt:lpstr>
      <vt:lpstr>Volet</vt:lpstr>
      <vt:lpstr>'1. Demande'!Zone_d_impression</vt:lpstr>
      <vt:lpstr>'2. Plan d''implantation'!Zone_d_impression</vt:lpstr>
      <vt:lpstr>'3 Rapport détaillé des coûts'!Zone_d_impression</vt:lpstr>
      <vt:lpstr>'4. Calcul Énergir et HQ'!Zone_d_impression</vt:lpstr>
      <vt:lpstr>'4. Résultats plan implantation'!Zone_d_impression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de demande d'aide financière - Volet Biénergie</dc:title>
  <dc:subject>Formulaire à remplir dans le cadre d’une demande d'aide financière au volet Biénergie du programme ÉcoPerformance.</dc:subject>
  <dc:creator>Ministère de l’Environnement, de la Lutte contre les changements climatiques, de la Faune et des Parcs;MELCCFP</dc:creator>
  <cp:keywords>ÉcoPerformance, biénergie, aide financière, formulaire</cp:keywords>
  <cp:lastModifiedBy>Caron Louis</cp:lastModifiedBy>
  <cp:lastPrinted>2023-09-26T13:35:58Z</cp:lastPrinted>
  <dcterms:created xsi:type="dcterms:W3CDTF">2007-11-05T15:37:51Z</dcterms:created>
  <dcterms:modified xsi:type="dcterms:W3CDTF">2026-07-13T14:02:20Z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État de validation">
    <vt:lpwstr/>
  </property>
  <property fmtid="{D5CDD505-2E9C-101B-9397-08002B2CF9AE}" pid="4" name="Sign-off status">
    <vt:lpwstr/>
  </property>
</Properties>
</file>