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tapedeconceptionprogramme/Documents partages/Documents utiles pour la conception de programme/Suivi des recommandations - Mandats d'évaluations/"/>
    </mc:Choice>
  </mc:AlternateContent>
  <xr:revisionPtr revIDLastSave="258" documentId="8_{EDB20E3D-7405-46CA-8E00-60A4F6F79970}" xr6:coauthVersionLast="47" xr6:coauthVersionMax="47" xr10:uidLastSave="{1C16A06D-5308-4AE2-BA6F-BCE2972E46EF}"/>
  <bookViews>
    <workbookView xWindow="11424" yWindow="0" windowWidth="11712" windowHeight="12336" tabRatio="693" activeTab="1" xr2:uid="{0864FF69-0274-4C78-9844-FAD5E0587146}"/>
  </bookViews>
  <sheets>
    <sheet name="Guide d'utilisation" sheetId="29" r:id="rId1"/>
    <sheet name="Calculateur" sheetId="26" r:id="rId2"/>
    <sheet name="Outil V3" sheetId="33" state="hidden" r:id="rId3"/>
    <sheet name="Instructions" sheetId="34" state="hidden" r:id="rId4"/>
    <sheet name="Prix GN" sheetId="27" state="hidden" r:id="rId5"/>
    <sheet name="Économies réelles" sheetId="31" state="hidden" r:id="rId6"/>
    <sheet name="Validation" sheetId="32" state="hidden" r:id="rId7"/>
    <sheet name="Courbe" sheetId="2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ccèsDonnéesIntang">[1]!AccèsIntangibles</definedName>
    <definedName name="AccèsDonnéesTang">[1]!AccèsTangibles</definedName>
    <definedName name="aDADF">'[2]Rapport suivi et implantation'!#REF!</definedName>
    <definedName name="Aérotherme" localSheetId="3">Instructions!$G$9:$G$10</definedName>
    <definedName name="Aérotherme">#REF!</definedName>
    <definedName name="afe">[3]!BudgetsSupAdmAn1</definedName>
    <definedName name="AnnéeDépart">[1]!AnnéeDépart</definedName>
    <definedName name="AnnéeSCGM">[1]!AnnéeSCGM</definedName>
    <definedName name="BénéfBonus">[4]Bonus!$D$18</definedName>
    <definedName name="Bonus">[4]Bonus!$D$19</definedName>
    <definedName name="Budgets">[1]!Budgets</definedName>
    <definedName name="BudgetsPICAn1">[1]!BudgetsPICAn1</definedName>
    <definedName name="BudgetsPICAn2">[1]!BudgetsPICAn2</definedName>
    <definedName name="BudgetsPICAn3">[1]!BudgetsPICAn3</definedName>
    <definedName name="BudgetsPICPlan">[1]!BudgetsPICPlan</definedName>
    <definedName name="BudgetsPIRAn1">[1]!BudgetsPIRAn1</definedName>
    <definedName name="BudgetsPIRAn2">[1]!BudgetsPIRAn2</definedName>
    <definedName name="BudgetsPIRAn3">[1]!BudgetsPIRAn3</definedName>
    <definedName name="BudgetsPIRPlan">[1]!BudgetsPIRPlan</definedName>
    <definedName name="BudgetsPTCAn1">[1]!BudgetsPTCAn1</definedName>
    <definedName name="BudgetsPTCAn2">[1]!BudgetsPTCAn2</definedName>
    <definedName name="BudgetsPTCAn3">[1]!BudgetsPTCAn3</definedName>
    <definedName name="BudgetsPTCPlan">[1]!BudgetsPTCPlan</definedName>
    <definedName name="BudgetsPTRAn1">[1]!BudgetsPTRAn1</definedName>
    <definedName name="BudgetsPTRAn2">[1]!BudgetsPTRAn2</definedName>
    <definedName name="BudgetsPTRAn3">[1]!BudgetsPTRAn3</definedName>
    <definedName name="BudgetsPTRPlan">[1]!BudgetsPTRPlan</definedName>
    <definedName name="BudgetsPTVAn1">[1]!BudgetsPTVAn1</definedName>
    <definedName name="BudgetsPTVAn2">[1]!BudgetsPTVAn2</definedName>
    <definedName name="BudgetsPTVAn3">[1]!BudgetsPTVAn3</definedName>
    <definedName name="BudgetsPTVPlan">[1]!BudgetsPTVPlan</definedName>
    <definedName name="BudgetsSupAdmAn1">[1]!BudgetsSupAdmAn1</definedName>
    <definedName name="BudgetsSupAdmAn2">[1]!BudgetsSupAdmAn2</definedName>
    <definedName name="BudgetsSupAdmAn3">[1]!BudgetsSupAdmAn3</definedName>
    <definedName name="CDSAFD">[5]!ProgTangiblesRés</definedName>
    <definedName name="ComposantesGES">[1]!ComposantesGES</definedName>
    <definedName name="Controle">Instructions!$O$7:$S$7</definedName>
    <definedName name="ContrôleColonnes">#REF!</definedName>
    <definedName name="ContrôleColonnesBudgets">'[2]Répartition des budgets du plan'!$L$17:$AI$17</definedName>
    <definedName name="ContrôleColonnesComparatifs">'[2]Comparatif de tests'!$J$20:$AE$20</definedName>
    <definedName name="ContrôleColonnesRécap">'[2]Récapitulatif financier'!$L$20:$BD$20</definedName>
    <definedName name="ContrôleRangées">#REF!</definedName>
    <definedName name="ContrôleRangéesPRI">[2]PRI!$D$25:$D$87</definedName>
    <definedName name="ContrôleRangéesProgrammesBudgets">'[2]Répartition des budgets du plan'!$D$26:$D$147</definedName>
    <definedName name="ContrôleRangéesProgrammesCachée" xml:space="preserve"> '[2]Feuille cachée!'!$D$12:$D$121</definedName>
    <definedName name="ContrôleRangéesProgrammesComparatifs">'[2]Comparatif de tests'!$D$30:$D$95</definedName>
    <definedName name="ContrôleRangéesProgrammesImpact">#REF!</definedName>
    <definedName name="ContrôleRangéesProgrammesRatio">'[2]Économies unitaires'!$D$24:$D$88</definedName>
    <definedName name="ContrôleRangéesProgrammesRécap">'[2]Récapitulatif financier'!$D$30:$D$147</definedName>
    <definedName name="ContrôleRangéesProgrammesRécomp">[2]Récompenses!$D$24:$D$133</definedName>
    <definedName name="ContrôleRangéesProgrammesRécompGlob">'[2]Récompense globale'!$D$24:$D$89</definedName>
    <definedName name="ContrôleRangéesProgrammesSuivi" xml:space="preserve"> '[2]Rapport suivi et implantation'!$D$23:$D$139</definedName>
    <definedName name="ContrôleRangéesTableauxBord">#REF!</definedName>
    <definedName name="CoûtBonus">[4]Bonus!$E$18</definedName>
    <definedName name="CoûtPlanAn1">'[2]Répartition des budgets du plan'!$M$149</definedName>
    <definedName name="CoûtPlanAn2">'[2]Répartition des budgets du plan'!$S$149</definedName>
    <definedName name="CoûtPlanAn3">'[2]Répartition des budgets du plan'!$Y$149</definedName>
    <definedName name="CoûtsCO2">[1]!CoûtsCO2</definedName>
    <definedName name="CoûtsProgramme">'[6]Données spécifiques'!$M$43:$Q$51</definedName>
    <definedName name="csas">#REF!</definedName>
    <definedName name="Ct_1">[1]!Ct_1</definedName>
    <definedName name="Ct_2">[1]!Ct_2</definedName>
    <definedName name="Ct_3">[1]!Ct_3</definedName>
    <definedName name="DestinationImpact">'[2]Feuille cachée!'!$K$13:$S$32,'[2]Feuille cachée!'!$K$35:$S$54,'[2]Feuille cachée!'!$K$79:$S$98,'[2]Feuille cachée!'!$K$101:$S$120</definedName>
    <definedName name="DestinationTableauxBord">#REF!</definedName>
    <definedName name="dfswvgswgde">#REF!</definedName>
    <definedName name="dqfrwgftwg">#REF!</definedName>
    <definedName name="eewrw">#REF!</definedName>
    <definedName name="ÉtudRechRéal">[1]!ÉtudRechRéal</definedName>
    <definedName name="ExternalData_1" localSheetId="4" hidden="1">'Prix GN'!$A$1:$E$21</definedName>
    <definedName name="fdewfwrg">#REF!</definedName>
    <definedName name="fewfg">[7]!ProgIntangiblesCII</definedName>
    <definedName name="FichiersIntangCII">[1]!FichiersIntangCII</definedName>
    <definedName name="FichiersIntangRés">[1]!FichiersIntangRés</definedName>
    <definedName name="FichiersTangCII">[1]!FichiersTangCII</definedName>
    <definedName name="FichiersTangRés">[1]!FichiersTangRés</definedName>
    <definedName name="FichiersTangVGE">[1]!FichiersTangVGE</definedName>
    <definedName name="FormuleImpact">'[2]Rapport suivi et implantation'!#REF!</definedName>
    <definedName name="FormuleTableauxBord">#REF!</definedName>
    <definedName name="FREGTRESHJ">#REF!</definedName>
    <definedName name="frgeet">#REF!</definedName>
    <definedName name="GainBrutAprèsTx">'[8]Pertes de revenus'!$I$51</definedName>
    <definedName name="GGHHRHR">#REF!</definedName>
    <definedName name="GJTotalAn1">'[2]Rapport suivi et implantation'!$AW$142</definedName>
    <definedName name="GJTotalAn2">'[2]Rapport suivi et implantation'!$AX$142</definedName>
    <definedName name="GJTotalAn3">'[2]Rapport suivi et implantation'!$AY$142</definedName>
    <definedName name="GJTotalRAn1">'[2]Rapport suivi et implantation'!$BA$142</definedName>
    <definedName name="GJTotalRAn2">'[2]Rapport suivi et implantation'!#REF!</definedName>
    <definedName name="GJTotalRAn3">'[2]Rapport suivi et implantation'!#REF!</definedName>
    <definedName name="hgugjhjh">'[2]Rapport suivi et implantation'!#REF!</definedName>
    <definedName name="IndexIndex">'[2]Contrôle Accès'!$B$11:$F$12</definedName>
    <definedName name="inflation">'[9]Paramètres économiques'!$C$4</definedName>
    <definedName name="Infrarouge" localSheetId="3">Instructions!$H$9:$H$11</definedName>
    <definedName name="Infrarouge">#REF!</definedName>
    <definedName name="InfrarougeListe">Instructions!$H$8:$H$11</definedName>
    <definedName name="ListeFichiersTableauxBord">#REF!</definedName>
    <definedName name="MoisAnnéeSCGM">[1]!MoisAnnéeSCGM</definedName>
    <definedName name="MoisComplété">[1]!MoisComplété</definedName>
    <definedName name="NA">Instructions!$O$15</definedName>
    <definedName name="NbMois">[1]!NbMois</definedName>
    <definedName name="NbParticipantsAn1">#REF!</definedName>
    <definedName name="NbProgrammes">[1]!NbProgrammes</definedName>
    <definedName name="PDFImpact">'[2]Rapport suivi et implantation'!#REF!</definedName>
    <definedName name="PDFTableauxBord">#REF!</definedName>
    <definedName name="peeeeee">#REF!</definedName>
    <definedName name="PerteBrutem3">'[10]Pertes de revenus'!$I$43</definedName>
    <definedName name="PertesNettesAn1">'[2]Feuille cachée!'!$N$123</definedName>
    <definedName name="PertesNettesAn2">'[2]Feuille cachée!'!$O$123</definedName>
    <definedName name="PertesNettesAn3">'[2]Feuille cachée!'!$P$123</definedName>
    <definedName name="ProgIntangiblesCII">[1]!ProgIntangiblesCII</definedName>
    <definedName name="ProgIntangiblesRés">[1]!ProgIntangiblesRés</definedName>
    <definedName name="ProgTangiblesCII">[1]!ProgTangiblesCII</definedName>
    <definedName name="ProgTangiblesRés">[1]!ProgTangiblesRés</definedName>
    <definedName name="ProgTangiblesVGE">[1]!ProgTangiblesVGE</definedName>
    <definedName name="r_réel_simple">[11]Paramètre!$C$6</definedName>
    <definedName name="RécompTotAn1">'[2]Feuille cachée!'!$Q$123</definedName>
    <definedName name="RécompTotAn2">'[2]Feuille cachée!'!$R$123</definedName>
    <definedName name="RépartitionBudgets">'[2]Répartition des budgets du plan'!$H$27:$AI$135</definedName>
    <definedName name="RevenusImpactTarif">[1]!RevenusImpactTarif</definedName>
    <definedName name="RevenusTotauxImpactTarif">[1]!RevenusTotauxImpactTarif</definedName>
    <definedName name="rtrtrhhj">#REF!</definedName>
    <definedName name="safc">[5]!ProgTangiblesRés</definedName>
    <definedName name="SDGDF">#REF!</definedName>
    <definedName name="StandardListe">Instructions!$G$8:$G$10</definedName>
    <definedName name="Subvention">#REF!</definedName>
    <definedName name="SupportAdmAN1">'[6]Données spécifiques'!$N$48</definedName>
    <definedName name="SupportAdmAN2">'[6]Données spécifiques'!$O$48</definedName>
    <definedName name="SupportAdmAN3">'[6]Données spécifiques'!$Q$48</definedName>
    <definedName name="SupportAdministration">[1]!SupportAdministration</definedName>
    <definedName name="TableauMasquableTableauxBord">#REF!</definedName>
    <definedName name="TauxInflation">[12]!TauxInflation</definedName>
    <definedName name="Taxes">#REF!</definedName>
    <definedName name="TexteMoisComplété">'[2]Feuille cachée!'!$AE$14:$AF$25</definedName>
    <definedName name="TotalRépartAn1">[1]!TotalRépartAn1</definedName>
    <definedName name="TotalRépartAn2">[1]!TotalRépartAn2</definedName>
    <definedName name="TotalRépartAn3">[1]!TotalRépartAn3</definedName>
    <definedName name="TotalSupAdmAN1">[1]!TotalSupAdmAN1</definedName>
    <definedName name="TotalSupAdmAN2">[1]!TotalSupAdmAN2</definedName>
    <definedName name="TotalSupAdmAN3">[1]!TotalSupAdmAN3</definedName>
    <definedName name="TotalSupAdmProg">[1]!TotalSupAdmProg</definedName>
    <definedName name="TpClientèles">[1]!TpClientèles</definedName>
    <definedName name="tx_act_nominal">'[9]Paramètres économiques'!$C$3</definedName>
    <definedName name="tx_act_réel">'[9]Paramètres économiques'!$C$5</definedName>
    <definedName name="VANSansSub">[1]!VANSansSub</definedName>
    <definedName name="vcdsfs">[5]!Ct_2</definedName>
    <definedName name="VersCourOutils">[1]!VersCourOutils</definedName>
    <definedName name="VersCourPEE">[1]!VersCourPEE</definedName>
    <definedName name="VolumeImpactTarif">[1]!VolumeImpactTarif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6" l="1"/>
  <c r="D67" i="26"/>
  <c r="D55" i="26"/>
  <c r="J2" i="26"/>
  <c r="F69" i="26"/>
  <c r="F67" i="26"/>
  <c r="F61" i="26"/>
  <c r="F57" i="26"/>
  <c r="H43" i="26"/>
  <c r="H41" i="26"/>
  <c r="H39" i="26"/>
  <c r="F43" i="26"/>
  <c r="F41" i="26"/>
  <c r="F39" i="26"/>
  <c r="I23" i="33"/>
  <c r="I25" i="33"/>
  <c r="F27" i="33"/>
  <c r="F25" i="33"/>
  <c r="F24" i="33"/>
  <c r="F9" i="33"/>
  <c r="F23" i="33"/>
  <c r="F8" i="33"/>
  <c r="F22" i="33" a="1"/>
  <c r="F22" i="33" s="1"/>
  <c r="C29" i="33"/>
  <c r="C14" i="33"/>
  <c r="C28" i="33"/>
  <c r="C27" i="33"/>
  <c r="C25" i="33"/>
  <c r="C10" i="33"/>
  <c r="C24" i="33"/>
  <c r="C23" i="33"/>
  <c r="C22" i="33"/>
  <c r="C21" i="33"/>
  <c r="C20" i="33"/>
  <c r="C9" i="33"/>
  <c r="I6" i="33" l="1"/>
  <c r="F10" i="33"/>
  <c r="F7" i="33" a="1"/>
  <c r="F7" i="33" s="1"/>
  <c r="F6" i="33" a="1"/>
  <c r="F6" i="33" s="1"/>
  <c r="F5" i="33"/>
  <c r="I8" i="33" l="1"/>
  <c r="F34" i="26"/>
  <c r="H32" i="26"/>
  <c r="F32" i="26"/>
  <c r="C13" i="33"/>
  <c r="I21" i="33"/>
  <c r="I22" i="33"/>
  <c r="F21" i="33" a="1"/>
  <c r="F21" i="33" s="1"/>
  <c r="C12" i="33"/>
  <c r="C8" i="33"/>
  <c r="C7" i="33"/>
  <c r="C6" i="33"/>
  <c r="C5" i="33"/>
  <c r="H34" i="26"/>
  <c r="H26" i="26"/>
  <c r="F26" i="26"/>
  <c r="L6" i="34"/>
  <c r="G14" i="34"/>
  <c r="F20" i="33"/>
  <c r="I5" i="33" l="1"/>
  <c r="I20" i="33"/>
  <c r="E4" i="32" l="1"/>
  <c r="E5" i="32"/>
  <c r="E6" i="32"/>
  <c r="E7" i="32"/>
  <c r="E8" i="32"/>
  <c r="E9" i="32"/>
  <c r="E10" i="32"/>
  <c r="E3" i="32"/>
  <c r="C4" i="32"/>
  <c r="C5" i="32"/>
  <c r="C6" i="32"/>
  <c r="C7" i="32"/>
  <c r="C8" i="32"/>
  <c r="C9" i="32"/>
  <c r="C10" i="32"/>
  <c r="C3" i="32"/>
  <c r="D188" i="31"/>
  <c r="C188" i="31"/>
  <c r="AC187" i="31"/>
  <c r="AD187" i="31" s="1"/>
  <c r="Y187" i="31"/>
  <c r="Z187" i="31" s="1"/>
  <c r="AA187" i="31" s="1"/>
  <c r="AB187" i="31" s="1"/>
  <c r="U187" i="31"/>
  <c r="V187" i="31" s="1"/>
  <c r="W187" i="31" s="1"/>
  <c r="X187" i="31" s="1"/>
  <c r="T187" i="31"/>
  <c r="Q187" i="31"/>
  <c r="R187" i="31" s="1"/>
  <c r="M187" i="31"/>
  <c r="N187" i="31" s="1"/>
  <c r="K187" i="31"/>
  <c r="H187" i="31"/>
  <c r="J187" i="31" s="1"/>
  <c r="S187" i="31" s="1"/>
  <c r="F187" i="31"/>
  <c r="AC186" i="31"/>
  <c r="AD186" i="31" s="1"/>
  <c r="Y186" i="31"/>
  <c r="Z186" i="31" s="1"/>
  <c r="AA186" i="31" s="1"/>
  <c r="AB186" i="31" s="1"/>
  <c r="U186" i="31"/>
  <c r="V186" i="31" s="1"/>
  <c r="Q186" i="31"/>
  <c r="R186" i="31" s="1"/>
  <c r="M186" i="31"/>
  <c r="N186" i="31" s="1"/>
  <c r="H186" i="31"/>
  <c r="J186" i="31" s="1"/>
  <c r="S186" i="31" s="1"/>
  <c r="T186" i="31" s="1"/>
  <c r="F186" i="31"/>
  <c r="AC185" i="31"/>
  <c r="AD185" i="31" s="1"/>
  <c r="Y185" i="31"/>
  <c r="Z185" i="31" s="1"/>
  <c r="U185" i="31"/>
  <c r="V185" i="31" s="1"/>
  <c r="Q185" i="31"/>
  <c r="R185" i="31" s="1"/>
  <c r="M185" i="31"/>
  <c r="N185" i="31" s="1"/>
  <c r="H185" i="31"/>
  <c r="J185" i="31" s="1"/>
  <c r="F185" i="31"/>
  <c r="AC184" i="31"/>
  <c r="AD184" i="31" s="1"/>
  <c r="AB184" i="31"/>
  <c r="Y184" i="31"/>
  <c r="Z184" i="31" s="1"/>
  <c r="AA184" i="31" s="1"/>
  <c r="U184" i="31"/>
  <c r="V184" i="31" s="1"/>
  <c r="W184" i="31" s="1"/>
  <c r="X184" i="31" s="1"/>
  <c r="T184" i="31"/>
  <c r="Q184" i="31"/>
  <c r="R184" i="31" s="1"/>
  <c r="M184" i="31"/>
  <c r="N184" i="31" s="1"/>
  <c r="K184" i="31"/>
  <c r="H184" i="31"/>
  <c r="J184" i="31" s="1"/>
  <c r="S184" i="31" s="1"/>
  <c r="F184" i="31"/>
  <c r="AC183" i="31"/>
  <c r="AD183" i="31" s="1"/>
  <c r="Y183" i="31"/>
  <c r="Z183" i="31" s="1"/>
  <c r="AA183" i="31" s="1"/>
  <c r="AB183" i="31" s="1"/>
  <c r="U183" i="31"/>
  <c r="V183" i="31" s="1"/>
  <c r="W183" i="31" s="1"/>
  <c r="X183" i="31" s="1"/>
  <c r="T183" i="31"/>
  <c r="Q183" i="31"/>
  <c r="R183" i="31" s="1"/>
  <c r="M183" i="31"/>
  <c r="N183" i="31" s="1"/>
  <c r="K183" i="31"/>
  <c r="H183" i="31"/>
  <c r="J183" i="31" s="1"/>
  <c r="S183" i="31" s="1"/>
  <c r="F183" i="31"/>
  <c r="AC182" i="31"/>
  <c r="AD182" i="31" s="1"/>
  <c r="Y182" i="31"/>
  <c r="Z182" i="31" s="1"/>
  <c r="AA182" i="31" s="1"/>
  <c r="AB182" i="31" s="1"/>
  <c r="U182" i="31"/>
  <c r="V182" i="31" s="1"/>
  <c r="Q182" i="31"/>
  <c r="R182" i="31" s="1"/>
  <c r="M182" i="31"/>
  <c r="N182" i="31" s="1"/>
  <c r="H182" i="31"/>
  <c r="J182" i="31" s="1"/>
  <c r="S182" i="31" s="1"/>
  <c r="T182" i="31" s="1"/>
  <c r="F182" i="31"/>
  <c r="AC181" i="31"/>
  <c r="AD181" i="31" s="1"/>
  <c r="AF181" i="31" s="1"/>
  <c r="AE181" i="31" s="1"/>
  <c r="Y181" i="31"/>
  <c r="Z181" i="31" s="1"/>
  <c r="U181" i="31"/>
  <c r="V181" i="31" s="1"/>
  <c r="Q181" i="31"/>
  <c r="R181" i="31" s="1"/>
  <c r="M181" i="31"/>
  <c r="N181" i="31" s="1"/>
  <c r="H181" i="31"/>
  <c r="J181" i="31" s="1"/>
  <c r="F181" i="31"/>
  <c r="AC180" i="31"/>
  <c r="AD180" i="31" s="1"/>
  <c r="AB180" i="31"/>
  <c r="Y180" i="31"/>
  <c r="Z180" i="31" s="1"/>
  <c r="AA180" i="31" s="1"/>
  <c r="U180" i="31"/>
  <c r="V180" i="31" s="1"/>
  <c r="W180" i="31" s="1"/>
  <c r="X180" i="31" s="1"/>
  <c r="T180" i="31"/>
  <c r="Q180" i="31"/>
  <c r="R180" i="31" s="1"/>
  <c r="M180" i="31"/>
  <c r="N180" i="31" s="1"/>
  <c r="K180" i="31"/>
  <c r="H180" i="31"/>
  <c r="J180" i="31" s="1"/>
  <c r="S180" i="31" s="1"/>
  <c r="F180" i="31"/>
  <c r="AC179" i="31"/>
  <c r="AD179" i="31" s="1"/>
  <c r="Y179" i="31"/>
  <c r="Z179" i="31" s="1"/>
  <c r="AA179" i="31" s="1"/>
  <c r="AB179" i="31" s="1"/>
  <c r="U179" i="31"/>
  <c r="V179" i="31" s="1"/>
  <c r="W179" i="31" s="1"/>
  <c r="X179" i="31" s="1"/>
  <c r="Q179" i="31"/>
  <c r="R179" i="31" s="1"/>
  <c r="M179" i="31"/>
  <c r="N179" i="31" s="1"/>
  <c r="K179" i="31"/>
  <c r="H179" i="31"/>
  <c r="J179" i="31" s="1"/>
  <c r="F179" i="31"/>
  <c r="AC178" i="31"/>
  <c r="AD178" i="31" s="1"/>
  <c r="Y178" i="31"/>
  <c r="Z178" i="31" s="1"/>
  <c r="AA178" i="31" s="1"/>
  <c r="AB178" i="31" s="1"/>
  <c r="U178" i="31"/>
  <c r="V178" i="31" s="1"/>
  <c r="Q178" i="31"/>
  <c r="R178" i="31" s="1"/>
  <c r="M178" i="31"/>
  <c r="N178" i="31" s="1"/>
  <c r="H178" i="31"/>
  <c r="J178" i="31" s="1"/>
  <c r="F178" i="31"/>
  <c r="AC177" i="31"/>
  <c r="AD177" i="31" s="1"/>
  <c r="AF177" i="31" s="1"/>
  <c r="AE177" i="31" s="1"/>
  <c r="Y177" i="31"/>
  <c r="Z177" i="31" s="1"/>
  <c r="U177" i="31"/>
  <c r="V177" i="31" s="1"/>
  <c r="Q177" i="31"/>
  <c r="R177" i="31" s="1"/>
  <c r="M177" i="31"/>
  <c r="N177" i="31" s="1"/>
  <c r="H177" i="31"/>
  <c r="J177" i="31" s="1"/>
  <c r="F177" i="31"/>
  <c r="AC176" i="31"/>
  <c r="AD176" i="31" s="1"/>
  <c r="Y176" i="31"/>
  <c r="Z176" i="31" s="1"/>
  <c r="U176" i="31"/>
  <c r="V176" i="31" s="1"/>
  <c r="W176" i="31" s="1"/>
  <c r="X176" i="31" s="1"/>
  <c r="Q176" i="31"/>
  <c r="R176" i="31" s="1"/>
  <c r="M176" i="31"/>
  <c r="N176" i="31" s="1"/>
  <c r="K176" i="31"/>
  <c r="H176" i="31"/>
  <c r="J176" i="31" s="1"/>
  <c r="F176" i="31"/>
  <c r="AC175" i="31"/>
  <c r="AD175" i="31" s="1"/>
  <c r="Y175" i="31"/>
  <c r="Z175" i="31" s="1"/>
  <c r="AA175" i="31" s="1"/>
  <c r="AB175" i="31" s="1"/>
  <c r="U175" i="31"/>
  <c r="V175" i="31" s="1"/>
  <c r="W175" i="31" s="1"/>
  <c r="X175" i="31" s="1"/>
  <c r="Q175" i="31"/>
  <c r="R175" i="31" s="1"/>
  <c r="M175" i="31"/>
  <c r="N175" i="31" s="1"/>
  <c r="K175" i="31"/>
  <c r="H175" i="31"/>
  <c r="J175" i="31" s="1"/>
  <c r="F175" i="31"/>
  <c r="AC174" i="31"/>
  <c r="AD174" i="31" s="1"/>
  <c r="Y174" i="31"/>
  <c r="Z174" i="31" s="1"/>
  <c r="AA174" i="31" s="1"/>
  <c r="AB174" i="31" s="1"/>
  <c r="U174" i="31"/>
  <c r="V174" i="31" s="1"/>
  <c r="Q174" i="31"/>
  <c r="R174" i="31" s="1"/>
  <c r="M174" i="31"/>
  <c r="N174" i="31" s="1"/>
  <c r="H174" i="31"/>
  <c r="J174" i="31" s="1"/>
  <c r="F174" i="31"/>
  <c r="AC173" i="31"/>
  <c r="AD173" i="31" s="1"/>
  <c r="AF173" i="31" s="1"/>
  <c r="AE173" i="31" s="1"/>
  <c r="Y173" i="31"/>
  <c r="Z173" i="31" s="1"/>
  <c r="U173" i="31"/>
  <c r="V173" i="31" s="1"/>
  <c r="Q173" i="31"/>
  <c r="R173" i="31" s="1"/>
  <c r="M173" i="31"/>
  <c r="N173" i="31" s="1"/>
  <c r="H173" i="31"/>
  <c r="J173" i="31" s="1"/>
  <c r="F173" i="31"/>
  <c r="AC172" i="31"/>
  <c r="AD172" i="31" s="1"/>
  <c r="Y172" i="31"/>
  <c r="Z172" i="31" s="1"/>
  <c r="U172" i="31"/>
  <c r="V172" i="31" s="1"/>
  <c r="W172" i="31" s="1"/>
  <c r="X172" i="31" s="1"/>
  <c r="Q172" i="31"/>
  <c r="R172" i="31" s="1"/>
  <c r="M172" i="31"/>
  <c r="N172" i="31" s="1"/>
  <c r="K172" i="31"/>
  <c r="H172" i="31"/>
  <c r="J172" i="31" s="1"/>
  <c r="F172" i="31"/>
  <c r="AC171" i="31"/>
  <c r="AD171" i="31" s="1"/>
  <c r="Y171" i="31"/>
  <c r="Z171" i="31" s="1"/>
  <c r="AA171" i="31" s="1"/>
  <c r="AB171" i="31" s="1"/>
  <c r="U171" i="31"/>
  <c r="V171" i="31" s="1"/>
  <c r="W171" i="31" s="1"/>
  <c r="X171" i="31" s="1"/>
  <c r="Q171" i="31"/>
  <c r="R171" i="31" s="1"/>
  <c r="M171" i="31"/>
  <c r="N171" i="31" s="1"/>
  <c r="H171" i="31"/>
  <c r="J171" i="31" s="1"/>
  <c r="F171" i="31"/>
  <c r="AC170" i="31"/>
  <c r="AD170" i="31" s="1"/>
  <c r="AF170" i="31" s="1"/>
  <c r="AE170" i="31" s="1"/>
  <c r="Y170" i="31"/>
  <c r="Z170" i="31" s="1"/>
  <c r="AA170" i="31" s="1"/>
  <c r="AB170" i="31" s="1"/>
  <c r="U170" i="31"/>
  <c r="V170" i="31" s="1"/>
  <c r="Q170" i="31"/>
  <c r="R170" i="31" s="1"/>
  <c r="M170" i="31"/>
  <c r="N170" i="31" s="1"/>
  <c r="K170" i="31"/>
  <c r="H170" i="31"/>
  <c r="J170" i="31" s="1"/>
  <c r="F170" i="31"/>
  <c r="AC169" i="31"/>
  <c r="AD169" i="31" s="1"/>
  <c r="Y169" i="31"/>
  <c r="Z169" i="31" s="1"/>
  <c r="AA169" i="31" s="1"/>
  <c r="AB169" i="31" s="1"/>
  <c r="U169" i="31"/>
  <c r="V169" i="31" s="1"/>
  <c r="W169" i="31" s="1"/>
  <c r="X169" i="31" s="1"/>
  <c r="Q169" i="31"/>
  <c r="R169" i="31" s="1"/>
  <c r="M169" i="31"/>
  <c r="N169" i="31" s="1"/>
  <c r="H169" i="31"/>
  <c r="J169" i="31" s="1"/>
  <c r="F169" i="31"/>
  <c r="AC168" i="31"/>
  <c r="AD168" i="31" s="1"/>
  <c r="AF168" i="31" s="1"/>
  <c r="AE168" i="31" s="1"/>
  <c r="Y168" i="31"/>
  <c r="Z168" i="31" s="1"/>
  <c r="AA168" i="31" s="1"/>
  <c r="AB168" i="31" s="1"/>
  <c r="U168" i="31"/>
  <c r="V168" i="31" s="1"/>
  <c r="W168" i="31" s="1"/>
  <c r="X168" i="31" s="1"/>
  <c r="Q168" i="31"/>
  <c r="R168" i="31" s="1"/>
  <c r="M168" i="31"/>
  <c r="N168" i="31" s="1"/>
  <c r="K168" i="31"/>
  <c r="H168" i="31"/>
  <c r="J168" i="31" s="1"/>
  <c r="F168" i="31"/>
  <c r="AC167" i="31"/>
  <c r="AD167" i="31" s="1"/>
  <c r="Y167" i="31"/>
  <c r="Z167" i="31" s="1"/>
  <c r="AA167" i="31" s="1"/>
  <c r="AB167" i="31" s="1"/>
  <c r="U167" i="31"/>
  <c r="V167" i="31" s="1"/>
  <c r="W167" i="31" s="1"/>
  <c r="X167" i="31" s="1"/>
  <c r="Q167" i="31"/>
  <c r="R167" i="31" s="1"/>
  <c r="M167" i="31"/>
  <c r="N167" i="31" s="1"/>
  <c r="H167" i="31"/>
  <c r="J167" i="31" s="1"/>
  <c r="F167" i="31"/>
  <c r="AC166" i="31"/>
  <c r="AD166" i="31" s="1"/>
  <c r="AF166" i="31" s="1"/>
  <c r="AE166" i="31" s="1"/>
  <c r="Y166" i="31"/>
  <c r="Z166" i="31" s="1"/>
  <c r="AA166" i="31" s="1"/>
  <c r="AB166" i="31" s="1"/>
  <c r="U166" i="31"/>
  <c r="V166" i="31" s="1"/>
  <c r="W166" i="31" s="1"/>
  <c r="X166" i="31" s="1"/>
  <c r="Q166" i="31"/>
  <c r="R166" i="31" s="1"/>
  <c r="M166" i="31"/>
  <c r="N166" i="31" s="1"/>
  <c r="K166" i="31"/>
  <c r="H166" i="31"/>
  <c r="J166" i="31" s="1"/>
  <c r="F166" i="31"/>
  <c r="AC165" i="31"/>
  <c r="AD165" i="31" s="1"/>
  <c r="Y165" i="31"/>
  <c r="Z165" i="31" s="1"/>
  <c r="AA165" i="31" s="1"/>
  <c r="AB165" i="31" s="1"/>
  <c r="U165" i="31"/>
  <c r="V165" i="31" s="1"/>
  <c r="W165" i="31" s="1"/>
  <c r="X165" i="31" s="1"/>
  <c r="Q165" i="31"/>
  <c r="R165" i="31" s="1"/>
  <c r="M165" i="31"/>
  <c r="N165" i="31" s="1"/>
  <c r="H165" i="31"/>
  <c r="J165" i="31" s="1"/>
  <c r="F165" i="31"/>
  <c r="AC164" i="31"/>
  <c r="AD164" i="31" s="1"/>
  <c r="AF164" i="31" s="1"/>
  <c r="AE164" i="31" s="1"/>
  <c r="Y164" i="31"/>
  <c r="Z164" i="31" s="1"/>
  <c r="AA164" i="31" s="1"/>
  <c r="AB164" i="31" s="1"/>
  <c r="U164" i="31"/>
  <c r="V164" i="31" s="1"/>
  <c r="W164" i="31" s="1"/>
  <c r="X164" i="31" s="1"/>
  <c r="Q164" i="31"/>
  <c r="R164" i="31" s="1"/>
  <c r="M164" i="31"/>
  <c r="N164" i="31" s="1"/>
  <c r="K164" i="31"/>
  <c r="H164" i="31"/>
  <c r="J164" i="31" s="1"/>
  <c r="F164" i="31"/>
  <c r="AC163" i="31"/>
  <c r="AD163" i="31" s="1"/>
  <c r="Y163" i="31"/>
  <c r="Z163" i="31" s="1"/>
  <c r="AA163" i="31" s="1"/>
  <c r="AB163" i="31" s="1"/>
  <c r="U163" i="31"/>
  <c r="V163" i="31" s="1"/>
  <c r="W163" i="31" s="1"/>
  <c r="X163" i="31" s="1"/>
  <c r="Q163" i="31"/>
  <c r="R163" i="31" s="1"/>
  <c r="M163" i="31"/>
  <c r="N163" i="31" s="1"/>
  <c r="H163" i="31"/>
  <c r="J163" i="31" s="1"/>
  <c r="F163" i="31"/>
  <c r="AC162" i="31"/>
  <c r="AD162" i="31" s="1"/>
  <c r="AF162" i="31" s="1"/>
  <c r="AE162" i="31" s="1"/>
  <c r="Y162" i="31"/>
  <c r="Z162" i="31" s="1"/>
  <c r="AA162" i="31" s="1"/>
  <c r="AB162" i="31" s="1"/>
  <c r="U162" i="31"/>
  <c r="V162" i="31" s="1"/>
  <c r="W162" i="31" s="1"/>
  <c r="X162" i="31" s="1"/>
  <c r="Q162" i="31"/>
  <c r="R162" i="31" s="1"/>
  <c r="M162" i="31"/>
  <c r="N162" i="31" s="1"/>
  <c r="K162" i="31"/>
  <c r="H162" i="31"/>
  <c r="J162" i="31" s="1"/>
  <c r="F162" i="31"/>
  <c r="AC161" i="31"/>
  <c r="AD161" i="31" s="1"/>
  <c r="AF161" i="31" s="1"/>
  <c r="AE161" i="31" s="1"/>
  <c r="Y161" i="31"/>
  <c r="Z161" i="31" s="1"/>
  <c r="AA161" i="31" s="1"/>
  <c r="AB161" i="31" s="1"/>
  <c r="U161" i="31"/>
  <c r="V161" i="31" s="1"/>
  <c r="W161" i="31" s="1"/>
  <c r="X161" i="31" s="1"/>
  <c r="Q161" i="31"/>
  <c r="R161" i="31" s="1"/>
  <c r="M161" i="31"/>
  <c r="N161" i="31" s="1"/>
  <c r="H161" i="31"/>
  <c r="J161" i="31" s="1"/>
  <c r="F161" i="31"/>
  <c r="AC160" i="31"/>
  <c r="AD160" i="31" s="1"/>
  <c r="AF160" i="31" s="1"/>
  <c r="AE160" i="31" s="1"/>
  <c r="Y160" i="31"/>
  <c r="Z160" i="31" s="1"/>
  <c r="AA160" i="31" s="1"/>
  <c r="AB160" i="31" s="1"/>
  <c r="U160" i="31"/>
  <c r="V160" i="31" s="1"/>
  <c r="R160" i="31"/>
  <c r="Q160" i="31"/>
  <c r="M160" i="31"/>
  <c r="N160" i="31" s="1"/>
  <c r="K160" i="31"/>
  <c r="H160" i="31"/>
  <c r="J160" i="31" s="1"/>
  <c r="F160" i="31"/>
  <c r="AD159" i="31"/>
  <c r="AF159" i="31" s="1"/>
  <c r="AE159" i="31" s="1"/>
  <c r="AC159" i="31"/>
  <c r="Z159" i="31"/>
  <c r="Y159" i="31"/>
  <c r="U159" i="31"/>
  <c r="V159" i="31" s="1"/>
  <c r="W159" i="31" s="1"/>
  <c r="X159" i="31" s="1"/>
  <c r="R159" i="31"/>
  <c r="Q159" i="31"/>
  <c r="M159" i="31"/>
  <c r="N159" i="31" s="1"/>
  <c r="H159" i="31"/>
  <c r="J159" i="31" s="1"/>
  <c r="F159" i="31"/>
  <c r="AC158" i="31"/>
  <c r="AD158" i="31" s="1"/>
  <c r="AF158" i="31" s="1"/>
  <c r="AE158" i="31" s="1"/>
  <c r="Z158" i="31"/>
  <c r="Y158" i="31"/>
  <c r="U158" i="31"/>
  <c r="V158" i="31" s="1"/>
  <c r="W158" i="31" s="1"/>
  <c r="X158" i="31" s="1"/>
  <c r="R158" i="31"/>
  <c r="Q158" i="31"/>
  <c r="M158" i="31"/>
  <c r="N158" i="31" s="1"/>
  <c r="H158" i="31"/>
  <c r="J158" i="31" s="1"/>
  <c r="F158" i="31"/>
  <c r="AC157" i="31"/>
  <c r="AD157" i="31" s="1"/>
  <c r="AF157" i="31" s="1"/>
  <c r="AE157" i="31" s="1"/>
  <c r="Z157" i="31"/>
  <c r="Y157" i="31"/>
  <c r="U157" i="31"/>
  <c r="V157" i="31" s="1"/>
  <c r="W157" i="31" s="1"/>
  <c r="X157" i="31" s="1"/>
  <c r="R157" i="31"/>
  <c r="Q157" i="31"/>
  <c r="M157" i="31"/>
  <c r="N157" i="31" s="1"/>
  <c r="H157" i="31"/>
  <c r="J157" i="31" s="1"/>
  <c r="F157" i="31"/>
  <c r="AC156" i="31"/>
  <c r="AD156" i="31" s="1"/>
  <c r="AF156" i="31" s="1"/>
  <c r="AE156" i="31" s="1"/>
  <c r="Z156" i="31"/>
  <c r="Y156" i="31"/>
  <c r="U156" i="31"/>
  <c r="V156" i="31" s="1"/>
  <c r="W156" i="31" s="1"/>
  <c r="X156" i="31" s="1"/>
  <c r="R156" i="31"/>
  <c r="Q156" i="31"/>
  <c r="M156" i="31"/>
  <c r="N156" i="31" s="1"/>
  <c r="H156" i="31"/>
  <c r="J156" i="31" s="1"/>
  <c r="F156" i="31"/>
  <c r="AC155" i="31"/>
  <c r="AD155" i="31" s="1"/>
  <c r="AF155" i="31" s="1"/>
  <c r="AE155" i="31" s="1"/>
  <c r="Z155" i="31"/>
  <c r="Y155" i="31"/>
  <c r="U155" i="31"/>
  <c r="V155" i="31" s="1"/>
  <c r="W155" i="31" s="1"/>
  <c r="X155" i="31" s="1"/>
  <c r="R155" i="31"/>
  <c r="Q155" i="31"/>
  <c r="M155" i="31"/>
  <c r="N155" i="31" s="1"/>
  <c r="H155" i="31"/>
  <c r="J155" i="31" s="1"/>
  <c r="F155" i="31"/>
  <c r="AC154" i="31"/>
  <c r="AD154" i="31" s="1"/>
  <c r="AF154" i="31" s="1"/>
  <c r="AE154" i="31" s="1"/>
  <c r="Z154" i="31"/>
  <c r="Y154" i="31"/>
  <c r="U154" i="31"/>
  <c r="V154" i="31" s="1"/>
  <c r="W154" i="31" s="1"/>
  <c r="X154" i="31" s="1"/>
  <c r="R154" i="31"/>
  <c r="Q154" i="31"/>
  <c r="M154" i="31"/>
  <c r="N154" i="31" s="1"/>
  <c r="H154" i="31"/>
  <c r="J154" i="31" s="1"/>
  <c r="F154" i="31"/>
  <c r="AC153" i="31"/>
  <c r="AD153" i="31" s="1"/>
  <c r="AF153" i="31" s="1"/>
  <c r="AE153" i="31" s="1"/>
  <c r="Z153" i="31"/>
  <c r="Y153" i="31"/>
  <c r="U153" i="31"/>
  <c r="V153" i="31" s="1"/>
  <c r="W153" i="31" s="1"/>
  <c r="X153" i="31" s="1"/>
  <c r="R153" i="31"/>
  <c r="Q153" i="31"/>
  <c r="M153" i="31"/>
  <c r="N153" i="31" s="1"/>
  <c r="H153" i="31"/>
  <c r="J153" i="31" s="1"/>
  <c r="F153" i="31"/>
  <c r="AC152" i="31"/>
  <c r="AD152" i="31" s="1"/>
  <c r="AF152" i="31" s="1"/>
  <c r="AE152" i="31" s="1"/>
  <c r="Z152" i="31"/>
  <c r="Y152" i="31"/>
  <c r="U152" i="31"/>
  <c r="V152" i="31" s="1"/>
  <c r="W152" i="31" s="1"/>
  <c r="X152" i="31" s="1"/>
  <c r="Q152" i="31"/>
  <c r="R152" i="31" s="1"/>
  <c r="M152" i="31"/>
  <c r="N152" i="31" s="1"/>
  <c r="H152" i="31"/>
  <c r="J152" i="31" s="1"/>
  <c r="F152" i="31"/>
  <c r="AC151" i="31"/>
  <c r="AD151" i="31" s="1"/>
  <c r="AF151" i="31" s="1"/>
  <c r="AE151" i="31" s="1"/>
  <c r="Y151" i="31"/>
  <c r="Z151" i="31" s="1"/>
  <c r="AA151" i="31" s="1"/>
  <c r="AB151" i="31" s="1"/>
  <c r="U151" i="31"/>
  <c r="V151" i="31" s="1"/>
  <c r="W151" i="31" s="1"/>
  <c r="X151" i="31" s="1"/>
  <c r="R151" i="31"/>
  <c r="Q151" i="31"/>
  <c r="M151" i="31"/>
  <c r="N151" i="31" s="1"/>
  <c r="H151" i="31"/>
  <c r="J151" i="31" s="1"/>
  <c r="F151" i="31"/>
  <c r="AC150" i="31"/>
  <c r="AD150" i="31" s="1"/>
  <c r="AF150" i="31" s="1"/>
  <c r="AE150" i="31" s="1"/>
  <c r="Z150" i="31"/>
  <c r="Y150" i="31"/>
  <c r="U150" i="31"/>
  <c r="V150" i="31" s="1"/>
  <c r="W150" i="31" s="1"/>
  <c r="X150" i="31" s="1"/>
  <c r="Q150" i="31"/>
  <c r="R150" i="31" s="1"/>
  <c r="M150" i="31"/>
  <c r="N150" i="31" s="1"/>
  <c r="H150" i="31"/>
  <c r="J150" i="31" s="1"/>
  <c r="F150" i="31"/>
  <c r="AC149" i="31"/>
  <c r="AD149" i="31" s="1"/>
  <c r="AF149" i="31" s="1"/>
  <c r="AE149" i="31" s="1"/>
  <c r="Y149" i="31"/>
  <c r="Z149" i="31" s="1"/>
  <c r="AA149" i="31" s="1"/>
  <c r="AB149" i="31" s="1"/>
  <c r="U149" i="31"/>
  <c r="V149" i="31" s="1"/>
  <c r="W149" i="31" s="1"/>
  <c r="X149" i="31" s="1"/>
  <c r="R149" i="31"/>
  <c r="Q149" i="31"/>
  <c r="M149" i="31"/>
  <c r="N149" i="31" s="1"/>
  <c r="H149" i="31"/>
  <c r="J149" i="31" s="1"/>
  <c r="F149" i="31"/>
  <c r="AC148" i="31"/>
  <c r="AD148" i="31" s="1"/>
  <c r="AF148" i="31" s="1"/>
  <c r="AE148" i="31" s="1"/>
  <c r="Z148" i="31"/>
  <c r="Y148" i="31"/>
  <c r="U148" i="31"/>
  <c r="V148" i="31" s="1"/>
  <c r="W148" i="31" s="1"/>
  <c r="X148" i="31" s="1"/>
  <c r="Q148" i="31"/>
  <c r="R148" i="31" s="1"/>
  <c r="M148" i="31"/>
  <c r="N148" i="31" s="1"/>
  <c r="H148" i="31"/>
  <c r="J148" i="31" s="1"/>
  <c r="F148" i="31"/>
  <c r="AC147" i="31"/>
  <c r="AD147" i="31" s="1"/>
  <c r="AF147" i="31" s="1"/>
  <c r="AE147" i="31" s="1"/>
  <c r="Y147" i="31"/>
  <c r="Z147" i="31" s="1"/>
  <c r="AA147" i="31" s="1"/>
  <c r="AB147" i="31" s="1"/>
  <c r="U147" i="31"/>
  <c r="V147" i="31" s="1"/>
  <c r="W147" i="31" s="1"/>
  <c r="X147" i="31" s="1"/>
  <c r="R147" i="31"/>
  <c r="Q147" i="31"/>
  <c r="M147" i="31"/>
  <c r="N147" i="31" s="1"/>
  <c r="H147" i="31"/>
  <c r="J147" i="31" s="1"/>
  <c r="F147" i="31"/>
  <c r="AC146" i="31"/>
  <c r="AD146" i="31" s="1"/>
  <c r="AF146" i="31" s="1"/>
  <c r="AE146" i="31" s="1"/>
  <c r="Z146" i="31"/>
  <c r="AA146" i="31" s="1"/>
  <c r="AB146" i="31" s="1"/>
  <c r="Y146" i="31"/>
  <c r="U146" i="31"/>
  <c r="V146" i="31" s="1"/>
  <c r="W146" i="31" s="1"/>
  <c r="X146" i="31" s="1"/>
  <c r="Q146" i="31"/>
  <c r="R146" i="31" s="1"/>
  <c r="M146" i="31"/>
  <c r="N146" i="31" s="1"/>
  <c r="H146" i="31"/>
  <c r="J146" i="31" s="1"/>
  <c r="F146" i="31"/>
  <c r="AC145" i="31"/>
  <c r="AD145" i="31" s="1"/>
  <c r="AF145" i="31" s="1"/>
  <c r="AE145" i="31" s="1"/>
  <c r="Y145" i="31"/>
  <c r="Z145" i="31" s="1"/>
  <c r="AA145" i="31" s="1"/>
  <c r="AB145" i="31" s="1"/>
  <c r="U145" i="31"/>
  <c r="V145" i="31" s="1"/>
  <c r="W145" i="31" s="1"/>
  <c r="X145" i="31" s="1"/>
  <c r="R145" i="31"/>
  <c r="Q145" i="31"/>
  <c r="M145" i="31"/>
  <c r="N145" i="31" s="1"/>
  <c r="H145" i="31"/>
  <c r="J145" i="31" s="1"/>
  <c r="F145" i="31"/>
  <c r="AC144" i="31"/>
  <c r="AD144" i="31" s="1"/>
  <c r="AF144" i="31" s="1"/>
  <c r="AE144" i="31" s="1"/>
  <c r="Z144" i="31"/>
  <c r="AA144" i="31" s="1"/>
  <c r="AB144" i="31" s="1"/>
  <c r="Y144" i="31"/>
  <c r="U144" i="31"/>
  <c r="V144" i="31" s="1"/>
  <c r="W144" i="31" s="1"/>
  <c r="X144" i="31" s="1"/>
  <c r="Q144" i="31"/>
  <c r="R144" i="31" s="1"/>
  <c r="N144" i="31"/>
  <c r="M144" i="31"/>
  <c r="H144" i="31"/>
  <c r="J144" i="31" s="1"/>
  <c r="F144" i="31"/>
  <c r="AC143" i="31"/>
  <c r="AD143" i="31" s="1"/>
  <c r="AF143" i="31" s="1"/>
  <c r="AE143" i="31" s="1"/>
  <c r="Y143" i="31"/>
  <c r="Z143" i="31" s="1"/>
  <c r="AA143" i="31" s="1"/>
  <c r="AB143" i="31" s="1"/>
  <c r="X143" i="31"/>
  <c r="U143" i="31"/>
  <c r="V143" i="31" s="1"/>
  <c r="W143" i="31" s="1"/>
  <c r="Q143" i="31"/>
  <c r="R143" i="31" s="1"/>
  <c r="N143" i="31"/>
  <c r="M143" i="31"/>
  <c r="H143" i="31"/>
  <c r="J143" i="31" s="1"/>
  <c r="F143" i="31"/>
  <c r="AC142" i="31"/>
  <c r="AD142" i="31" s="1"/>
  <c r="Z142" i="31"/>
  <c r="Y142" i="31"/>
  <c r="U142" i="31"/>
  <c r="V142" i="31" s="1"/>
  <c r="W142" i="31" s="1"/>
  <c r="X142" i="31" s="1"/>
  <c r="Q142" i="31"/>
  <c r="R142" i="31" s="1"/>
  <c r="M142" i="31"/>
  <c r="N142" i="31" s="1"/>
  <c r="J142" i="31"/>
  <c r="H142" i="31"/>
  <c r="F142" i="31"/>
  <c r="AC141" i="31"/>
  <c r="AD141" i="31" s="1"/>
  <c r="AF141" i="31" s="1"/>
  <c r="AE141" i="31" s="1"/>
  <c r="Y141" i="31"/>
  <c r="Z141" i="31" s="1"/>
  <c r="AA141" i="31" s="1"/>
  <c r="AB141" i="31" s="1"/>
  <c r="U141" i="31"/>
  <c r="V141" i="31" s="1"/>
  <c r="Q141" i="31"/>
  <c r="R141" i="31" s="1"/>
  <c r="M141" i="31"/>
  <c r="N141" i="31" s="1"/>
  <c r="J141" i="31"/>
  <c r="K141" i="31" s="1"/>
  <c r="H141" i="31"/>
  <c r="F141" i="31"/>
  <c r="AF140" i="31"/>
  <c r="AE140" i="31" s="1"/>
  <c r="AC140" i="31"/>
  <c r="AD140" i="31" s="1"/>
  <c r="Y140" i="31"/>
  <c r="Z140" i="31" s="1"/>
  <c r="AA140" i="31" s="1"/>
  <c r="AB140" i="31" s="1"/>
  <c r="U140" i="31"/>
  <c r="V140" i="31" s="1"/>
  <c r="W140" i="31" s="1"/>
  <c r="X140" i="31" s="1"/>
  <c r="S140" i="31"/>
  <c r="T140" i="31" s="1"/>
  <c r="Q140" i="31"/>
  <c r="R140" i="31" s="1"/>
  <c r="M140" i="31"/>
  <c r="N140" i="31" s="1"/>
  <c r="J140" i="31"/>
  <c r="K140" i="31" s="1"/>
  <c r="H140" i="31"/>
  <c r="F140" i="31"/>
  <c r="AC139" i="31"/>
  <c r="AD139" i="31" s="1"/>
  <c r="AF139" i="31" s="1"/>
  <c r="AE139" i="31" s="1"/>
  <c r="Y139" i="31"/>
  <c r="Z139" i="31" s="1"/>
  <c r="AA139" i="31" s="1"/>
  <c r="AB139" i="31" s="1"/>
  <c r="U139" i="31"/>
  <c r="V139" i="31" s="1"/>
  <c r="Q139" i="31"/>
  <c r="R139" i="31" s="1"/>
  <c r="M139" i="31"/>
  <c r="N139" i="31" s="1"/>
  <c r="J139" i="31"/>
  <c r="K139" i="31" s="1"/>
  <c r="H139" i="31"/>
  <c r="F139" i="31"/>
  <c r="AC138" i="31"/>
  <c r="AD138" i="31" s="1"/>
  <c r="AF138" i="31" s="1"/>
  <c r="AE138" i="31" s="1"/>
  <c r="Y138" i="31"/>
  <c r="Z138" i="31" s="1"/>
  <c r="AA138" i="31" s="1"/>
  <c r="AB138" i="31" s="1"/>
  <c r="U138" i="31"/>
  <c r="V138" i="31" s="1"/>
  <c r="S138" i="31"/>
  <c r="T138" i="31" s="1"/>
  <c r="Q138" i="31"/>
  <c r="R138" i="31" s="1"/>
  <c r="M138" i="31"/>
  <c r="N138" i="31" s="1"/>
  <c r="J138" i="31"/>
  <c r="K138" i="31" s="1"/>
  <c r="H138" i="31"/>
  <c r="F138" i="31"/>
  <c r="AC137" i="31"/>
  <c r="AD137" i="31" s="1"/>
  <c r="AF137" i="31" s="1"/>
  <c r="AE137" i="31" s="1"/>
  <c r="Y137" i="31"/>
  <c r="Z137" i="31" s="1"/>
  <c r="U137" i="31"/>
  <c r="V137" i="31" s="1"/>
  <c r="W137" i="31" s="1"/>
  <c r="X137" i="31" s="1"/>
  <c r="Q137" i="31"/>
  <c r="M137" i="31"/>
  <c r="N137" i="31" s="1"/>
  <c r="J137" i="31"/>
  <c r="K137" i="31" s="1"/>
  <c r="H137" i="31"/>
  <c r="F137" i="31"/>
  <c r="AC136" i="31"/>
  <c r="AD136" i="31" s="1"/>
  <c r="AF136" i="31" s="1"/>
  <c r="AE136" i="31" s="1"/>
  <c r="AA136" i="31"/>
  <c r="AB136" i="31" s="1"/>
  <c r="Y136" i="31"/>
  <c r="Z136" i="31" s="1"/>
  <c r="U136" i="31"/>
  <c r="V136" i="31" s="1"/>
  <c r="Q136" i="31"/>
  <c r="R136" i="31" s="1"/>
  <c r="M136" i="31"/>
  <c r="N136" i="31" s="1"/>
  <c r="J136" i="31"/>
  <c r="H136" i="31"/>
  <c r="F136" i="31"/>
  <c r="AF135" i="31"/>
  <c r="AE135" i="31" s="1"/>
  <c r="AC135" i="31"/>
  <c r="AD135" i="31" s="1"/>
  <c r="Y135" i="31"/>
  <c r="Z135" i="31" s="1"/>
  <c r="AA135" i="31" s="1"/>
  <c r="AB135" i="31" s="1"/>
  <c r="U135" i="31"/>
  <c r="V135" i="31" s="1"/>
  <c r="W135" i="31" s="1"/>
  <c r="X135" i="31" s="1"/>
  <c r="Q135" i="31"/>
  <c r="R135" i="31" s="1"/>
  <c r="M135" i="31"/>
  <c r="N135" i="31" s="1"/>
  <c r="J135" i="31"/>
  <c r="K135" i="31" s="1"/>
  <c r="H135" i="31"/>
  <c r="F135" i="31"/>
  <c r="AF134" i="31"/>
  <c r="AE134" i="31" s="1"/>
  <c r="AC134" i="31"/>
  <c r="AD134" i="31" s="1"/>
  <c r="Y134" i="31"/>
  <c r="Z134" i="31" s="1"/>
  <c r="U134" i="31"/>
  <c r="V134" i="31" s="1"/>
  <c r="Q134" i="31"/>
  <c r="R134" i="31" s="1"/>
  <c r="M134" i="31"/>
  <c r="N134" i="31" s="1"/>
  <c r="J134" i="31"/>
  <c r="K134" i="31" s="1"/>
  <c r="H134" i="31"/>
  <c r="F134" i="31"/>
  <c r="AC133" i="31"/>
  <c r="AD133" i="31" s="1"/>
  <c r="AF133" i="31" s="1"/>
  <c r="AE133" i="31" s="1"/>
  <c r="Y133" i="31"/>
  <c r="Z133" i="31" s="1"/>
  <c r="AA133" i="31" s="1"/>
  <c r="AB133" i="31" s="1"/>
  <c r="U133" i="31"/>
  <c r="V133" i="31" s="1"/>
  <c r="W133" i="31" s="1"/>
  <c r="X133" i="31" s="1"/>
  <c r="Q133" i="31"/>
  <c r="R133" i="31" s="1"/>
  <c r="M133" i="31"/>
  <c r="N133" i="31" s="1"/>
  <c r="J133" i="31"/>
  <c r="K133" i="31" s="1"/>
  <c r="H133" i="31"/>
  <c r="F133" i="31"/>
  <c r="AF132" i="31"/>
  <c r="AE132" i="31" s="1"/>
  <c r="AC132" i="31"/>
  <c r="AD132" i="31" s="1"/>
  <c r="Y132" i="31"/>
  <c r="Z132" i="31" s="1"/>
  <c r="AA132" i="31" s="1"/>
  <c r="AB132" i="31" s="1"/>
  <c r="U132" i="31"/>
  <c r="V132" i="31" s="1"/>
  <c r="W132" i="31" s="1"/>
  <c r="X132" i="31" s="1"/>
  <c r="S132" i="31"/>
  <c r="T132" i="31" s="1"/>
  <c r="Q132" i="31"/>
  <c r="R132" i="31" s="1"/>
  <c r="M132" i="31"/>
  <c r="N132" i="31" s="1"/>
  <c r="J132" i="31"/>
  <c r="K132" i="31" s="1"/>
  <c r="H132" i="31"/>
  <c r="F132" i="31"/>
  <c r="AC131" i="31"/>
  <c r="AD131" i="31" s="1"/>
  <c r="AF131" i="31" s="1"/>
  <c r="AE131" i="31" s="1"/>
  <c r="Y131" i="31"/>
  <c r="Z131" i="31" s="1"/>
  <c r="AA131" i="31" s="1"/>
  <c r="AB131" i="31" s="1"/>
  <c r="U131" i="31"/>
  <c r="V131" i="31" s="1"/>
  <c r="Q131" i="31"/>
  <c r="R131" i="31" s="1"/>
  <c r="M131" i="31"/>
  <c r="N131" i="31" s="1"/>
  <c r="J131" i="31"/>
  <c r="K131" i="31" s="1"/>
  <c r="H131" i="31"/>
  <c r="F131" i="31"/>
  <c r="AC130" i="31"/>
  <c r="AD130" i="31" s="1"/>
  <c r="AF130" i="31" s="1"/>
  <c r="AE130" i="31" s="1"/>
  <c r="Y130" i="31"/>
  <c r="Z130" i="31" s="1"/>
  <c r="AA130" i="31" s="1"/>
  <c r="AB130" i="31" s="1"/>
  <c r="X130" i="31"/>
  <c r="U130" i="31"/>
  <c r="V130" i="31" s="1"/>
  <c r="W130" i="31" s="1"/>
  <c r="S130" i="31"/>
  <c r="T130" i="31" s="1"/>
  <c r="Q130" i="31"/>
  <c r="R130" i="31" s="1"/>
  <c r="M130" i="31"/>
  <c r="N130" i="31" s="1"/>
  <c r="J130" i="31"/>
  <c r="K130" i="31" s="1"/>
  <c r="H130" i="31"/>
  <c r="F130" i="31"/>
  <c r="AC129" i="31"/>
  <c r="AD129" i="31" s="1"/>
  <c r="AF129" i="31" s="1"/>
  <c r="AE129" i="31" s="1"/>
  <c r="Y129" i="31"/>
  <c r="Z129" i="31" s="1"/>
  <c r="U129" i="31"/>
  <c r="V129" i="31" s="1"/>
  <c r="W129" i="31" s="1"/>
  <c r="X129" i="31" s="1"/>
  <c r="Q129" i="31"/>
  <c r="M129" i="31"/>
  <c r="N129" i="31" s="1"/>
  <c r="J129" i="31"/>
  <c r="K129" i="31" s="1"/>
  <c r="H129" i="31"/>
  <c r="F129" i="31"/>
  <c r="AC128" i="31"/>
  <c r="AD128" i="31" s="1"/>
  <c r="AF128" i="31" s="1"/>
  <c r="AE128" i="31" s="1"/>
  <c r="AA128" i="31"/>
  <c r="AB128" i="31" s="1"/>
  <c r="Y128" i="31"/>
  <c r="Z128" i="31" s="1"/>
  <c r="U128" i="31"/>
  <c r="V128" i="31" s="1"/>
  <c r="Q128" i="31"/>
  <c r="R128" i="31" s="1"/>
  <c r="M128" i="31"/>
  <c r="N128" i="31" s="1"/>
  <c r="J128" i="31"/>
  <c r="H128" i="31"/>
  <c r="F128" i="31"/>
  <c r="AC127" i="31"/>
  <c r="AD127" i="31" s="1"/>
  <c r="Y127" i="31"/>
  <c r="Z127" i="31" s="1"/>
  <c r="AA127" i="31" s="1"/>
  <c r="AB127" i="31" s="1"/>
  <c r="U127" i="31"/>
  <c r="V127" i="31" s="1"/>
  <c r="W127" i="31" s="1"/>
  <c r="X127" i="31" s="1"/>
  <c r="Q127" i="31"/>
  <c r="R127" i="31" s="1"/>
  <c r="M127" i="31"/>
  <c r="N127" i="31" s="1"/>
  <c r="J127" i="31"/>
  <c r="K127" i="31" s="1"/>
  <c r="H127" i="31"/>
  <c r="F127" i="31"/>
  <c r="AF126" i="31"/>
  <c r="AE126" i="31" s="1"/>
  <c r="AC126" i="31"/>
  <c r="AD126" i="31" s="1"/>
  <c r="Y126" i="31"/>
  <c r="Z126" i="31" s="1"/>
  <c r="U126" i="31"/>
  <c r="V126" i="31" s="1"/>
  <c r="Q126" i="31"/>
  <c r="R126" i="31" s="1"/>
  <c r="M126" i="31"/>
  <c r="N126" i="31" s="1"/>
  <c r="J126" i="31"/>
  <c r="K126" i="31" s="1"/>
  <c r="H126" i="31"/>
  <c r="F126" i="31"/>
  <c r="AC125" i="31"/>
  <c r="AD125" i="31" s="1"/>
  <c r="AF125" i="31" s="1"/>
  <c r="AE125" i="31" s="1"/>
  <c r="Y125" i="31"/>
  <c r="Z125" i="31" s="1"/>
  <c r="AA125" i="31" s="1"/>
  <c r="AB125" i="31" s="1"/>
  <c r="U125" i="31"/>
  <c r="V125" i="31" s="1"/>
  <c r="W125" i="31" s="1"/>
  <c r="X125" i="31" s="1"/>
  <c r="Q125" i="31"/>
  <c r="R125" i="31" s="1"/>
  <c r="M125" i="31"/>
  <c r="N125" i="31" s="1"/>
  <c r="J125" i="31"/>
  <c r="K125" i="31" s="1"/>
  <c r="H125" i="31"/>
  <c r="F125" i="31"/>
  <c r="AF124" i="31"/>
  <c r="AE124" i="31" s="1"/>
  <c r="AC124" i="31"/>
  <c r="AD124" i="31" s="1"/>
  <c r="Y124" i="31"/>
  <c r="Z124" i="31" s="1"/>
  <c r="AA124" i="31" s="1"/>
  <c r="AB124" i="31" s="1"/>
  <c r="U124" i="31"/>
  <c r="V124" i="31" s="1"/>
  <c r="W124" i="31" s="1"/>
  <c r="X124" i="31" s="1"/>
  <c r="S124" i="31"/>
  <c r="T124" i="31" s="1"/>
  <c r="Q124" i="31"/>
  <c r="R124" i="31" s="1"/>
  <c r="M124" i="31"/>
  <c r="N124" i="31" s="1"/>
  <c r="J124" i="31"/>
  <c r="K124" i="31" s="1"/>
  <c r="H124" i="31"/>
  <c r="F124" i="31"/>
  <c r="AC123" i="31"/>
  <c r="AD123" i="31" s="1"/>
  <c r="AF123" i="31" s="1"/>
  <c r="AE123" i="31" s="1"/>
  <c r="Y123" i="31"/>
  <c r="Z123" i="31" s="1"/>
  <c r="AA123" i="31" s="1"/>
  <c r="AB123" i="31" s="1"/>
  <c r="U123" i="31"/>
  <c r="V123" i="31" s="1"/>
  <c r="Q123" i="31"/>
  <c r="R123" i="31" s="1"/>
  <c r="M123" i="31"/>
  <c r="N123" i="31" s="1"/>
  <c r="J123" i="31"/>
  <c r="K123" i="31" s="1"/>
  <c r="H123" i="31"/>
  <c r="F123" i="31"/>
  <c r="AC122" i="31"/>
  <c r="AD122" i="31" s="1"/>
  <c r="AF122" i="31" s="1"/>
  <c r="AE122" i="31" s="1"/>
  <c r="Y122" i="31"/>
  <c r="Z122" i="31" s="1"/>
  <c r="U122" i="31"/>
  <c r="V122" i="31" s="1"/>
  <c r="Q122" i="31"/>
  <c r="R122" i="31" s="1"/>
  <c r="M122" i="31"/>
  <c r="N122" i="31" s="1"/>
  <c r="J122" i="31"/>
  <c r="H122" i="31"/>
  <c r="F122" i="31"/>
  <c r="AC121" i="31"/>
  <c r="AD121" i="31" s="1"/>
  <c r="AF121" i="31" s="1"/>
  <c r="AE121" i="31" s="1"/>
  <c r="Y121" i="31"/>
  <c r="Z121" i="31" s="1"/>
  <c r="AA121" i="31" s="1"/>
  <c r="AB121" i="31" s="1"/>
  <c r="V121" i="31"/>
  <c r="W121" i="31" s="1"/>
  <c r="X121" i="31" s="1"/>
  <c r="U121" i="31"/>
  <c r="Q121" i="31"/>
  <c r="R121" i="31" s="1"/>
  <c r="N121" i="31"/>
  <c r="M121" i="31"/>
  <c r="J121" i="31"/>
  <c r="K121" i="31" s="1"/>
  <c r="H121" i="31"/>
  <c r="F121" i="31"/>
  <c r="AC120" i="31"/>
  <c r="AD120" i="31" s="1"/>
  <c r="AF120" i="31" s="1"/>
  <c r="AE120" i="31" s="1"/>
  <c r="Y120" i="31"/>
  <c r="Z120" i="31" s="1"/>
  <c r="AA120" i="31" s="1"/>
  <c r="AB120" i="31" s="1"/>
  <c r="U120" i="31"/>
  <c r="V120" i="31" s="1"/>
  <c r="W120" i="31" s="1"/>
  <c r="X120" i="31" s="1"/>
  <c r="Q120" i="31"/>
  <c r="N120" i="31"/>
  <c r="M120" i="31"/>
  <c r="J120" i="31"/>
  <c r="K120" i="31" s="1"/>
  <c r="H120" i="31"/>
  <c r="F120" i="31"/>
  <c r="AD119" i="31"/>
  <c r="AC119" i="31"/>
  <c r="Y119" i="31"/>
  <c r="Z119" i="31" s="1"/>
  <c r="V119" i="31"/>
  <c r="U119" i="31"/>
  <c r="Q119" i="31"/>
  <c r="R119" i="31" s="1"/>
  <c r="M119" i="31"/>
  <c r="N119" i="31" s="1"/>
  <c r="J119" i="31"/>
  <c r="H119" i="31"/>
  <c r="F119" i="31"/>
  <c r="AC118" i="31"/>
  <c r="AD118" i="31" s="1"/>
  <c r="AF118" i="31" s="1"/>
  <c r="AE118" i="31" s="1"/>
  <c r="Y118" i="31"/>
  <c r="Z118" i="31" s="1"/>
  <c r="AA118" i="31" s="1"/>
  <c r="AB118" i="31" s="1"/>
  <c r="W118" i="31"/>
  <c r="X118" i="31" s="1"/>
  <c r="V118" i="31"/>
  <c r="U118" i="31"/>
  <c r="Q118" i="31"/>
  <c r="R118" i="31" s="1"/>
  <c r="M118" i="31"/>
  <c r="N118" i="31" s="1"/>
  <c r="J118" i="31"/>
  <c r="K118" i="31" s="1"/>
  <c r="H118" i="31"/>
  <c r="F118" i="31"/>
  <c r="AD117" i="31"/>
  <c r="AF117" i="31" s="1"/>
  <c r="AE117" i="31" s="1"/>
  <c r="AC117" i="31"/>
  <c r="AA117" i="31"/>
  <c r="AB117" i="31" s="1"/>
  <c r="Y117" i="31"/>
  <c r="Z117" i="31" s="1"/>
  <c r="U117" i="31"/>
  <c r="V117" i="31" s="1"/>
  <c r="W117" i="31" s="1"/>
  <c r="X117" i="31" s="1"/>
  <c r="S117" i="31"/>
  <c r="T117" i="31" s="1"/>
  <c r="Q117" i="31"/>
  <c r="R117" i="31" s="1"/>
  <c r="M117" i="31"/>
  <c r="N117" i="31" s="1"/>
  <c r="J117" i="31"/>
  <c r="K117" i="31" s="1"/>
  <c r="H117" i="31"/>
  <c r="F117" i="31"/>
  <c r="AD116" i="31"/>
  <c r="AC116" i="31"/>
  <c r="Y116" i="31"/>
  <c r="Z116" i="31" s="1"/>
  <c r="AA116" i="31" s="1"/>
  <c r="AB116" i="31" s="1"/>
  <c r="U116" i="31"/>
  <c r="V116" i="31" s="1"/>
  <c r="W116" i="31" s="1"/>
  <c r="X116" i="31" s="1"/>
  <c r="Q116" i="31"/>
  <c r="R116" i="31" s="1"/>
  <c r="N116" i="31"/>
  <c r="M116" i="31"/>
  <c r="J116" i="31"/>
  <c r="K116" i="31" s="1"/>
  <c r="H116" i="31"/>
  <c r="F116" i="31"/>
  <c r="AC115" i="31"/>
  <c r="AD115" i="31" s="1"/>
  <c r="AF115" i="31" s="1"/>
  <c r="AE115" i="31" s="1"/>
  <c r="AA115" i="31"/>
  <c r="AB115" i="31" s="1"/>
  <c r="Y115" i="31"/>
  <c r="Z115" i="31" s="1"/>
  <c r="X115" i="31"/>
  <c r="U115" i="31"/>
  <c r="V115" i="31" s="1"/>
  <c r="W115" i="31" s="1"/>
  <c r="R115" i="31"/>
  <c r="Q115" i="31"/>
  <c r="N115" i="31"/>
  <c r="M115" i="31"/>
  <c r="H115" i="31"/>
  <c r="J115" i="31" s="1"/>
  <c r="F115" i="31"/>
  <c r="AD114" i="31"/>
  <c r="AC114" i="31"/>
  <c r="Y114" i="31"/>
  <c r="Z114" i="31" s="1"/>
  <c r="AA114" i="31" s="1"/>
  <c r="AB114" i="31" s="1"/>
  <c r="V114" i="31"/>
  <c r="U114" i="31"/>
  <c r="R114" i="31"/>
  <c r="Q114" i="31"/>
  <c r="N114" i="31"/>
  <c r="M114" i="31"/>
  <c r="H114" i="31"/>
  <c r="J114" i="31" s="1"/>
  <c r="F114" i="31"/>
  <c r="AD113" i="31"/>
  <c r="AC113" i="31"/>
  <c r="Y113" i="31"/>
  <c r="Z113" i="31" s="1"/>
  <c r="AA113" i="31" s="1"/>
  <c r="AB113" i="31" s="1"/>
  <c r="V113" i="31"/>
  <c r="U113" i="31"/>
  <c r="R113" i="31"/>
  <c r="Q113" i="31"/>
  <c r="N113" i="31"/>
  <c r="M113" i="31"/>
  <c r="H113" i="31"/>
  <c r="J113" i="31" s="1"/>
  <c r="F113" i="31"/>
  <c r="AD112" i="31"/>
  <c r="AC112" i="31"/>
  <c r="Z112" i="31"/>
  <c r="Y112" i="31"/>
  <c r="V112" i="31"/>
  <c r="U112" i="31"/>
  <c r="Q112" i="31"/>
  <c r="R112" i="31" s="1"/>
  <c r="N112" i="31"/>
  <c r="M112" i="31"/>
  <c r="H112" i="31"/>
  <c r="J112" i="31" s="1"/>
  <c r="F112" i="31"/>
  <c r="AD111" i="31"/>
  <c r="AC111" i="31"/>
  <c r="Z111" i="31"/>
  <c r="AA111" i="31" s="1"/>
  <c r="AB111" i="31" s="1"/>
  <c r="Y111" i="31"/>
  <c r="V111" i="31"/>
  <c r="U111" i="31"/>
  <c r="R111" i="31"/>
  <c r="Q111" i="31"/>
  <c r="N111" i="31"/>
  <c r="M111" i="31"/>
  <c r="H111" i="31"/>
  <c r="J111" i="31" s="1"/>
  <c r="F111" i="31"/>
  <c r="AD110" i="31"/>
  <c r="AC110" i="31"/>
  <c r="Z110" i="31"/>
  <c r="AA110" i="31" s="1"/>
  <c r="AB110" i="31" s="1"/>
  <c r="Y110" i="31"/>
  <c r="V110" i="31"/>
  <c r="U110" i="31"/>
  <c r="Q110" i="31"/>
  <c r="R110" i="31" s="1"/>
  <c r="N110" i="31"/>
  <c r="M110" i="31"/>
  <c r="H110" i="31"/>
  <c r="J110" i="31" s="1"/>
  <c r="F110" i="31"/>
  <c r="AD109" i="31"/>
  <c r="AC109" i="31"/>
  <c r="Y109" i="31"/>
  <c r="Z109" i="31" s="1"/>
  <c r="AA109" i="31" s="1"/>
  <c r="AB109" i="31" s="1"/>
  <c r="V109" i="31"/>
  <c r="U109" i="31"/>
  <c r="Q109" i="31"/>
  <c r="R109" i="31" s="1"/>
  <c r="N109" i="31"/>
  <c r="M109" i="31"/>
  <c r="H109" i="31"/>
  <c r="J109" i="31" s="1"/>
  <c r="F109" i="31"/>
  <c r="AD108" i="31"/>
  <c r="AC108" i="31"/>
  <c r="Z108" i="31"/>
  <c r="Y108" i="31"/>
  <c r="W108" i="31"/>
  <c r="X108" i="31" s="1"/>
  <c r="V108" i="31"/>
  <c r="U108" i="31"/>
  <c r="Q108" i="31"/>
  <c r="R108" i="31" s="1"/>
  <c r="N108" i="31"/>
  <c r="M108" i="31"/>
  <c r="H108" i="31"/>
  <c r="J108" i="31" s="1"/>
  <c r="F108" i="31"/>
  <c r="AD107" i="31"/>
  <c r="AC107" i="31"/>
  <c r="Y107" i="31"/>
  <c r="Z107" i="31" s="1"/>
  <c r="AA107" i="31" s="1"/>
  <c r="AB107" i="31" s="1"/>
  <c r="V107" i="31"/>
  <c r="U107" i="31"/>
  <c r="R107" i="31"/>
  <c r="Q107" i="31"/>
  <c r="N107" i="31"/>
  <c r="M107" i="31"/>
  <c r="H107" i="31"/>
  <c r="J107" i="31" s="1"/>
  <c r="F107" i="31"/>
  <c r="AD106" i="31"/>
  <c r="AC106" i="31"/>
  <c r="Y106" i="31"/>
  <c r="Z106" i="31" s="1"/>
  <c r="AA106" i="31" s="1"/>
  <c r="AB106" i="31" s="1"/>
  <c r="V106" i="31"/>
  <c r="U106" i="31"/>
  <c r="R106" i="31"/>
  <c r="Q106" i="31"/>
  <c r="N106" i="31"/>
  <c r="M106" i="31"/>
  <c r="H106" i="31"/>
  <c r="J106" i="31" s="1"/>
  <c r="F106" i="31"/>
  <c r="AD105" i="31"/>
  <c r="AC105" i="31"/>
  <c r="Y105" i="31"/>
  <c r="Z105" i="31" s="1"/>
  <c r="AA105" i="31" s="1"/>
  <c r="AB105" i="31" s="1"/>
  <c r="V105" i="31"/>
  <c r="U105" i="31"/>
  <c r="R105" i="31"/>
  <c r="Q105" i="31"/>
  <c r="N105" i="31"/>
  <c r="M105" i="31"/>
  <c r="H105" i="31"/>
  <c r="J105" i="31" s="1"/>
  <c r="F105" i="31"/>
  <c r="AD104" i="31"/>
  <c r="AC104" i="31"/>
  <c r="Z104" i="31"/>
  <c r="Y104" i="31"/>
  <c r="V104" i="31"/>
  <c r="U104" i="31"/>
  <c r="Q104" i="31"/>
  <c r="R104" i="31" s="1"/>
  <c r="N104" i="31"/>
  <c r="M104" i="31"/>
  <c r="H104" i="31"/>
  <c r="J104" i="31" s="1"/>
  <c r="F104" i="31"/>
  <c r="AD103" i="31"/>
  <c r="AC103" i="31"/>
  <c r="Z103" i="31"/>
  <c r="AA103" i="31" s="1"/>
  <c r="AB103" i="31" s="1"/>
  <c r="Y103" i="31"/>
  <c r="V103" i="31"/>
  <c r="U103" i="31"/>
  <c r="R103" i="31"/>
  <c r="Q103" i="31"/>
  <c r="N103" i="31"/>
  <c r="M103" i="31"/>
  <c r="H103" i="31"/>
  <c r="J103" i="31" s="1"/>
  <c r="F103" i="31"/>
  <c r="AD102" i="31"/>
  <c r="AC102" i="31"/>
  <c r="Z102" i="31"/>
  <c r="AA102" i="31" s="1"/>
  <c r="AB102" i="31" s="1"/>
  <c r="Y102" i="31"/>
  <c r="V102" i="31"/>
  <c r="U102" i="31"/>
  <c r="Q102" i="31"/>
  <c r="R102" i="31" s="1"/>
  <c r="N102" i="31"/>
  <c r="M102" i="31"/>
  <c r="H102" i="31"/>
  <c r="J102" i="31" s="1"/>
  <c r="F102" i="31"/>
  <c r="AD101" i="31"/>
  <c r="AC101" i="31"/>
  <c r="Y101" i="31"/>
  <c r="Z101" i="31" s="1"/>
  <c r="AA101" i="31" s="1"/>
  <c r="AB101" i="31" s="1"/>
  <c r="V101" i="31"/>
  <c r="U101" i="31"/>
  <c r="Q101" i="31"/>
  <c r="R101" i="31" s="1"/>
  <c r="N101" i="31"/>
  <c r="M101" i="31"/>
  <c r="H101" i="31"/>
  <c r="J101" i="31" s="1"/>
  <c r="F101" i="31"/>
  <c r="AD100" i="31"/>
  <c r="AC100" i="31"/>
  <c r="Z100" i="31"/>
  <c r="Y100" i="31"/>
  <c r="V100" i="31"/>
  <c r="U100" i="31"/>
  <c r="Q100" i="31"/>
  <c r="R100" i="31" s="1"/>
  <c r="N100" i="31"/>
  <c r="M100" i="31"/>
  <c r="H100" i="31"/>
  <c r="J100" i="31" s="1"/>
  <c r="W100" i="31" s="1"/>
  <c r="X100" i="31" s="1"/>
  <c r="F100" i="31"/>
  <c r="AD99" i="31"/>
  <c r="AC99" i="31"/>
  <c r="Y99" i="31"/>
  <c r="Z99" i="31" s="1"/>
  <c r="AA99" i="31" s="1"/>
  <c r="AB99" i="31" s="1"/>
  <c r="V99" i="31"/>
  <c r="U99" i="31"/>
  <c r="R99" i="31"/>
  <c r="Q99" i="31"/>
  <c r="N99" i="31"/>
  <c r="M99" i="31"/>
  <c r="H99" i="31"/>
  <c r="J99" i="31" s="1"/>
  <c r="F99" i="31"/>
  <c r="AD98" i="31"/>
  <c r="AC98" i="31"/>
  <c r="Y98" i="31"/>
  <c r="Z98" i="31" s="1"/>
  <c r="AA98" i="31" s="1"/>
  <c r="AB98" i="31" s="1"/>
  <c r="V98" i="31"/>
  <c r="U98" i="31"/>
  <c r="R98" i="31"/>
  <c r="Q98" i="31"/>
  <c r="N98" i="31"/>
  <c r="M98" i="31"/>
  <c r="H98" i="31"/>
  <c r="J98" i="31" s="1"/>
  <c r="F98" i="31"/>
  <c r="AD97" i="31"/>
  <c r="AC97" i="31"/>
  <c r="Y97" i="31"/>
  <c r="Z97" i="31" s="1"/>
  <c r="AA97" i="31" s="1"/>
  <c r="AB97" i="31" s="1"/>
  <c r="W97" i="31"/>
  <c r="X97" i="31" s="1"/>
  <c r="V97" i="31"/>
  <c r="U97" i="31"/>
  <c r="R97" i="31"/>
  <c r="Q97" i="31"/>
  <c r="N97" i="31"/>
  <c r="M97" i="31"/>
  <c r="H97" i="31"/>
  <c r="J97" i="31" s="1"/>
  <c r="F97" i="31"/>
  <c r="AD96" i="31"/>
  <c r="AC96" i="31"/>
  <c r="Y96" i="31"/>
  <c r="Z96" i="31" s="1"/>
  <c r="AA96" i="31" s="1"/>
  <c r="AB96" i="31" s="1"/>
  <c r="W96" i="31"/>
  <c r="X96" i="31" s="1"/>
  <c r="V96" i="31"/>
  <c r="U96" i="31"/>
  <c r="Q96" i="31"/>
  <c r="R96" i="31" s="1"/>
  <c r="N96" i="31"/>
  <c r="M96" i="31"/>
  <c r="H96" i="31"/>
  <c r="J96" i="31" s="1"/>
  <c r="F96" i="31"/>
  <c r="AD95" i="31"/>
  <c r="AC95" i="31"/>
  <c r="Y95" i="31"/>
  <c r="Z95" i="31" s="1"/>
  <c r="AA95" i="31" s="1"/>
  <c r="AB95" i="31" s="1"/>
  <c r="X95" i="31"/>
  <c r="W95" i="31"/>
  <c r="V95" i="31"/>
  <c r="U95" i="31"/>
  <c r="Q95" i="31"/>
  <c r="R95" i="31" s="1"/>
  <c r="N95" i="31"/>
  <c r="M95" i="31"/>
  <c r="H95" i="31"/>
  <c r="J95" i="31" s="1"/>
  <c r="F95" i="31"/>
  <c r="AD94" i="31"/>
  <c r="AC94" i="31"/>
  <c r="Z94" i="31"/>
  <c r="AA94" i="31" s="1"/>
  <c r="AB94" i="31" s="1"/>
  <c r="Y94" i="31"/>
  <c r="V94" i="31"/>
  <c r="U94" i="31"/>
  <c r="R94" i="31"/>
  <c r="Q94" i="31"/>
  <c r="N94" i="31"/>
  <c r="M94" i="31"/>
  <c r="J94" i="31"/>
  <c r="K94" i="31" s="1"/>
  <c r="H94" i="31"/>
  <c r="F94" i="31"/>
  <c r="AD93" i="31"/>
  <c r="AC93" i="31"/>
  <c r="Z93" i="31"/>
  <c r="Y93" i="31"/>
  <c r="W93" i="31"/>
  <c r="X93" i="31" s="1"/>
  <c r="V93" i="31"/>
  <c r="U93" i="31"/>
  <c r="Q93" i="31"/>
  <c r="R93" i="31" s="1"/>
  <c r="N93" i="31"/>
  <c r="M93" i="31"/>
  <c r="H93" i="31"/>
  <c r="J93" i="31" s="1"/>
  <c r="AF93" i="31" s="1"/>
  <c r="AE93" i="31" s="1"/>
  <c r="F93" i="31"/>
  <c r="AD92" i="31"/>
  <c r="AC92" i="31"/>
  <c r="Y92" i="31"/>
  <c r="Z92" i="31" s="1"/>
  <c r="V92" i="31"/>
  <c r="U92" i="31"/>
  <c r="R92" i="31"/>
  <c r="Q92" i="31"/>
  <c r="N92" i="31"/>
  <c r="M92" i="31"/>
  <c r="H92" i="31"/>
  <c r="J92" i="31" s="1"/>
  <c r="F92" i="31"/>
  <c r="AD91" i="31"/>
  <c r="AC91" i="31"/>
  <c r="Y91" i="31"/>
  <c r="Z91" i="31" s="1"/>
  <c r="U91" i="31"/>
  <c r="V91" i="31" s="1"/>
  <c r="Q91" i="31"/>
  <c r="R91" i="31" s="1"/>
  <c r="M91" i="31"/>
  <c r="N91" i="31" s="1"/>
  <c r="H91" i="31"/>
  <c r="J91" i="31" s="1"/>
  <c r="F91" i="31"/>
  <c r="AF90" i="31"/>
  <c r="AE90" i="31" s="1"/>
  <c r="AD90" i="31"/>
  <c r="AC90" i="31"/>
  <c r="Y90" i="31"/>
  <c r="Z90" i="31" s="1"/>
  <c r="AA90" i="31" s="1"/>
  <c r="AB90" i="31" s="1"/>
  <c r="V90" i="31"/>
  <c r="W90" i="31" s="1"/>
  <c r="X90" i="31" s="1"/>
  <c r="U90" i="31"/>
  <c r="Q90" i="31"/>
  <c r="R90" i="31" s="1"/>
  <c r="M90" i="31"/>
  <c r="N90" i="31" s="1"/>
  <c r="J90" i="31"/>
  <c r="K90" i="31" s="1"/>
  <c r="H90" i="31"/>
  <c r="F90" i="31"/>
  <c r="AC89" i="31"/>
  <c r="AD89" i="31" s="1"/>
  <c r="Z89" i="31"/>
  <c r="Y89" i="31"/>
  <c r="V89" i="31"/>
  <c r="W89" i="31" s="1"/>
  <c r="X89" i="31" s="1"/>
  <c r="U89" i="31"/>
  <c r="R89" i="31"/>
  <c r="Q89" i="31"/>
  <c r="M89" i="31"/>
  <c r="N89" i="31" s="1"/>
  <c r="H89" i="31"/>
  <c r="J89" i="31" s="1"/>
  <c r="K89" i="31" s="1"/>
  <c r="F89" i="31"/>
  <c r="AC88" i="31"/>
  <c r="AD88" i="31" s="1"/>
  <c r="AF88" i="31" s="1"/>
  <c r="AE88" i="31" s="1"/>
  <c r="AA88" i="31"/>
  <c r="AB88" i="31" s="1"/>
  <c r="Y88" i="31"/>
  <c r="Z88" i="31" s="1"/>
  <c r="U88" i="31"/>
  <c r="V88" i="31" s="1"/>
  <c r="W88" i="31" s="1"/>
  <c r="X88" i="31" s="1"/>
  <c r="Q88" i="31"/>
  <c r="M88" i="31"/>
  <c r="N88" i="31" s="1"/>
  <c r="K88" i="31"/>
  <c r="J88" i="31"/>
  <c r="H88" i="31"/>
  <c r="F88" i="31"/>
  <c r="AC87" i="31"/>
  <c r="AD87" i="31" s="1"/>
  <c r="AF87" i="31" s="1"/>
  <c r="AE87" i="31" s="1"/>
  <c r="AA87" i="31"/>
  <c r="AB87" i="31" s="1"/>
  <c r="Y87" i="31"/>
  <c r="Z87" i="31" s="1"/>
  <c r="U87" i="31"/>
  <c r="V87" i="31" s="1"/>
  <c r="W87" i="31" s="1"/>
  <c r="X87" i="31" s="1"/>
  <c r="Q87" i="31"/>
  <c r="M87" i="31"/>
  <c r="N87" i="31" s="1"/>
  <c r="K87" i="31"/>
  <c r="J87" i="31"/>
  <c r="H87" i="31"/>
  <c r="F87" i="31"/>
  <c r="AC86" i="31"/>
  <c r="AD86" i="31" s="1"/>
  <c r="AF86" i="31" s="1"/>
  <c r="AE86" i="31" s="1"/>
  <c r="AA86" i="31"/>
  <c r="AB86" i="31" s="1"/>
  <c r="Y86" i="31"/>
  <c r="Z86" i="31" s="1"/>
  <c r="U86" i="31"/>
  <c r="V86" i="31" s="1"/>
  <c r="W86" i="31" s="1"/>
  <c r="X86" i="31" s="1"/>
  <c r="Q86" i="31"/>
  <c r="M86" i="31"/>
  <c r="N86" i="31" s="1"/>
  <c r="K86" i="31"/>
  <c r="J86" i="31"/>
  <c r="H86" i="31"/>
  <c r="F86" i="31"/>
  <c r="AC85" i="31"/>
  <c r="AD85" i="31" s="1"/>
  <c r="AF85" i="31" s="1"/>
  <c r="AE85" i="31" s="1"/>
  <c r="AA85" i="31"/>
  <c r="AB85" i="31" s="1"/>
  <c r="Y85" i="31"/>
  <c r="Z85" i="31" s="1"/>
  <c r="U85" i="31"/>
  <c r="V85" i="31" s="1"/>
  <c r="W85" i="31" s="1"/>
  <c r="X85" i="31" s="1"/>
  <c r="Q85" i="31"/>
  <c r="M85" i="31"/>
  <c r="N85" i="31" s="1"/>
  <c r="K85" i="31"/>
  <c r="J85" i="31"/>
  <c r="H85" i="31"/>
  <c r="F85" i="31"/>
  <c r="AC84" i="31"/>
  <c r="AD84" i="31" s="1"/>
  <c r="AF84" i="31" s="1"/>
  <c r="AE84" i="31" s="1"/>
  <c r="AA84" i="31"/>
  <c r="AB84" i="31" s="1"/>
  <c r="Y84" i="31"/>
  <c r="Z84" i="31" s="1"/>
  <c r="U84" i="31"/>
  <c r="V84" i="31" s="1"/>
  <c r="W84" i="31" s="1"/>
  <c r="X84" i="31" s="1"/>
  <c r="Q84" i="31"/>
  <c r="M84" i="31"/>
  <c r="N84" i="31" s="1"/>
  <c r="K84" i="31"/>
  <c r="J84" i="31"/>
  <c r="H84" i="31"/>
  <c r="F84" i="31"/>
  <c r="AC83" i="31"/>
  <c r="AD83" i="31" s="1"/>
  <c r="AF83" i="31" s="1"/>
  <c r="AE83" i="31" s="1"/>
  <c r="AA83" i="31"/>
  <c r="AB83" i="31" s="1"/>
  <c r="Y83" i="31"/>
  <c r="Z83" i="31" s="1"/>
  <c r="U83" i="31"/>
  <c r="V83" i="31" s="1"/>
  <c r="W83" i="31" s="1"/>
  <c r="X83" i="31" s="1"/>
  <c r="Q83" i="31"/>
  <c r="M83" i="31"/>
  <c r="N83" i="31" s="1"/>
  <c r="K83" i="31"/>
  <c r="J83" i="31"/>
  <c r="H83" i="31"/>
  <c r="F83" i="31"/>
  <c r="AC82" i="31"/>
  <c r="AD82" i="31" s="1"/>
  <c r="AF82" i="31" s="1"/>
  <c r="AE82" i="31" s="1"/>
  <c r="AA82" i="31"/>
  <c r="AB82" i="31" s="1"/>
  <c r="Y82" i="31"/>
  <c r="Z82" i="31" s="1"/>
  <c r="U82" i="31"/>
  <c r="V82" i="31" s="1"/>
  <c r="W82" i="31" s="1"/>
  <c r="X82" i="31" s="1"/>
  <c r="Q82" i="31"/>
  <c r="M82" i="31"/>
  <c r="N82" i="31" s="1"/>
  <c r="K82" i="31"/>
  <c r="J82" i="31"/>
  <c r="H82" i="31"/>
  <c r="F82" i="31"/>
  <c r="AC81" i="31"/>
  <c r="AD81" i="31" s="1"/>
  <c r="AF81" i="31" s="1"/>
  <c r="AE81" i="31" s="1"/>
  <c r="AA81" i="31"/>
  <c r="AB81" i="31" s="1"/>
  <c r="Y81" i="31"/>
  <c r="Z81" i="31" s="1"/>
  <c r="U81" i="31"/>
  <c r="V81" i="31" s="1"/>
  <c r="W81" i="31" s="1"/>
  <c r="X81" i="31" s="1"/>
  <c r="Q81" i="31"/>
  <c r="M81" i="31"/>
  <c r="N81" i="31" s="1"/>
  <c r="K81" i="31"/>
  <c r="J81" i="31"/>
  <c r="H81" i="31"/>
  <c r="F81" i="31"/>
  <c r="AC80" i="31"/>
  <c r="AD80" i="31" s="1"/>
  <c r="AF80" i="31" s="1"/>
  <c r="AE80" i="31" s="1"/>
  <c r="AA80" i="31"/>
  <c r="AB80" i="31" s="1"/>
  <c r="Y80" i="31"/>
  <c r="Z80" i="31" s="1"/>
  <c r="U80" i="31"/>
  <c r="V80" i="31" s="1"/>
  <c r="W80" i="31" s="1"/>
  <c r="X80" i="31" s="1"/>
  <c r="Q80" i="31"/>
  <c r="M80" i="31"/>
  <c r="N80" i="31" s="1"/>
  <c r="K80" i="31"/>
  <c r="J80" i="31"/>
  <c r="H80" i="31"/>
  <c r="F80" i="31"/>
  <c r="AC79" i="31"/>
  <c r="AD79" i="31" s="1"/>
  <c r="AF79" i="31" s="1"/>
  <c r="AE79" i="31" s="1"/>
  <c r="AA79" i="31"/>
  <c r="AB79" i="31" s="1"/>
  <c r="Y79" i="31"/>
  <c r="Z79" i="31" s="1"/>
  <c r="U79" i="31"/>
  <c r="V79" i="31" s="1"/>
  <c r="W79" i="31" s="1"/>
  <c r="X79" i="31" s="1"/>
  <c r="Q79" i="31"/>
  <c r="M79" i="31"/>
  <c r="N79" i="31" s="1"/>
  <c r="K79" i="31"/>
  <c r="J79" i="31"/>
  <c r="H79" i="31"/>
  <c r="F79" i="31"/>
  <c r="AC78" i="31"/>
  <c r="AD78" i="31" s="1"/>
  <c r="AF78" i="31" s="1"/>
  <c r="AE78" i="31" s="1"/>
  <c r="AA78" i="31"/>
  <c r="AB78" i="31" s="1"/>
  <c r="Y78" i="31"/>
  <c r="Z78" i="31" s="1"/>
  <c r="U78" i="31"/>
  <c r="V78" i="31" s="1"/>
  <c r="W78" i="31" s="1"/>
  <c r="X78" i="31" s="1"/>
  <c r="Q78" i="31"/>
  <c r="M78" i="31"/>
  <c r="N78" i="31" s="1"/>
  <c r="K78" i="31"/>
  <c r="J78" i="31"/>
  <c r="H78" i="31"/>
  <c r="F78" i="31"/>
  <c r="AC77" i="31"/>
  <c r="AD77" i="31" s="1"/>
  <c r="AF77" i="31" s="1"/>
  <c r="AE77" i="31" s="1"/>
  <c r="AA77" i="31"/>
  <c r="AB77" i="31" s="1"/>
  <c r="Y77" i="31"/>
  <c r="Z77" i="31" s="1"/>
  <c r="U77" i="31"/>
  <c r="V77" i="31" s="1"/>
  <c r="W77" i="31" s="1"/>
  <c r="X77" i="31" s="1"/>
  <c r="Q77" i="31"/>
  <c r="M77" i="31"/>
  <c r="N77" i="31" s="1"/>
  <c r="K77" i="31"/>
  <c r="J77" i="31"/>
  <c r="H77" i="31"/>
  <c r="F77" i="31"/>
  <c r="AC76" i="31"/>
  <c r="AD76" i="31" s="1"/>
  <c r="AF76" i="31" s="1"/>
  <c r="AE76" i="31" s="1"/>
  <c r="Z76" i="31"/>
  <c r="Y76" i="31"/>
  <c r="U76" i="31"/>
  <c r="V76" i="31" s="1"/>
  <c r="Q76" i="31"/>
  <c r="R76" i="31" s="1"/>
  <c r="M76" i="31"/>
  <c r="N76" i="31" s="1"/>
  <c r="H76" i="31"/>
  <c r="J76" i="31" s="1"/>
  <c r="F76" i="31"/>
  <c r="AC75" i="31"/>
  <c r="AD75" i="31" s="1"/>
  <c r="AF75" i="31" s="1"/>
  <c r="AE75" i="31" s="1"/>
  <c r="Y75" i="31"/>
  <c r="Z75" i="31" s="1"/>
  <c r="AA75" i="31" s="1"/>
  <c r="AB75" i="31" s="1"/>
  <c r="U75" i="31"/>
  <c r="V75" i="31" s="1"/>
  <c r="R75" i="31"/>
  <c r="Q75" i="31"/>
  <c r="M75" i="31"/>
  <c r="N75" i="31" s="1"/>
  <c r="J75" i="31"/>
  <c r="H75" i="31"/>
  <c r="F75" i="31"/>
  <c r="AC74" i="31"/>
  <c r="AD74" i="31" s="1"/>
  <c r="Y74" i="31"/>
  <c r="Z74" i="31" s="1"/>
  <c r="AA74" i="31" s="1"/>
  <c r="AB74" i="31" s="1"/>
  <c r="U74" i="31"/>
  <c r="V74" i="31" s="1"/>
  <c r="Q74" i="31"/>
  <c r="R74" i="31" s="1"/>
  <c r="M74" i="31"/>
  <c r="N74" i="31" s="1"/>
  <c r="J74" i="31"/>
  <c r="AF74" i="31" s="1"/>
  <c r="AE74" i="31" s="1"/>
  <c r="H74" i="31"/>
  <c r="F74" i="31"/>
  <c r="AC73" i="31"/>
  <c r="AD73" i="31" s="1"/>
  <c r="AF73" i="31" s="1"/>
  <c r="AE73" i="31" s="1"/>
  <c r="Y73" i="31"/>
  <c r="Z73" i="31" s="1"/>
  <c r="U73" i="31"/>
  <c r="V73" i="31" s="1"/>
  <c r="Q73" i="31"/>
  <c r="R73" i="31" s="1"/>
  <c r="M73" i="31"/>
  <c r="N73" i="31" s="1"/>
  <c r="H73" i="31"/>
  <c r="J73" i="31" s="1"/>
  <c r="F73" i="31"/>
  <c r="AC72" i="31"/>
  <c r="AD72" i="31" s="1"/>
  <c r="Z72" i="31"/>
  <c r="Y72" i="31"/>
  <c r="U72" i="31"/>
  <c r="V72" i="31" s="1"/>
  <c r="Q72" i="31"/>
  <c r="R72" i="31" s="1"/>
  <c r="M72" i="31"/>
  <c r="N72" i="31" s="1"/>
  <c r="H72" i="31"/>
  <c r="J72" i="31" s="1"/>
  <c r="F72" i="31"/>
  <c r="AC71" i="31"/>
  <c r="AD71" i="31" s="1"/>
  <c r="Y71" i="31"/>
  <c r="Z71" i="31" s="1"/>
  <c r="U71" i="31"/>
  <c r="V71" i="31" s="1"/>
  <c r="R71" i="31"/>
  <c r="Q71" i="31"/>
  <c r="M71" i="31"/>
  <c r="N71" i="31" s="1"/>
  <c r="J71" i="31"/>
  <c r="K71" i="31" s="1"/>
  <c r="H71" i="31"/>
  <c r="F71" i="31"/>
  <c r="AC70" i="31"/>
  <c r="AD70" i="31" s="1"/>
  <c r="Y70" i="31"/>
  <c r="Z70" i="31" s="1"/>
  <c r="AA70" i="31" s="1"/>
  <c r="AB70" i="31" s="1"/>
  <c r="U70" i="31"/>
  <c r="V70" i="31" s="1"/>
  <c r="W70" i="31" s="1"/>
  <c r="X70" i="31" s="1"/>
  <c r="Q70" i="31"/>
  <c r="R70" i="31" s="1"/>
  <c r="N70" i="31"/>
  <c r="M70" i="31"/>
  <c r="K70" i="31"/>
  <c r="J70" i="31"/>
  <c r="AF70" i="31" s="1"/>
  <c r="AE70" i="31" s="1"/>
  <c r="H70" i="31"/>
  <c r="F70" i="31"/>
  <c r="AD69" i="31"/>
  <c r="AF69" i="31" s="1"/>
  <c r="AE69" i="31" s="1"/>
  <c r="AC69" i="31"/>
  <c r="AB69" i="31"/>
  <c r="Y69" i="31"/>
  <c r="Z69" i="31" s="1"/>
  <c r="AA69" i="31" s="1"/>
  <c r="V69" i="31"/>
  <c r="W69" i="31" s="1"/>
  <c r="X69" i="31" s="1"/>
  <c r="U69" i="31"/>
  <c r="Q69" i="31"/>
  <c r="R69" i="31" s="1"/>
  <c r="N69" i="31"/>
  <c r="M69" i="31"/>
  <c r="K69" i="31"/>
  <c r="J69" i="31"/>
  <c r="S69" i="31" s="1"/>
  <c r="T69" i="31" s="1"/>
  <c r="H69" i="31"/>
  <c r="F69" i="31"/>
  <c r="AD68" i="31"/>
  <c r="AF68" i="31" s="1"/>
  <c r="AE68" i="31" s="1"/>
  <c r="AC68" i="31"/>
  <c r="AB68" i="31"/>
  <c r="Y68" i="31"/>
  <c r="Z68" i="31" s="1"/>
  <c r="AA68" i="31" s="1"/>
  <c r="V68" i="31"/>
  <c r="W68" i="31" s="1"/>
  <c r="X68" i="31" s="1"/>
  <c r="U68" i="31"/>
  <c r="Q68" i="31"/>
  <c r="R68" i="31" s="1"/>
  <c r="N68" i="31"/>
  <c r="M68" i="31"/>
  <c r="K68" i="31"/>
  <c r="J68" i="31"/>
  <c r="S68" i="31" s="1"/>
  <c r="T68" i="31" s="1"/>
  <c r="H68" i="31"/>
  <c r="F68" i="31"/>
  <c r="AD67" i="31"/>
  <c r="AF67" i="31" s="1"/>
  <c r="AE67" i="31" s="1"/>
  <c r="AC67" i="31"/>
  <c r="AB67" i="31"/>
  <c r="Y67" i="31"/>
  <c r="Z67" i="31" s="1"/>
  <c r="AA67" i="31" s="1"/>
  <c r="W67" i="31"/>
  <c r="X67" i="31" s="1"/>
  <c r="V67" i="31"/>
  <c r="U67" i="31"/>
  <c r="Q67" i="31"/>
  <c r="R67" i="31" s="1"/>
  <c r="N67" i="31"/>
  <c r="M67" i="31"/>
  <c r="K67" i="31"/>
  <c r="J67" i="31"/>
  <c r="S67" i="31" s="1"/>
  <c r="T67" i="31" s="1"/>
  <c r="H67" i="31"/>
  <c r="F67" i="31"/>
  <c r="AD66" i="31"/>
  <c r="AF66" i="31" s="1"/>
  <c r="AE66" i="31" s="1"/>
  <c r="AC66" i="31"/>
  <c r="Y66" i="31"/>
  <c r="Z66" i="31" s="1"/>
  <c r="AA66" i="31" s="1"/>
  <c r="AB66" i="31" s="1"/>
  <c r="W66" i="31"/>
  <c r="X66" i="31" s="1"/>
  <c r="V66" i="31"/>
  <c r="U66" i="31"/>
  <c r="T66" i="31"/>
  <c r="Q66" i="31"/>
  <c r="R66" i="31" s="1"/>
  <c r="N66" i="31"/>
  <c r="M66" i="31"/>
  <c r="K66" i="31"/>
  <c r="J66" i="31"/>
  <c r="S66" i="31" s="1"/>
  <c r="H66" i="31"/>
  <c r="F66" i="31"/>
  <c r="AE65" i="31"/>
  <c r="AD65" i="31"/>
  <c r="AF65" i="31" s="1"/>
  <c r="AC65" i="31"/>
  <c r="AB65" i="31"/>
  <c r="Y65" i="31"/>
  <c r="Z65" i="31" s="1"/>
  <c r="AA65" i="31" s="1"/>
  <c r="W65" i="31"/>
  <c r="X65" i="31" s="1"/>
  <c r="V65" i="31"/>
  <c r="U65" i="31"/>
  <c r="T65" i="31"/>
  <c r="Q65" i="31"/>
  <c r="R65" i="31" s="1"/>
  <c r="N65" i="31"/>
  <c r="M65" i="31"/>
  <c r="K65" i="31"/>
  <c r="J65" i="31"/>
  <c r="S65" i="31" s="1"/>
  <c r="H65" i="31"/>
  <c r="F65" i="31"/>
  <c r="AE64" i="31"/>
  <c r="AD64" i="31"/>
  <c r="AF64" i="31" s="1"/>
  <c r="AC64" i="31"/>
  <c r="AB64" i="31"/>
  <c r="Y64" i="31"/>
  <c r="Z64" i="31" s="1"/>
  <c r="AA64" i="31" s="1"/>
  <c r="V64" i="31"/>
  <c r="W64" i="31" s="1"/>
  <c r="X64" i="31" s="1"/>
  <c r="U64" i="31"/>
  <c r="T64" i="31"/>
  <c r="Q64" i="31"/>
  <c r="R64" i="31" s="1"/>
  <c r="N64" i="31"/>
  <c r="M64" i="31"/>
  <c r="K64" i="31"/>
  <c r="J64" i="31"/>
  <c r="S64" i="31" s="1"/>
  <c r="H64" i="31"/>
  <c r="F64" i="31"/>
  <c r="AD63" i="31"/>
  <c r="AF63" i="31" s="1"/>
  <c r="AE63" i="31" s="1"/>
  <c r="AC63" i="31"/>
  <c r="AB63" i="31"/>
  <c r="Y63" i="31"/>
  <c r="Z63" i="31" s="1"/>
  <c r="AA63" i="31" s="1"/>
  <c r="V63" i="31"/>
  <c r="W63" i="31" s="1"/>
  <c r="X63" i="31" s="1"/>
  <c r="U63" i="31"/>
  <c r="Q63" i="31"/>
  <c r="R63" i="31" s="1"/>
  <c r="N63" i="31"/>
  <c r="M63" i="31"/>
  <c r="K63" i="31"/>
  <c r="J63" i="31"/>
  <c r="S63" i="31" s="1"/>
  <c r="T63" i="31" s="1"/>
  <c r="H63" i="31"/>
  <c r="F63" i="31"/>
  <c r="AE62" i="31"/>
  <c r="AD62" i="31"/>
  <c r="AF62" i="31" s="1"/>
  <c r="AC62" i="31"/>
  <c r="Y62" i="31"/>
  <c r="Z62" i="31" s="1"/>
  <c r="AA62" i="31" s="1"/>
  <c r="AB62" i="31" s="1"/>
  <c r="W62" i="31"/>
  <c r="X62" i="31" s="1"/>
  <c r="V62" i="31"/>
  <c r="U62" i="31"/>
  <c r="T62" i="31"/>
  <c r="Q62" i="31"/>
  <c r="R62" i="31" s="1"/>
  <c r="N62" i="31"/>
  <c r="M62" i="31"/>
  <c r="K62" i="31"/>
  <c r="J62" i="31"/>
  <c r="S62" i="31" s="1"/>
  <c r="H62" i="31"/>
  <c r="F62" i="31"/>
  <c r="AE61" i="31"/>
  <c r="AD61" i="31"/>
  <c r="AF61" i="31" s="1"/>
  <c r="AC61" i="31"/>
  <c r="Y61" i="31"/>
  <c r="Z61" i="31" s="1"/>
  <c r="AA61" i="31" s="1"/>
  <c r="AB61" i="31" s="1"/>
  <c r="W61" i="31"/>
  <c r="X61" i="31" s="1"/>
  <c r="V61" i="31"/>
  <c r="U61" i="31"/>
  <c r="T61" i="31"/>
  <c r="Q61" i="31"/>
  <c r="R61" i="31" s="1"/>
  <c r="N61" i="31"/>
  <c r="M61" i="31"/>
  <c r="K61" i="31"/>
  <c r="J61" i="31"/>
  <c r="S61" i="31" s="1"/>
  <c r="H61" i="31"/>
  <c r="F61" i="31"/>
  <c r="AE60" i="31"/>
  <c r="AD60" i="31"/>
  <c r="AF60" i="31" s="1"/>
  <c r="AC60" i="31"/>
  <c r="AB60" i="31"/>
  <c r="Y60" i="31"/>
  <c r="Z60" i="31" s="1"/>
  <c r="AA60" i="31" s="1"/>
  <c r="V60" i="31"/>
  <c r="W60" i="31" s="1"/>
  <c r="X60" i="31" s="1"/>
  <c r="U60" i="31"/>
  <c r="Q60" i="31"/>
  <c r="R60" i="31" s="1"/>
  <c r="N60" i="31"/>
  <c r="M60" i="31"/>
  <c r="K60" i="31"/>
  <c r="J60" i="31"/>
  <c r="S60" i="31" s="1"/>
  <c r="T60" i="31" s="1"/>
  <c r="H60" i="31"/>
  <c r="F60" i="31"/>
  <c r="AD59" i="31"/>
  <c r="AF59" i="31" s="1"/>
  <c r="AE59" i="31" s="1"/>
  <c r="AC59" i="31"/>
  <c r="AB59" i="31"/>
  <c r="Y59" i="31"/>
  <c r="Z59" i="31" s="1"/>
  <c r="AA59" i="31" s="1"/>
  <c r="W59" i="31"/>
  <c r="X59" i="31" s="1"/>
  <c r="V59" i="31"/>
  <c r="U59" i="31"/>
  <c r="Q59" i="31"/>
  <c r="R59" i="31" s="1"/>
  <c r="N59" i="31"/>
  <c r="M59" i="31"/>
  <c r="K59" i="31"/>
  <c r="J59" i="31"/>
  <c r="S59" i="31" s="1"/>
  <c r="T59" i="31" s="1"/>
  <c r="H59" i="31"/>
  <c r="F59" i="31"/>
  <c r="AD58" i="31"/>
  <c r="AF58" i="31" s="1"/>
  <c r="AE58" i="31" s="1"/>
  <c r="AC58" i="31"/>
  <c r="Y58" i="31"/>
  <c r="Z58" i="31" s="1"/>
  <c r="AA58" i="31" s="1"/>
  <c r="AB58" i="31" s="1"/>
  <c r="W58" i="31"/>
  <c r="X58" i="31" s="1"/>
  <c r="V58" i="31"/>
  <c r="U58" i="31"/>
  <c r="T58" i="31"/>
  <c r="Q58" i="31"/>
  <c r="R58" i="31" s="1"/>
  <c r="N58" i="31"/>
  <c r="M58" i="31"/>
  <c r="K58" i="31"/>
  <c r="J58" i="31"/>
  <c r="S58" i="31" s="1"/>
  <c r="H58" i="31"/>
  <c r="F58" i="31"/>
  <c r="AE57" i="31"/>
  <c r="AD57" i="31"/>
  <c r="AF57" i="31" s="1"/>
  <c r="AC57" i="31"/>
  <c r="AB57" i="31"/>
  <c r="Y57" i="31"/>
  <c r="Z57" i="31" s="1"/>
  <c r="AA57" i="31" s="1"/>
  <c r="W57" i="31"/>
  <c r="X57" i="31" s="1"/>
  <c r="V57" i="31"/>
  <c r="U57" i="31"/>
  <c r="T57" i="31"/>
  <c r="Q57" i="31"/>
  <c r="R57" i="31" s="1"/>
  <c r="N57" i="31"/>
  <c r="M57" i="31"/>
  <c r="K57" i="31"/>
  <c r="J57" i="31"/>
  <c r="S57" i="31" s="1"/>
  <c r="H57" i="31"/>
  <c r="F57" i="31"/>
  <c r="AE56" i="31"/>
  <c r="AD56" i="31"/>
  <c r="AF56" i="31" s="1"/>
  <c r="AC56" i="31"/>
  <c r="AB56" i="31"/>
  <c r="Y56" i="31"/>
  <c r="Z56" i="31" s="1"/>
  <c r="AA56" i="31" s="1"/>
  <c r="V56" i="31"/>
  <c r="W56" i="31" s="1"/>
  <c r="X56" i="31" s="1"/>
  <c r="U56" i="31"/>
  <c r="T56" i="31"/>
  <c r="Q56" i="31"/>
  <c r="R56" i="31" s="1"/>
  <c r="N56" i="31"/>
  <c r="M56" i="31"/>
  <c r="K56" i="31"/>
  <c r="J56" i="31"/>
  <c r="S56" i="31" s="1"/>
  <c r="H56" i="31"/>
  <c r="F56" i="31"/>
  <c r="AD55" i="31"/>
  <c r="AF55" i="31" s="1"/>
  <c r="AE55" i="31" s="1"/>
  <c r="AC55" i="31"/>
  <c r="AB55" i="31"/>
  <c r="Y55" i="31"/>
  <c r="Z55" i="31" s="1"/>
  <c r="AA55" i="31" s="1"/>
  <c r="V55" i="31"/>
  <c r="W55" i="31" s="1"/>
  <c r="X55" i="31" s="1"/>
  <c r="U55" i="31"/>
  <c r="Q55" i="31"/>
  <c r="R55" i="31" s="1"/>
  <c r="N55" i="31"/>
  <c r="M55" i="31"/>
  <c r="K55" i="31"/>
  <c r="J55" i="31"/>
  <c r="S55" i="31" s="1"/>
  <c r="T55" i="31" s="1"/>
  <c r="H55" i="31"/>
  <c r="F55" i="31"/>
  <c r="AE54" i="31"/>
  <c r="AD54" i="31"/>
  <c r="AF54" i="31" s="1"/>
  <c r="AC54" i="31"/>
  <c r="Y54" i="31"/>
  <c r="Z54" i="31" s="1"/>
  <c r="AA54" i="31" s="1"/>
  <c r="AB54" i="31" s="1"/>
  <c r="W54" i="31"/>
  <c r="X54" i="31" s="1"/>
  <c r="V54" i="31"/>
  <c r="U54" i="31"/>
  <c r="T54" i="31"/>
  <c r="Q54" i="31"/>
  <c r="R54" i="31" s="1"/>
  <c r="N54" i="31"/>
  <c r="M54" i="31"/>
  <c r="K54" i="31"/>
  <c r="J54" i="31"/>
  <c r="S54" i="31" s="1"/>
  <c r="H54" i="31"/>
  <c r="F54" i="31"/>
  <c r="AE53" i="31"/>
  <c r="AD53" i="31"/>
  <c r="AF53" i="31" s="1"/>
  <c r="AC53" i="31"/>
  <c r="Y53" i="31"/>
  <c r="Z53" i="31" s="1"/>
  <c r="AA53" i="31" s="1"/>
  <c r="AB53" i="31" s="1"/>
  <c r="W53" i="31"/>
  <c r="X53" i="31" s="1"/>
  <c r="V53" i="31"/>
  <c r="U53" i="31"/>
  <c r="T53" i="31"/>
  <c r="Q53" i="31"/>
  <c r="R53" i="31" s="1"/>
  <c r="N53" i="31"/>
  <c r="M53" i="31"/>
  <c r="K53" i="31"/>
  <c r="J53" i="31"/>
  <c r="S53" i="31" s="1"/>
  <c r="H53" i="31"/>
  <c r="F53" i="31"/>
  <c r="AE52" i="31"/>
  <c r="AD52" i="31"/>
  <c r="AF52" i="31" s="1"/>
  <c r="AC52" i="31"/>
  <c r="AB52" i="31"/>
  <c r="Y52" i="31"/>
  <c r="Z52" i="31" s="1"/>
  <c r="AA52" i="31" s="1"/>
  <c r="V52" i="31"/>
  <c r="W52" i="31" s="1"/>
  <c r="X52" i="31" s="1"/>
  <c r="U52" i="31"/>
  <c r="Q52" i="31"/>
  <c r="R52" i="31" s="1"/>
  <c r="N52" i="31"/>
  <c r="M52" i="31"/>
  <c r="K52" i="31"/>
  <c r="J52" i="31"/>
  <c r="S52" i="31" s="1"/>
  <c r="T52" i="31" s="1"/>
  <c r="H52" i="31"/>
  <c r="F52" i="31"/>
  <c r="AD51" i="31"/>
  <c r="AF51" i="31" s="1"/>
  <c r="AE51" i="31" s="1"/>
  <c r="AC51" i="31"/>
  <c r="AB51" i="31"/>
  <c r="Y51" i="31"/>
  <c r="Z51" i="31" s="1"/>
  <c r="AA51" i="31" s="1"/>
  <c r="W51" i="31"/>
  <c r="X51" i="31" s="1"/>
  <c r="V51" i="31"/>
  <c r="U51" i="31"/>
  <c r="Q51" i="31"/>
  <c r="R51" i="31" s="1"/>
  <c r="N51" i="31"/>
  <c r="M51" i="31"/>
  <c r="K51" i="31"/>
  <c r="J51" i="31"/>
  <c r="S51" i="31" s="1"/>
  <c r="T51" i="31" s="1"/>
  <c r="H51" i="31"/>
  <c r="F51" i="31"/>
  <c r="AD50" i="31"/>
  <c r="AF50" i="31" s="1"/>
  <c r="AE50" i="31" s="1"/>
  <c r="AC50" i="31"/>
  <c r="Y50" i="31"/>
  <c r="Z50" i="31" s="1"/>
  <c r="AA50" i="31" s="1"/>
  <c r="AB50" i="31" s="1"/>
  <c r="W50" i="31"/>
  <c r="X50" i="31" s="1"/>
  <c r="V50" i="31"/>
  <c r="U50" i="31"/>
  <c r="Q50" i="31"/>
  <c r="R50" i="31" s="1"/>
  <c r="N50" i="31"/>
  <c r="M50" i="31"/>
  <c r="K50" i="31"/>
  <c r="J50" i="31"/>
  <c r="H50" i="31"/>
  <c r="F50" i="31"/>
  <c r="AE49" i="31"/>
  <c r="AD49" i="31"/>
  <c r="AF49" i="31" s="1"/>
  <c r="AC49" i="31"/>
  <c r="AB49" i="31"/>
  <c r="Y49" i="31"/>
  <c r="Z49" i="31" s="1"/>
  <c r="AA49" i="31" s="1"/>
  <c r="W49" i="31"/>
  <c r="X49" i="31" s="1"/>
  <c r="V49" i="31"/>
  <c r="U49" i="31"/>
  <c r="Q49" i="31"/>
  <c r="R49" i="31" s="1"/>
  <c r="N49" i="31"/>
  <c r="M49" i="31"/>
  <c r="K49" i="31"/>
  <c r="J49" i="31"/>
  <c r="H49" i="31"/>
  <c r="F49" i="31"/>
  <c r="AC48" i="31"/>
  <c r="AD48" i="31" s="1"/>
  <c r="AF48" i="31" s="1"/>
  <c r="AE48" i="31" s="1"/>
  <c r="AB48" i="31"/>
  <c r="Y48" i="31"/>
  <c r="Z48" i="31" s="1"/>
  <c r="AA48" i="31" s="1"/>
  <c r="U48" i="31"/>
  <c r="V48" i="31" s="1"/>
  <c r="W48" i="31" s="1"/>
  <c r="X48" i="31" s="1"/>
  <c r="Q48" i="31"/>
  <c r="R48" i="31" s="1"/>
  <c r="N48" i="31"/>
  <c r="M48" i="31"/>
  <c r="K48" i="31"/>
  <c r="J48" i="31"/>
  <c r="H48" i="31"/>
  <c r="F48" i="31"/>
  <c r="AE47" i="31"/>
  <c r="AD47" i="31"/>
  <c r="AF47" i="31" s="1"/>
  <c r="AC47" i="31"/>
  <c r="Y47" i="31"/>
  <c r="Z47" i="31" s="1"/>
  <c r="AA47" i="31" s="1"/>
  <c r="AB47" i="31" s="1"/>
  <c r="U47" i="31"/>
  <c r="V47" i="31" s="1"/>
  <c r="W47" i="31" s="1"/>
  <c r="X47" i="31" s="1"/>
  <c r="Q47" i="31"/>
  <c r="R47" i="31" s="1"/>
  <c r="N47" i="31"/>
  <c r="M47" i="31"/>
  <c r="K47" i="31"/>
  <c r="J47" i="31"/>
  <c r="S47" i="31" s="1"/>
  <c r="T47" i="31" s="1"/>
  <c r="H47" i="31"/>
  <c r="F47" i="31"/>
  <c r="AD46" i="31"/>
  <c r="AF46" i="31" s="1"/>
  <c r="AE46" i="31" s="1"/>
  <c r="AC46" i="31"/>
  <c r="Y46" i="31"/>
  <c r="Z46" i="31" s="1"/>
  <c r="AA46" i="31" s="1"/>
  <c r="AB46" i="31" s="1"/>
  <c r="U46" i="31"/>
  <c r="V46" i="31" s="1"/>
  <c r="W46" i="31" s="1"/>
  <c r="X46" i="31" s="1"/>
  <c r="Q46" i="31"/>
  <c r="R46" i="31" s="1"/>
  <c r="N46" i="31"/>
  <c r="M46" i="31"/>
  <c r="H46" i="31"/>
  <c r="J46" i="31" s="1"/>
  <c r="F46" i="31"/>
  <c r="AD45" i="31"/>
  <c r="AF45" i="31" s="1"/>
  <c r="AE45" i="31" s="1"/>
  <c r="AC45" i="31"/>
  <c r="Y45" i="31"/>
  <c r="Z45" i="31" s="1"/>
  <c r="W45" i="31"/>
  <c r="X45" i="31" s="1"/>
  <c r="V45" i="31"/>
  <c r="U45" i="31"/>
  <c r="Q45" i="31"/>
  <c r="R45" i="31" s="1"/>
  <c r="M45" i="31"/>
  <c r="N45" i="31" s="1"/>
  <c r="K45" i="31"/>
  <c r="H45" i="31"/>
  <c r="J45" i="31" s="1"/>
  <c r="F45" i="31"/>
  <c r="AC44" i="31"/>
  <c r="AD44" i="31" s="1"/>
  <c r="AF44" i="31" s="1"/>
  <c r="AE44" i="31" s="1"/>
  <c r="AB44" i="31"/>
  <c r="Y44" i="31"/>
  <c r="Z44" i="31" s="1"/>
  <c r="AA44" i="31" s="1"/>
  <c r="W44" i="31"/>
  <c r="X44" i="31" s="1"/>
  <c r="V44" i="31"/>
  <c r="U44" i="31"/>
  <c r="Q44" i="31"/>
  <c r="R44" i="31" s="1"/>
  <c r="M44" i="31"/>
  <c r="N44" i="31" s="1"/>
  <c r="K44" i="31"/>
  <c r="H44" i="31"/>
  <c r="J44" i="31" s="1"/>
  <c r="F44" i="31"/>
  <c r="AD43" i="31"/>
  <c r="AF43" i="31" s="1"/>
  <c r="AE43" i="31" s="1"/>
  <c r="AC43" i="31"/>
  <c r="AB43" i="31"/>
  <c r="Z43" i="31"/>
  <c r="AA43" i="31" s="1"/>
  <c r="Y43" i="31"/>
  <c r="V43" i="31"/>
  <c r="W43" i="31" s="1"/>
  <c r="X43" i="31" s="1"/>
  <c r="U43" i="31"/>
  <c r="R43" i="31"/>
  <c r="Q43" i="31"/>
  <c r="M43" i="31"/>
  <c r="N43" i="31" s="1"/>
  <c r="K43" i="31"/>
  <c r="H43" i="31"/>
  <c r="J43" i="31" s="1"/>
  <c r="F43" i="31"/>
  <c r="AC42" i="31"/>
  <c r="AD42" i="31" s="1"/>
  <c r="AF42" i="31" s="1"/>
  <c r="AE42" i="31" s="1"/>
  <c r="AB42" i="31"/>
  <c r="Z42" i="31"/>
  <c r="AA42" i="31" s="1"/>
  <c r="Y42" i="31"/>
  <c r="X42" i="31"/>
  <c r="W42" i="31"/>
  <c r="V42" i="31"/>
  <c r="U42" i="31"/>
  <c r="R42" i="31"/>
  <c r="Q42" i="31"/>
  <c r="O42" i="31"/>
  <c r="P42" i="31" s="1"/>
  <c r="N42" i="31"/>
  <c r="M42" i="31"/>
  <c r="H42" i="31"/>
  <c r="J42" i="31" s="1"/>
  <c r="F42" i="31"/>
  <c r="AD41" i="31"/>
  <c r="AF41" i="31" s="1"/>
  <c r="AE41" i="31" s="1"/>
  <c r="AC41" i="31"/>
  <c r="Y41" i="31"/>
  <c r="Z41" i="31" s="1"/>
  <c r="AA41" i="31" s="1"/>
  <c r="AB41" i="31" s="1"/>
  <c r="U41" i="31"/>
  <c r="V41" i="31" s="1"/>
  <c r="W41" i="31" s="1"/>
  <c r="X41" i="31" s="1"/>
  <c r="R41" i="31"/>
  <c r="Q41" i="31"/>
  <c r="N41" i="31"/>
  <c r="M41" i="31"/>
  <c r="K41" i="31"/>
  <c r="H41" i="31"/>
  <c r="J41" i="31" s="1"/>
  <c r="S41" i="31" s="1"/>
  <c r="T41" i="31" s="1"/>
  <c r="F41" i="31"/>
  <c r="AD40" i="31"/>
  <c r="AF40" i="31" s="1"/>
  <c r="AE40" i="31" s="1"/>
  <c r="AC40" i="31"/>
  <c r="Z40" i="31"/>
  <c r="AA40" i="31" s="1"/>
  <c r="AB40" i="31" s="1"/>
  <c r="Y40" i="31"/>
  <c r="U40" i="31"/>
  <c r="V40" i="31" s="1"/>
  <c r="W40" i="31" s="1"/>
  <c r="X40" i="31" s="1"/>
  <c r="Q40" i="31"/>
  <c r="R40" i="31" s="1"/>
  <c r="M40" i="31"/>
  <c r="N40" i="31" s="1"/>
  <c r="K40" i="31"/>
  <c r="H40" i="31"/>
  <c r="J40" i="31" s="1"/>
  <c r="F40" i="31"/>
  <c r="AF39" i="31"/>
  <c r="AE39" i="31" s="1"/>
  <c r="AD39" i="31"/>
  <c r="AC39" i="31"/>
  <c r="Z39" i="31"/>
  <c r="Y39" i="31"/>
  <c r="V39" i="31"/>
  <c r="U39" i="31"/>
  <c r="Q39" i="31"/>
  <c r="R39" i="31" s="1"/>
  <c r="N39" i="31"/>
  <c r="M39" i="31"/>
  <c r="H39" i="31"/>
  <c r="J39" i="31" s="1"/>
  <c r="W39" i="31" s="1"/>
  <c r="X39" i="31" s="1"/>
  <c r="F39" i="31"/>
  <c r="AD38" i="31"/>
  <c r="AC38" i="31"/>
  <c r="Y38" i="31"/>
  <c r="Z38" i="31" s="1"/>
  <c r="AA38" i="31" s="1"/>
  <c r="AB38" i="31" s="1"/>
  <c r="V38" i="31"/>
  <c r="W38" i="31" s="1"/>
  <c r="X38" i="31" s="1"/>
  <c r="U38" i="31"/>
  <c r="Q38" i="31"/>
  <c r="R38" i="31" s="1"/>
  <c r="N38" i="31"/>
  <c r="M38" i="31"/>
  <c r="H38" i="31"/>
  <c r="J38" i="31" s="1"/>
  <c r="F38" i="31"/>
  <c r="AD37" i="31"/>
  <c r="AC37" i="31"/>
  <c r="Y37" i="31"/>
  <c r="Z37" i="31" s="1"/>
  <c r="V37" i="31"/>
  <c r="W37" i="31" s="1"/>
  <c r="X37" i="31" s="1"/>
  <c r="U37" i="31"/>
  <c r="Q37" i="31"/>
  <c r="R37" i="31" s="1"/>
  <c r="N37" i="31"/>
  <c r="M37" i="31"/>
  <c r="H37" i="31"/>
  <c r="J37" i="31" s="1"/>
  <c r="F37" i="31"/>
  <c r="AD36" i="31"/>
  <c r="AC36" i="31"/>
  <c r="Y36" i="31"/>
  <c r="Z36" i="31" s="1"/>
  <c r="V36" i="31"/>
  <c r="U36" i="31"/>
  <c r="Q36" i="31"/>
  <c r="R36" i="31" s="1"/>
  <c r="N36" i="31"/>
  <c r="M36" i="31"/>
  <c r="H36" i="31"/>
  <c r="J36" i="31" s="1"/>
  <c r="F36" i="31"/>
  <c r="AD35" i="31"/>
  <c r="AC35" i="31"/>
  <c r="Y35" i="31"/>
  <c r="Z35" i="31" s="1"/>
  <c r="AA35" i="31" s="1"/>
  <c r="AB35" i="31" s="1"/>
  <c r="V35" i="31"/>
  <c r="W35" i="31" s="1"/>
  <c r="X35" i="31" s="1"/>
  <c r="U35" i="31"/>
  <c r="Q35" i="31"/>
  <c r="R35" i="31" s="1"/>
  <c r="N35" i="31"/>
  <c r="M35" i="31"/>
  <c r="H35" i="31"/>
  <c r="J35" i="31" s="1"/>
  <c r="F35" i="31"/>
  <c r="AD34" i="31"/>
  <c r="AC34" i="31"/>
  <c r="Y34" i="31"/>
  <c r="Z34" i="31" s="1"/>
  <c r="AA34" i="31" s="1"/>
  <c r="AB34" i="31" s="1"/>
  <c r="V34" i="31"/>
  <c r="W34" i="31" s="1"/>
  <c r="X34" i="31" s="1"/>
  <c r="U34" i="31"/>
  <c r="Q34" i="31"/>
  <c r="R34" i="31" s="1"/>
  <c r="N34" i="31"/>
  <c r="M34" i="31"/>
  <c r="H34" i="31"/>
  <c r="J34" i="31" s="1"/>
  <c r="F34" i="31"/>
  <c r="AD33" i="31"/>
  <c r="AC33" i="31"/>
  <c r="Y33" i="31"/>
  <c r="Z33" i="31" s="1"/>
  <c r="V33" i="31"/>
  <c r="W33" i="31" s="1"/>
  <c r="X33" i="31" s="1"/>
  <c r="U33" i="31"/>
  <c r="Q33" i="31"/>
  <c r="R33" i="31" s="1"/>
  <c r="N33" i="31"/>
  <c r="M33" i="31"/>
  <c r="H33" i="31"/>
  <c r="J33" i="31" s="1"/>
  <c r="F33" i="31"/>
  <c r="AD32" i="31"/>
  <c r="AC32" i="31"/>
  <c r="Y32" i="31"/>
  <c r="Z32" i="31" s="1"/>
  <c r="U32" i="31"/>
  <c r="V32" i="31" s="1"/>
  <c r="W32" i="31" s="1"/>
  <c r="X32" i="31" s="1"/>
  <c r="Q32" i="31"/>
  <c r="R32" i="31" s="1"/>
  <c r="M32" i="31"/>
  <c r="N32" i="31" s="1"/>
  <c r="H32" i="31"/>
  <c r="J32" i="31" s="1"/>
  <c r="F32" i="31"/>
  <c r="AC31" i="31"/>
  <c r="AD31" i="31" s="1"/>
  <c r="AF31" i="31" s="1"/>
  <c r="AE31" i="31" s="1"/>
  <c r="Y31" i="31"/>
  <c r="Z31" i="31" s="1"/>
  <c r="AA31" i="31" s="1"/>
  <c r="AB31" i="31" s="1"/>
  <c r="V31" i="31"/>
  <c r="W31" i="31" s="1"/>
  <c r="X31" i="31" s="1"/>
  <c r="U31" i="31"/>
  <c r="Q31" i="31"/>
  <c r="R31" i="31" s="1"/>
  <c r="M31" i="31"/>
  <c r="N31" i="31" s="1"/>
  <c r="H31" i="31"/>
  <c r="J31" i="31" s="1"/>
  <c r="F31" i="31"/>
  <c r="AC30" i="31"/>
  <c r="AD30" i="31" s="1"/>
  <c r="AF30" i="31" s="1"/>
  <c r="AE30" i="31" s="1"/>
  <c r="Y30" i="31"/>
  <c r="Z30" i="31" s="1"/>
  <c r="AA30" i="31" s="1"/>
  <c r="AB30" i="31" s="1"/>
  <c r="V30" i="31"/>
  <c r="W30" i="31" s="1"/>
  <c r="X30" i="31" s="1"/>
  <c r="U30" i="31"/>
  <c r="Q30" i="31"/>
  <c r="R30" i="31" s="1"/>
  <c r="M30" i="31"/>
  <c r="N30" i="31" s="1"/>
  <c r="H30" i="31"/>
  <c r="J30" i="31" s="1"/>
  <c r="F30" i="31"/>
  <c r="AC29" i="31"/>
  <c r="AD29" i="31" s="1"/>
  <c r="AF29" i="31" s="1"/>
  <c r="AE29" i="31" s="1"/>
  <c r="Y29" i="31"/>
  <c r="Z29" i="31" s="1"/>
  <c r="V29" i="31"/>
  <c r="W29" i="31" s="1"/>
  <c r="X29" i="31" s="1"/>
  <c r="U29" i="31"/>
  <c r="Q29" i="31"/>
  <c r="R29" i="31" s="1"/>
  <c r="M29" i="31"/>
  <c r="N29" i="31" s="1"/>
  <c r="H29" i="31"/>
  <c r="J29" i="31" s="1"/>
  <c r="F29" i="31"/>
  <c r="AC28" i="31"/>
  <c r="AD28" i="31" s="1"/>
  <c r="AF28" i="31" s="1"/>
  <c r="AE28" i="31" s="1"/>
  <c r="Y28" i="31"/>
  <c r="Z28" i="31" s="1"/>
  <c r="U28" i="31"/>
  <c r="V28" i="31" s="1"/>
  <c r="W28" i="31" s="1"/>
  <c r="X28" i="31" s="1"/>
  <c r="Q28" i="31"/>
  <c r="R28" i="31" s="1"/>
  <c r="M28" i="31"/>
  <c r="N28" i="31" s="1"/>
  <c r="H28" i="31"/>
  <c r="J28" i="31" s="1"/>
  <c r="F28" i="31"/>
  <c r="AC27" i="31"/>
  <c r="AD27" i="31" s="1"/>
  <c r="AF27" i="31" s="1"/>
  <c r="AE27" i="31" s="1"/>
  <c r="Y27" i="31"/>
  <c r="Z27" i="31" s="1"/>
  <c r="AA27" i="31" s="1"/>
  <c r="AB27" i="31" s="1"/>
  <c r="V27" i="31"/>
  <c r="W27" i="31" s="1"/>
  <c r="X27" i="31" s="1"/>
  <c r="U27" i="31"/>
  <c r="Q27" i="31"/>
  <c r="R27" i="31" s="1"/>
  <c r="M27" i="31"/>
  <c r="N27" i="31" s="1"/>
  <c r="H27" i="31"/>
  <c r="J27" i="31" s="1"/>
  <c r="F27" i="31"/>
  <c r="AC26" i="31"/>
  <c r="AD26" i="31" s="1"/>
  <c r="AF26" i="31" s="1"/>
  <c r="AE26" i="31" s="1"/>
  <c r="Y26" i="31"/>
  <c r="Z26" i="31" s="1"/>
  <c r="AA26" i="31" s="1"/>
  <c r="AB26" i="31" s="1"/>
  <c r="V26" i="31"/>
  <c r="W26" i="31" s="1"/>
  <c r="X26" i="31" s="1"/>
  <c r="U26" i="31"/>
  <c r="Q26" i="31"/>
  <c r="R26" i="31" s="1"/>
  <c r="M26" i="31"/>
  <c r="N26" i="31" s="1"/>
  <c r="H26" i="31"/>
  <c r="J26" i="31" s="1"/>
  <c r="F26" i="31"/>
  <c r="AC25" i="31"/>
  <c r="AD25" i="31" s="1"/>
  <c r="AF25" i="31" s="1"/>
  <c r="AE25" i="31" s="1"/>
  <c r="Y25" i="31"/>
  <c r="Z25" i="31" s="1"/>
  <c r="V25" i="31"/>
  <c r="W25" i="31" s="1"/>
  <c r="X25" i="31" s="1"/>
  <c r="U25" i="31"/>
  <c r="Q25" i="31"/>
  <c r="R25" i="31" s="1"/>
  <c r="M25" i="31"/>
  <c r="N25" i="31" s="1"/>
  <c r="H25" i="31"/>
  <c r="J25" i="31" s="1"/>
  <c r="F25" i="31"/>
  <c r="AC24" i="31"/>
  <c r="AD24" i="31" s="1"/>
  <c r="AF24" i="31" s="1"/>
  <c r="AE24" i="31" s="1"/>
  <c r="Y24" i="31"/>
  <c r="Z24" i="31" s="1"/>
  <c r="U24" i="31"/>
  <c r="V24" i="31" s="1"/>
  <c r="W24" i="31" s="1"/>
  <c r="X24" i="31" s="1"/>
  <c r="Q24" i="31"/>
  <c r="R24" i="31" s="1"/>
  <c r="M24" i="31"/>
  <c r="N24" i="31" s="1"/>
  <c r="H24" i="31"/>
  <c r="J24" i="31" s="1"/>
  <c r="F24" i="31"/>
  <c r="AC23" i="31"/>
  <c r="AD23" i="31" s="1"/>
  <c r="AF23" i="31" s="1"/>
  <c r="AE23" i="31" s="1"/>
  <c r="Y23" i="31"/>
  <c r="Z23" i="31" s="1"/>
  <c r="AA23" i="31" s="1"/>
  <c r="AB23" i="31" s="1"/>
  <c r="V23" i="31"/>
  <c r="W23" i="31" s="1"/>
  <c r="X23" i="31" s="1"/>
  <c r="U23" i="31"/>
  <c r="Q23" i="31"/>
  <c r="R23" i="31" s="1"/>
  <c r="M23" i="31"/>
  <c r="N23" i="31" s="1"/>
  <c r="H23" i="31"/>
  <c r="J23" i="31" s="1"/>
  <c r="F23" i="31"/>
  <c r="AC22" i="31"/>
  <c r="AD22" i="31" s="1"/>
  <c r="AF22" i="31" s="1"/>
  <c r="AE22" i="31" s="1"/>
  <c r="Y22" i="31"/>
  <c r="Z22" i="31" s="1"/>
  <c r="AA22" i="31" s="1"/>
  <c r="AB22" i="31" s="1"/>
  <c r="V22" i="31"/>
  <c r="W22" i="31" s="1"/>
  <c r="X22" i="31" s="1"/>
  <c r="U22" i="31"/>
  <c r="Q22" i="31"/>
  <c r="R22" i="31" s="1"/>
  <c r="M22" i="31"/>
  <c r="N22" i="31" s="1"/>
  <c r="H22" i="31"/>
  <c r="J22" i="31" s="1"/>
  <c r="F22" i="31"/>
  <c r="AC21" i="31"/>
  <c r="AD21" i="31" s="1"/>
  <c r="AF21" i="31" s="1"/>
  <c r="AE21" i="31" s="1"/>
  <c r="Y21" i="31"/>
  <c r="Z21" i="31" s="1"/>
  <c r="V21" i="31"/>
  <c r="W21" i="31" s="1"/>
  <c r="X21" i="31" s="1"/>
  <c r="U21" i="31"/>
  <c r="Q21" i="31"/>
  <c r="R21" i="31" s="1"/>
  <c r="M21" i="31"/>
  <c r="N21" i="31" s="1"/>
  <c r="H21" i="31"/>
  <c r="J21" i="31" s="1"/>
  <c r="F21" i="31"/>
  <c r="AC20" i="31"/>
  <c r="AD20" i="31" s="1"/>
  <c r="AF20" i="31" s="1"/>
  <c r="AE20" i="31" s="1"/>
  <c r="Y20" i="31"/>
  <c r="Z20" i="31" s="1"/>
  <c r="U20" i="31"/>
  <c r="V20" i="31" s="1"/>
  <c r="W20" i="31" s="1"/>
  <c r="X20" i="31" s="1"/>
  <c r="Q20" i="31"/>
  <c r="R20" i="31" s="1"/>
  <c r="M20" i="31"/>
  <c r="N20" i="31" s="1"/>
  <c r="H20" i="31"/>
  <c r="J20" i="31" s="1"/>
  <c r="F20" i="31"/>
  <c r="AD19" i="31"/>
  <c r="AC19" i="31"/>
  <c r="Y19" i="31"/>
  <c r="Z19" i="31" s="1"/>
  <c r="AA19" i="31" s="1"/>
  <c r="AB19" i="31" s="1"/>
  <c r="V19" i="31"/>
  <c r="W19" i="31" s="1"/>
  <c r="X19" i="31" s="1"/>
  <c r="U19" i="31"/>
  <c r="Q19" i="31"/>
  <c r="R19" i="31" s="1"/>
  <c r="M19" i="31"/>
  <c r="N19" i="31" s="1"/>
  <c r="H19" i="31"/>
  <c r="J19" i="31" s="1"/>
  <c r="F19" i="31"/>
  <c r="AC18" i="31"/>
  <c r="AD18" i="31" s="1"/>
  <c r="AF18" i="31" s="1"/>
  <c r="AE18" i="31" s="1"/>
  <c r="Y18" i="31"/>
  <c r="Z18" i="31" s="1"/>
  <c r="AA18" i="31" s="1"/>
  <c r="AB18" i="31" s="1"/>
  <c r="V18" i="31"/>
  <c r="W18" i="31" s="1"/>
  <c r="X18" i="31" s="1"/>
  <c r="U18" i="31"/>
  <c r="Q18" i="31"/>
  <c r="R18" i="31" s="1"/>
  <c r="N18" i="31"/>
  <c r="M18" i="31"/>
  <c r="H18" i="31"/>
  <c r="J18" i="31" s="1"/>
  <c r="F18" i="31"/>
  <c r="AC17" i="31"/>
  <c r="AD17" i="31" s="1"/>
  <c r="AF17" i="31" s="1"/>
  <c r="AE17" i="31" s="1"/>
  <c r="Y17" i="31"/>
  <c r="Z17" i="31" s="1"/>
  <c r="V17" i="31"/>
  <c r="W17" i="31" s="1"/>
  <c r="X17" i="31" s="1"/>
  <c r="U17" i="31"/>
  <c r="Q17" i="31"/>
  <c r="R17" i="31" s="1"/>
  <c r="M17" i="31"/>
  <c r="N17" i="31" s="1"/>
  <c r="H17" i="31"/>
  <c r="J17" i="31" s="1"/>
  <c r="F17" i="31"/>
  <c r="AC16" i="31"/>
  <c r="AD16" i="31" s="1"/>
  <c r="AF16" i="31" s="1"/>
  <c r="AE16" i="31" s="1"/>
  <c r="Y16" i="31"/>
  <c r="Z16" i="31" s="1"/>
  <c r="U16" i="31"/>
  <c r="V16" i="31" s="1"/>
  <c r="W16" i="31" s="1"/>
  <c r="X16" i="31" s="1"/>
  <c r="Q16" i="31"/>
  <c r="R16" i="31" s="1"/>
  <c r="M16" i="31"/>
  <c r="N16" i="31" s="1"/>
  <c r="H16" i="31"/>
  <c r="J16" i="31" s="1"/>
  <c r="F16" i="31"/>
  <c r="AC15" i="31"/>
  <c r="AD15" i="31" s="1"/>
  <c r="AF15" i="31" s="1"/>
  <c r="AE15" i="31" s="1"/>
  <c r="Y15" i="31"/>
  <c r="Z15" i="31" s="1"/>
  <c r="AA15" i="31" s="1"/>
  <c r="AB15" i="31" s="1"/>
  <c r="V15" i="31"/>
  <c r="W15" i="31" s="1"/>
  <c r="X15" i="31" s="1"/>
  <c r="U15" i="31"/>
  <c r="Q15" i="31"/>
  <c r="R15" i="31" s="1"/>
  <c r="M15" i="31"/>
  <c r="N15" i="31" s="1"/>
  <c r="H15" i="31"/>
  <c r="J15" i="31" s="1"/>
  <c r="F15" i="31"/>
  <c r="AC14" i="31"/>
  <c r="AD14" i="31" s="1"/>
  <c r="AF14" i="31" s="1"/>
  <c r="AE14" i="31" s="1"/>
  <c r="Y14" i="31"/>
  <c r="Z14" i="31" s="1"/>
  <c r="U14" i="31"/>
  <c r="V14" i="31" s="1"/>
  <c r="W14" i="31" s="1"/>
  <c r="X14" i="31" s="1"/>
  <c r="Q14" i="31"/>
  <c r="R14" i="31" s="1"/>
  <c r="M14" i="31"/>
  <c r="N14" i="31" s="1"/>
  <c r="H14" i="31"/>
  <c r="J14" i="31" s="1"/>
  <c r="F14" i="31"/>
  <c r="AD13" i="31"/>
  <c r="AF13" i="31" s="1"/>
  <c r="AE13" i="31" s="1"/>
  <c r="AC13" i="31"/>
  <c r="Y13" i="31"/>
  <c r="Z13" i="31" s="1"/>
  <c r="AA13" i="31" s="1"/>
  <c r="AB13" i="31" s="1"/>
  <c r="V13" i="31"/>
  <c r="W13" i="31" s="1"/>
  <c r="X13" i="31" s="1"/>
  <c r="U13" i="31"/>
  <c r="Q13" i="31"/>
  <c r="R13" i="31" s="1"/>
  <c r="N13" i="31"/>
  <c r="M13" i="31"/>
  <c r="H13" i="31"/>
  <c r="J13" i="31" s="1"/>
  <c r="F13" i="31"/>
  <c r="AF12" i="31"/>
  <c r="AE12" i="31" s="1"/>
  <c r="AD12" i="31"/>
  <c r="AC12" i="31"/>
  <c r="Y12" i="31"/>
  <c r="Z12" i="31" s="1"/>
  <c r="U12" i="31"/>
  <c r="V12" i="31" s="1"/>
  <c r="W12" i="31" s="1"/>
  <c r="X12" i="31" s="1"/>
  <c r="Q12" i="31"/>
  <c r="R12" i="31" s="1"/>
  <c r="N12" i="31"/>
  <c r="M12" i="31"/>
  <c r="H12" i="31"/>
  <c r="J12" i="31" s="1"/>
  <c r="F12" i="31"/>
  <c r="AD11" i="31"/>
  <c r="AF11" i="31" s="1"/>
  <c r="AE11" i="31" s="1"/>
  <c r="AC11" i="31"/>
  <c r="Y11" i="31"/>
  <c r="Z11" i="31" s="1"/>
  <c r="AA11" i="31" s="1"/>
  <c r="AB11" i="31" s="1"/>
  <c r="U11" i="31"/>
  <c r="V11" i="31" s="1"/>
  <c r="W11" i="31" s="1"/>
  <c r="X11" i="31" s="1"/>
  <c r="Q11" i="31"/>
  <c r="R11" i="31" s="1"/>
  <c r="O11" i="31"/>
  <c r="P11" i="31" s="1"/>
  <c r="M11" i="31"/>
  <c r="N11" i="31" s="1"/>
  <c r="H11" i="31"/>
  <c r="J11" i="31" s="1"/>
  <c r="F11" i="31"/>
  <c r="AC10" i="31"/>
  <c r="AD10" i="31" s="1"/>
  <c r="AF10" i="31" s="1"/>
  <c r="AE10" i="31" s="1"/>
  <c r="Y10" i="31"/>
  <c r="Z10" i="31" s="1"/>
  <c r="AA10" i="31" s="1"/>
  <c r="AB10" i="31" s="1"/>
  <c r="U10" i="31"/>
  <c r="V10" i="31" s="1"/>
  <c r="W10" i="31" s="1"/>
  <c r="X10" i="31" s="1"/>
  <c r="R10" i="31"/>
  <c r="Q10" i="31"/>
  <c r="P10" i="31"/>
  <c r="O10" i="31"/>
  <c r="N10" i="31"/>
  <c r="M10" i="31"/>
  <c r="H10" i="31"/>
  <c r="J10" i="31" s="1"/>
  <c r="F10" i="31"/>
  <c r="AD9" i="31"/>
  <c r="AF9" i="31" s="1"/>
  <c r="AE9" i="31" s="1"/>
  <c r="AC9" i="31"/>
  <c r="Z9" i="31"/>
  <c r="AA9" i="31" s="1"/>
  <c r="AB9" i="31" s="1"/>
  <c r="Y9" i="31"/>
  <c r="V9" i="31"/>
  <c r="W9" i="31" s="1"/>
  <c r="X9" i="31" s="1"/>
  <c r="U9" i="31"/>
  <c r="R9" i="31"/>
  <c r="Q9" i="31"/>
  <c r="P9" i="31"/>
  <c r="O9" i="31"/>
  <c r="M9" i="31"/>
  <c r="N9" i="31" s="1"/>
  <c r="H9" i="31"/>
  <c r="J9" i="31" s="1"/>
  <c r="F9" i="31"/>
  <c r="AD8" i="31"/>
  <c r="AF8" i="31" s="1"/>
  <c r="AE8" i="31" s="1"/>
  <c r="AC8" i="31"/>
  <c r="Y8" i="31"/>
  <c r="Z8" i="31" s="1"/>
  <c r="AA8" i="31" s="1"/>
  <c r="AB8" i="31" s="1"/>
  <c r="V8" i="31"/>
  <c r="W8" i="31" s="1"/>
  <c r="X8" i="31" s="1"/>
  <c r="U8" i="31"/>
  <c r="R8" i="31"/>
  <c r="Q8" i="31"/>
  <c r="O8" i="31"/>
  <c r="P8" i="31" s="1"/>
  <c r="N8" i="31"/>
  <c r="M8" i="31"/>
  <c r="H8" i="31"/>
  <c r="J8" i="31" s="1"/>
  <c r="F8" i="31"/>
  <c r="AC7" i="31"/>
  <c r="AD7" i="31" s="1"/>
  <c r="AF7" i="31" s="1"/>
  <c r="AE7" i="31" s="1"/>
  <c r="Z7" i="31"/>
  <c r="Y7" i="31"/>
  <c r="V7" i="31"/>
  <c r="W7" i="31" s="1"/>
  <c r="X7" i="31" s="1"/>
  <c r="U7" i="31"/>
  <c r="Q7" i="31"/>
  <c r="R7" i="31" s="1"/>
  <c r="P7" i="31"/>
  <c r="O7" i="31"/>
  <c r="N7" i="31"/>
  <c r="M7" i="31"/>
  <c r="H7" i="31"/>
  <c r="J7" i="31" s="1"/>
  <c r="F7" i="31"/>
  <c r="AD6" i="31"/>
  <c r="AF6" i="31" s="1"/>
  <c r="AE6" i="31" s="1"/>
  <c r="AC6" i="31"/>
  <c r="Z6" i="31"/>
  <c r="AA6" i="31" s="1"/>
  <c r="AB6" i="31" s="1"/>
  <c r="Y6" i="31"/>
  <c r="U6" i="31"/>
  <c r="V6" i="31" s="1"/>
  <c r="W6" i="31" s="1"/>
  <c r="X6" i="31" s="1"/>
  <c r="R6" i="31"/>
  <c r="Q6" i="31"/>
  <c r="P6" i="31"/>
  <c r="O6" i="31"/>
  <c r="N6" i="31"/>
  <c r="M6" i="31"/>
  <c r="H6" i="31"/>
  <c r="J6" i="31" s="1"/>
  <c r="O64" i="31" s="1"/>
  <c r="P64" i="31" s="1"/>
  <c r="F6" i="31"/>
  <c r="K16" i="31" l="1"/>
  <c r="S16" i="31"/>
  <c r="T16" i="31" s="1"/>
  <c r="AA17" i="31"/>
  <c r="AB17" i="31" s="1"/>
  <c r="K20" i="31"/>
  <c r="S20" i="31"/>
  <c r="T20" i="31" s="1"/>
  <c r="AA21" i="31"/>
  <c r="AB21" i="31" s="1"/>
  <c r="K24" i="31"/>
  <c r="S24" i="31"/>
  <c r="T24" i="31" s="1"/>
  <c r="AA25" i="31"/>
  <c r="AB25" i="31" s="1"/>
  <c r="K28" i="31"/>
  <c r="S28" i="31"/>
  <c r="T28" i="31" s="1"/>
  <c r="AA29" i="31"/>
  <c r="AB29" i="31" s="1"/>
  <c r="K32" i="31"/>
  <c r="S32" i="31"/>
  <c r="T32" i="31" s="1"/>
  <c r="AF32" i="31"/>
  <c r="AE32" i="31" s="1"/>
  <c r="AA33" i="31"/>
  <c r="AB33" i="31" s="1"/>
  <c r="K36" i="31"/>
  <c r="S36" i="31"/>
  <c r="T36" i="31" s="1"/>
  <c r="AF36" i="31"/>
  <c r="AE36" i="31" s="1"/>
  <c r="AA37" i="31"/>
  <c r="AB37" i="31" s="1"/>
  <c r="K7" i="31"/>
  <c r="S7" i="31"/>
  <c r="T7" i="31" s="1"/>
  <c r="K17" i="31"/>
  <c r="S17" i="31"/>
  <c r="T17" i="31" s="1"/>
  <c r="K21" i="31"/>
  <c r="S21" i="31"/>
  <c r="T21" i="31" s="1"/>
  <c r="K25" i="31"/>
  <c r="S25" i="31"/>
  <c r="T25" i="31" s="1"/>
  <c r="K29" i="31"/>
  <c r="S29" i="31"/>
  <c r="T29" i="31" s="1"/>
  <c r="K33" i="31"/>
  <c r="S33" i="31"/>
  <c r="T33" i="31" s="1"/>
  <c r="AF33" i="31"/>
  <c r="AE33" i="31" s="1"/>
  <c r="K37" i="31"/>
  <c r="S37" i="31"/>
  <c r="T37" i="31" s="1"/>
  <c r="AF37" i="31"/>
  <c r="AE37" i="31" s="1"/>
  <c r="AA7" i="31"/>
  <c r="AB7" i="31" s="1"/>
  <c r="K15" i="31"/>
  <c r="S15" i="31"/>
  <c r="T15" i="31" s="1"/>
  <c r="K91" i="31"/>
  <c r="S91" i="31"/>
  <c r="T91" i="31" s="1"/>
  <c r="K92" i="31"/>
  <c r="W92" i="31"/>
  <c r="X92" i="31" s="1"/>
  <c r="S92" i="31"/>
  <c r="T92" i="31" s="1"/>
  <c r="AF92" i="31"/>
  <c r="AE92" i="31" s="1"/>
  <c r="K12" i="31"/>
  <c r="S12" i="31"/>
  <c r="T12" i="31" s="1"/>
  <c r="AA12" i="31"/>
  <c r="AB12" i="31" s="1"/>
  <c r="K18" i="31"/>
  <c r="S18" i="31"/>
  <c r="T18" i="31" s="1"/>
  <c r="K22" i="31"/>
  <c r="S22" i="31"/>
  <c r="T22" i="31" s="1"/>
  <c r="K26" i="31"/>
  <c r="S26" i="31"/>
  <c r="T26" i="31" s="1"/>
  <c r="K30" i="31"/>
  <c r="S30" i="31"/>
  <c r="T30" i="31" s="1"/>
  <c r="K34" i="31"/>
  <c r="S34" i="31"/>
  <c r="T34" i="31" s="1"/>
  <c r="AF34" i="31"/>
  <c r="AE34" i="31" s="1"/>
  <c r="K38" i="31"/>
  <c r="S38" i="31"/>
  <c r="T38" i="31" s="1"/>
  <c r="AF38" i="31"/>
  <c r="AE38" i="31" s="1"/>
  <c r="O187" i="31"/>
  <c r="P187" i="31" s="1"/>
  <c r="O186" i="31"/>
  <c r="P186" i="31" s="1"/>
  <c r="O185" i="31"/>
  <c r="P185" i="31" s="1"/>
  <c r="O184" i="31"/>
  <c r="P184" i="31" s="1"/>
  <c r="O183" i="31"/>
  <c r="P183" i="31" s="1"/>
  <c r="O182" i="31"/>
  <c r="P182" i="31" s="1"/>
  <c r="O181" i="31"/>
  <c r="P181" i="31" s="1"/>
  <c r="O180" i="31"/>
  <c r="P180" i="31" s="1"/>
  <c r="O179" i="31"/>
  <c r="P179" i="31" s="1"/>
  <c r="O178" i="31"/>
  <c r="P178" i="31" s="1"/>
  <c r="O177" i="31"/>
  <c r="P177" i="31" s="1"/>
  <c r="O176" i="31"/>
  <c r="P176" i="31" s="1"/>
  <c r="O175" i="31"/>
  <c r="P175" i="31" s="1"/>
  <c r="O174" i="31"/>
  <c r="P174" i="31" s="1"/>
  <c r="O173" i="31"/>
  <c r="P173" i="31" s="1"/>
  <c r="O172" i="31"/>
  <c r="P172" i="31" s="1"/>
  <c r="O171" i="31"/>
  <c r="P171" i="31" s="1"/>
  <c r="O170" i="31"/>
  <c r="P170" i="31" s="1"/>
  <c r="O169" i="31"/>
  <c r="P169" i="31" s="1"/>
  <c r="O168" i="31"/>
  <c r="P168" i="31" s="1"/>
  <c r="O167" i="31"/>
  <c r="P167" i="31" s="1"/>
  <c r="O166" i="31"/>
  <c r="P166" i="31" s="1"/>
  <c r="O165" i="31"/>
  <c r="P165" i="31" s="1"/>
  <c r="O164" i="31"/>
  <c r="P164" i="31" s="1"/>
  <c r="O163" i="31"/>
  <c r="P163" i="31" s="1"/>
  <c r="O162" i="31"/>
  <c r="P162" i="31" s="1"/>
  <c r="O161" i="31"/>
  <c r="P161" i="31" s="1"/>
  <c r="O160" i="31"/>
  <c r="P160" i="31" s="1"/>
  <c r="O159" i="31"/>
  <c r="P159" i="31" s="1"/>
  <c r="O158" i="31"/>
  <c r="P158" i="31" s="1"/>
  <c r="O157" i="31"/>
  <c r="P157" i="31" s="1"/>
  <c r="O156" i="31"/>
  <c r="P156" i="31" s="1"/>
  <c r="O155" i="31"/>
  <c r="P155" i="31" s="1"/>
  <c r="O154" i="31"/>
  <c r="P154" i="31" s="1"/>
  <c r="O153" i="31"/>
  <c r="P153" i="31" s="1"/>
  <c r="O152" i="31"/>
  <c r="P152" i="31" s="1"/>
  <c r="O151" i="31"/>
  <c r="P151" i="31" s="1"/>
  <c r="O150" i="31"/>
  <c r="P150" i="31" s="1"/>
  <c r="O149" i="31"/>
  <c r="P149" i="31" s="1"/>
  <c r="O148" i="31"/>
  <c r="P148" i="31" s="1"/>
  <c r="O147" i="31"/>
  <c r="P147" i="31" s="1"/>
  <c r="O146" i="31"/>
  <c r="P146" i="31" s="1"/>
  <c r="O145" i="31"/>
  <c r="P145" i="31" s="1"/>
  <c r="O144" i="31"/>
  <c r="P144" i="31" s="1"/>
  <c r="O142" i="31"/>
  <c r="P142" i="31" s="1"/>
  <c r="O141" i="31"/>
  <c r="P141" i="31" s="1"/>
  <c r="O140" i="31"/>
  <c r="P140" i="31" s="1"/>
  <c r="O139" i="31"/>
  <c r="P139" i="31" s="1"/>
  <c r="O138" i="31"/>
  <c r="P138" i="31" s="1"/>
  <c r="O137" i="31"/>
  <c r="P137" i="31" s="1"/>
  <c r="O136" i="31"/>
  <c r="P136" i="31" s="1"/>
  <c r="O135" i="31"/>
  <c r="P135" i="31" s="1"/>
  <c r="O134" i="31"/>
  <c r="P134" i="31" s="1"/>
  <c r="O133" i="31"/>
  <c r="P133" i="31" s="1"/>
  <c r="O132" i="31"/>
  <c r="P132" i="31" s="1"/>
  <c r="O131" i="31"/>
  <c r="P131" i="31" s="1"/>
  <c r="O130" i="31"/>
  <c r="P130" i="31" s="1"/>
  <c r="O129" i="31"/>
  <c r="P129" i="31" s="1"/>
  <c r="O128" i="31"/>
  <c r="P128" i="31" s="1"/>
  <c r="O127" i="31"/>
  <c r="P127" i="31" s="1"/>
  <c r="O126" i="31"/>
  <c r="P126" i="31" s="1"/>
  <c r="O125" i="31"/>
  <c r="P125" i="31" s="1"/>
  <c r="O124" i="31"/>
  <c r="P124" i="31" s="1"/>
  <c r="O123" i="31"/>
  <c r="P123" i="31" s="1"/>
  <c r="O122" i="31"/>
  <c r="P122" i="31" s="1"/>
  <c r="O120" i="31"/>
  <c r="P120" i="31" s="1"/>
  <c r="O117" i="31"/>
  <c r="P117" i="31" s="1"/>
  <c r="O143" i="31"/>
  <c r="P143" i="31" s="1"/>
  <c r="O119" i="31"/>
  <c r="P119" i="31" s="1"/>
  <c r="O116" i="31"/>
  <c r="P116" i="31" s="1"/>
  <c r="O121" i="31"/>
  <c r="P121" i="31" s="1"/>
  <c r="O112" i="31"/>
  <c r="P112" i="31" s="1"/>
  <c r="O104" i="31"/>
  <c r="P104" i="31" s="1"/>
  <c r="O113" i="31"/>
  <c r="P113" i="31" s="1"/>
  <c r="O105" i="31"/>
  <c r="P105" i="31" s="1"/>
  <c r="O91" i="31"/>
  <c r="P91" i="31" s="1"/>
  <c r="O88" i="31"/>
  <c r="P88" i="31" s="1"/>
  <c r="O87" i="31"/>
  <c r="P87" i="31" s="1"/>
  <c r="O86" i="31"/>
  <c r="P86" i="31" s="1"/>
  <c r="O85" i="31"/>
  <c r="P85" i="31" s="1"/>
  <c r="O84" i="31"/>
  <c r="P84" i="31" s="1"/>
  <c r="O83" i="31"/>
  <c r="P83" i="31" s="1"/>
  <c r="O82" i="31"/>
  <c r="P82" i="31" s="1"/>
  <c r="O81" i="31"/>
  <c r="P81" i="31" s="1"/>
  <c r="O80" i="31"/>
  <c r="P80" i="31" s="1"/>
  <c r="O79" i="31"/>
  <c r="P79" i="31" s="1"/>
  <c r="O78" i="31"/>
  <c r="P78" i="31" s="1"/>
  <c r="O77" i="31"/>
  <c r="P77" i="31" s="1"/>
  <c r="O76" i="31"/>
  <c r="P76" i="31" s="1"/>
  <c r="O75" i="31"/>
  <c r="P75" i="31" s="1"/>
  <c r="O74" i="31"/>
  <c r="P74" i="31" s="1"/>
  <c r="O73" i="31"/>
  <c r="P73" i="31" s="1"/>
  <c r="O72" i="31"/>
  <c r="P72" i="31" s="1"/>
  <c r="O71" i="31"/>
  <c r="P71" i="31" s="1"/>
  <c r="O70" i="31"/>
  <c r="P70" i="31" s="1"/>
  <c r="O114" i="31"/>
  <c r="P114" i="31" s="1"/>
  <c r="O106" i="31"/>
  <c r="P106" i="31" s="1"/>
  <c r="O98" i="31"/>
  <c r="P98" i="31" s="1"/>
  <c r="O94" i="31"/>
  <c r="P94" i="31" s="1"/>
  <c r="O115" i="31"/>
  <c r="P115" i="31" s="1"/>
  <c r="O107" i="31"/>
  <c r="P107" i="31" s="1"/>
  <c r="O99" i="31"/>
  <c r="P99" i="31" s="1"/>
  <c r="O97" i="31"/>
  <c r="P97" i="31" s="1"/>
  <c r="O89" i="31"/>
  <c r="P89" i="31" s="1"/>
  <c r="O108" i="31"/>
  <c r="P108" i="31" s="1"/>
  <c r="O100" i="31"/>
  <c r="P100" i="31" s="1"/>
  <c r="O92" i="31"/>
  <c r="P92" i="31" s="1"/>
  <c r="O109" i="31"/>
  <c r="P109" i="31" s="1"/>
  <c r="O101" i="31"/>
  <c r="P101" i="31" s="1"/>
  <c r="O96" i="31"/>
  <c r="P96" i="31" s="1"/>
  <c r="O118" i="31"/>
  <c r="P118" i="31" s="1"/>
  <c r="O110" i="31"/>
  <c r="P110" i="31" s="1"/>
  <c r="O102" i="31"/>
  <c r="P102" i="31" s="1"/>
  <c r="O90" i="31"/>
  <c r="P90" i="31" s="1"/>
  <c r="O103" i="31"/>
  <c r="P103" i="31" s="1"/>
  <c r="O93" i="31"/>
  <c r="P93" i="31" s="1"/>
  <c r="O95" i="31"/>
  <c r="P95" i="31" s="1"/>
  <c r="O69" i="31"/>
  <c r="P69" i="31" s="1"/>
  <c r="O63" i="31"/>
  <c r="P63" i="31" s="1"/>
  <c r="O55" i="31"/>
  <c r="P55" i="31" s="1"/>
  <c r="O62" i="31"/>
  <c r="P62" i="31" s="1"/>
  <c r="O54" i="31"/>
  <c r="P54" i="31" s="1"/>
  <c r="O40" i="31"/>
  <c r="P40" i="31" s="1"/>
  <c r="K6" i="31"/>
  <c r="O61" i="31"/>
  <c r="P61" i="31" s="1"/>
  <c r="O53" i="31"/>
  <c r="P53" i="31" s="1"/>
  <c r="O45" i="31"/>
  <c r="P45" i="31" s="1"/>
  <c r="O43" i="31"/>
  <c r="P43" i="31" s="1"/>
  <c r="S6" i="31"/>
  <c r="T6" i="31" s="1"/>
  <c r="O68" i="31"/>
  <c r="P68" i="31" s="1"/>
  <c r="O60" i="31"/>
  <c r="P60" i="31" s="1"/>
  <c r="O52" i="31"/>
  <c r="P52" i="31" s="1"/>
  <c r="O47" i="31"/>
  <c r="P47" i="31" s="1"/>
  <c r="O67" i="31"/>
  <c r="P67" i="31" s="1"/>
  <c r="O59" i="31"/>
  <c r="P59" i="31" s="1"/>
  <c r="O51" i="31"/>
  <c r="P51" i="31" s="1"/>
  <c r="O41" i="31"/>
  <c r="P41" i="31" s="1"/>
  <c r="O111" i="31"/>
  <c r="P111" i="31" s="1"/>
  <c r="O66" i="31"/>
  <c r="P66" i="31" s="1"/>
  <c r="O58" i="31"/>
  <c r="P58" i="31" s="1"/>
  <c r="O50" i="31"/>
  <c r="P50" i="31" s="1"/>
  <c r="O44" i="31"/>
  <c r="P44" i="31" s="1"/>
  <c r="O65" i="31"/>
  <c r="P65" i="31" s="1"/>
  <c r="O57" i="31"/>
  <c r="P57" i="31" s="1"/>
  <c r="O49" i="31"/>
  <c r="P49" i="31" s="1"/>
  <c r="O39" i="31"/>
  <c r="P39" i="31" s="1"/>
  <c r="O38" i="31"/>
  <c r="P38" i="31" s="1"/>
  <c r="O37" i="31"/>
  <c r="P37" i="31" s="1"/>
  <c r="O36" i="31"/>
  <c r="P36" i="31" s="1"/>
  <c r="O35" i="31"/>
  <c r="P35" i="31" s="1"/>
  <c r="O34" i="31"/>
  <c r="P34" i="31" s="1"/>
  <c r="O33" i="31"/>
  <c r="P33" i="31" s="1"/>
  <c r="O32" i="31"/>
  <c r="P32" i="31" s="1"/>
  <c r="O31" i="31"/>
  <c r="P31" i="31" s="1"/>
  <c r="O30" i="31"/>
  <c r="P30" i="31" s="1"/>
  <c r="O29" i="31"/>
  <c r="P29" i="31" s="1"/>
  <c r="O28" i="31"/>
  <c r="P28" i="31" s="1"/>
  <c r="O27" i="31"/>
  <c r="P27" i="31" s="1"/>
  <c r="O26" i="31"/>
  <c r="P26" i="31" s="1"/>
  <c r="O25" i="31"/>
  <c r="P25" i="31" s="1"/>
  <c r="O24" i="31"/>
  <c r="P24" i="31" s="1"/>
  <c r="O23" i="31"/>
  <c r="P23" i="31" s="1"/>
  <c r="O22" i="31"/>
  <c r="P22" i="31" s="1"/>
  <c r="O21" i="31"/>
  <c r="P21" i="31" s="1"/>
  <c r="O20" i="31"/>
  <c r="P20" i="31" s="1"/>
  <c r="O19" i="31"/>
  <c r="P19" i="31" s="1"/>
  <c r="O18" i="31"/>
  <c r="P18" i="31" s="1"/>
  <c r="O17" i="31"/>
  <c r="P17" i="31" s="1"/>
  <c r="O16" i="31"/>
  <c r="P16" i="31" s="1"/>
  <c r="O15" i="31"/>
  <c r="P15" i="31" s="1"/>
  <c r="O14" i="31"/>
  <c r="P14" i="31" s="1"/>
  <c r="O13" i="31"/>
  <c r="P13" i="31" s="1"/>
  <c r="O12" i="31"/>
  <c r="P12" i="31" s="1"/>
  <c r="K10" i="31"/>
  <c r="S10" i="31"/>
  <c r="T10" i="31" s="1"/>
  <c r="W36" i="31"/>
  <c r="X36" i="31" s="1"/>
  <c r="O56" i="31"/>
  <c r="P56" i="31" s="1"/>
  <c r="K8" i="31"/>
  <c r="S8" i="31"/>
  <c r="T8" i="31" s="1"/>
  <c r="K13" i="31"/>
  <c r="S13" i="31"/>
  <c r="T13" i="31" s="1"/>
  <c r="K9" i="31"/>
  <c r="S9" i="31"/>
  <c r="T9" i="31" s="1"/>
  <c r="K11" i="31"/>
  <c r="S11" i="31"/>
  <c r="T11" i="31" s="1"/>
  <c r="K14" i="31"/>
  <c r="S14" i="31"/>
  <c r="T14" i="31" s="1"/>
  <c r="AA14" i="31"/>
  <c r="AB14" i="31" s="1"/>
  <c r="AA16" i="31"/>
  <c r="AB16" i="31" s="1"/>
  <c r="K19" i="31"/>
  <c r="S19" i="31"/>
  <c r="T19" i="31" s="1"/>
  <c r="AF19" i="31"/>
  <c r="AE19" i="31" s="1"/>
  <c r="AA20" i="31"/>
  <c r="AB20" i="31" s="1"/>
  <c r="K23" i="31"/>
  <c r="S23" i="31"/>
  <c r="T23" i="31" s="1"/>
  <c r="AA24" i="31"/>
  <c r="AB24" i="31" s="1"/>
  <c r="K27" i="31"/>
  <c r="S27" i="31"/>
  <c r="T27" i="31" s="1"/>
  <c r="AA28" i="31"/>
  <c r="AB28" i="31" s="1"/>
  <c r="K31" i="31"/>
  <c r="S31" i="31"/>
  <c r="T31" i="31" s="1"/>
  <c r="AA32" i="31"/>
  <c r="AB32" i="31" s="1"/>
  <c r="K35" i="31"/>
  <c r="S35" i="31"/>
  <c r="T35" i="31" s="1"/>
  <c r="AF35" i="31"/>
  <c r="AE35" i="31" s="1"/>
  <c r="AA36" i="31"/>
  <c r="AB36" i="31" s="1"/>
  <c r="S39" i="31"/>
  <c r="T39" i="31" s="1"/>
  <c r="K39" i="31"/>
  <c r="O46" i="31"/>
  <c r="P46" i="31" s="1"/>
  <c r="O48" i="31"/>
  <c r="P48" i="31" s="1"/>
  <c r="AA72" i="31"/>
  <c r="AB72" i="31" s="1"/>
  <c r="K72" i="31"/>
  <c r="S72" i="31"/>
  <c r="T72" i="31" s="1"/>
  <c r="S43" i="31"/>
  <c r="T43" i="31" s="1"/>
  <c r="S45" i="31"/>
  <c r="T45" i="31" s="1"/>
  <c r="K73" i="31"/>
  <c r="S73" i="31"/>
  <c r="T73" i="31" s="1"/>
  <c r="R78" i="31"/>
  <c r="S78" i="31"/>
  <c r="T78" i="31" s="1"/>
  <c r="R82" i="31"/>
  <c r="S82" i="31"/>
  <c r="T82" i="31" s="1"/>
  <c r="R86" i="31"/>
  <c r="S86" i="31"/>
  <c r="T86" i="31" s="1"/>
  <c r="S40" i="31"/>
  <c r="T40" i="31" s="1"/>
  <c r="S75" i="31"/>
  <c r="T75" i="31" s="1"/>
  <c r="K75" i="31"/>
  <c r="AA76" i="31"/>
  <c r="AB76" i="31" s="1"/>
  <c r="K76" i="31"/>
  <c r="AA39" i="31"/>
  <c r="AB39" i="31" s="1"/>
  <c r="S71" i="31"/>
  <c r="T71" i="31" s="1"/>
  <c r="R79" i="31"/>
  <c r="S79" i="31"/>
  <c r="T79" i="31" s="1"/>
  <c r="R83" i="31"/>
  <c r="S83" i="31"/>
  <c r="T83" i="31" s="1"/>
  <c r="R87" i="31"/>
  <c r="S87" i="31"/>
  <c r="T87" i="31" s="1"/>
  <c r="S42" i="31"/>
  <c r="T42" i="31" s="1"/>
  <c r="S46" i="31"/>
  <c r="T46" i="31" s="1"/>
  <c r="S48" i="31"/>
  <c r="T48" i="31" s="1"/>
  <c r="W71" i="31"/>
  <c r="X71" i="31" s="1"/>
  <c r="AA91" i="31"/>
  <c r="AB91" i="31" s="1"/>
  <c r="K42" i="31"/>
  <c r="AA45" i="31"/>
  <c r="AB45" i="31" s="1"/>
  <c r="K46" i="31"/>
  <c r="S49" i="31"/>
  <c r="T49" i="31" s="1"/>
  <c r="AA71" i="31"/>
  <c r="AB71" i="31" s="1"/>
  <c r="S76" i="31"/>
  <c r="T76" i="31" s="1"/>
  <c r="R80" i="31"/>
  <c r="S80" i="31"/>
  <c r="T80" i="31" s="1"/>
  <c r="R84" i="31"/>
  <c r="S84" i="31"/>
  <c r="T84" i="31" s="1"/>
  <c r="R88" i="31"/>
  <c r="S88" i="31"/>
  <c r="T88" i="31" s="1"/>
  <c r="S44" i="31"/>
  <c r="T44" i="31" s="1"/>
  <c r="S50" i="31"/>
  <c r="T50" i="31" s="1"/>
  <c r="AF71" i="31"/>
  <c r="AE71" i="31" s="1"/>
  <c r="AA73" i="31"/>
  <c r="AB73" i="31" s="1"/>
  <c r="W75" i="31"/>
  <c r="X75" i="31" s="1"/>
  <c r="AF72" i="31"/>
  <c r="AE72" i="31" s="1"/>
  <c r="R77" i="31"/>
  <c r="S77" i="31"/>
  <c r="T77" i="31" s="1"/>
  <c r="R81" i="31"/>
  <c r="S81" i="31"/>
  <c r="T81" i="31" s="1"/>
  <c r="R85" i="31"/>
  <c r="S85" i="31"/>
  <c r="T85" i="31" s="1"/>
  <c r="K74" i="31"/>
  <c r="AF89" i="31"/>
  <c r="AE89" i="31" s="1"/>
  <c r="AF91" i="31"/>
  <c r="AE91" i="31" s="1"/>
  <c r="K100" i="31"/>
  <c r="S100" i="31"/>
  <c r="T100" i="31" s="1"/>
  <c r="AF100" i="31"/>
  <c r="AE100" i="31" s="1"/>
  <c r="W72" i="31"/>
  <c r="X72" i="31" s="1"/>
  <c r="W76" i="31"/>
  <c r="X76" i="31" s="1"/>
  <c r="K93" i="31"/>
  <c r="S93" i="31"/>
  <c r="T93" i="31" s="1"/>
  <c r="K96" i="31"/>
  <c r="S96" i="31"/>
  <c r="T96" i="31" s="1"/>
  <c r="AF96" i="31"/>
  <c r="AE96" i="31" s="1"/>
  <c r="S70" i="31"/>
  <c r="T70" i="31" s="1"/>
  <c r="W73" i="31"/>
  <c r="X73" i="31" s="1"/>
  <c r="S74" i="31"/>
  <c r="T74" i="31" s="1"/>
  <c r="AA89" i="31"/>
  <c r="AB89" i="31" s="1"/>
  <c r="AA93" i="31"/>
  <c r="AB93" i="31" s="1"/>
  <c r="K108" i="31"/>
  <c r="S108" i="31"/>
  <c r="T108" i="31" s="1"/>
  <c r="AF108" i="31"/>
  <c r="AE108" i="31" s="1"/>
  <c r="W91" i="31"/>
  <c r="X91" i="31" s="1"/>
  <c r="AA92" i="31"/>
  <c r="AB92" i="31" s="1"/>
  <c r="R120" i="31"/>
  <c r="S120" i="31"/>
  <c r="T120" i="31" s="1"/>
  <c r="W74" i="31"/>
  <c r="X74" i="31" s="1"/>
  <c r="S89" i="31"/>
  <c r="T89" i="31" s="1"/>
  <c r="S94" i="31"/>
  <c r="T94" i="31" s="1"/>
  <c r="K97" i="31"/>
  <c r="S97" i="31"/>
  <c r="T97" i="31" s="1"/>
  <c r="AF97" i="31"/>
  <c r="AE97" i="31" s="1"/>
  <c r="K99" i="31"/>
  <c r="S99" i="31"/>
  <c r="T99" i="31" s="1"/>
  <c r="AF99" i="31"/>
  <c r="AE99" i="31" s="1"/>
  <c r="W99" i="31"/>
  <c r="X99" i="31" s="1"/>
  <c r="K107" i="31"/>
  <c r="S107" i="31"/>
  <c r="T107" i="31" s="1"/>
  <c r="AF107" i="31"/>
  <c r="AE107" i="31" s="1"/>
  <c r="W107" i="31"/>
  <c r="X107" i="31" s="1"/>
  <c r="K115" i="31"/>
  <c r="S115" i="31"/>
  <c r="T115" i="31" s="1"/>
  <c r="K122" i="31"/>
  <c r="S122" i="31"/>
  <c r="T122" i="31" s="1"/>
  <c r="R129" i="31"/>
  <c r="S129" i="31"/>
  <c r="T129" i="31" s="1"/>
  <c r="R137" i="31"/>
  <c r="S137" i="31"/>
  <c r="T137" i="31" s="1"/>
  <c r="K98" i="31"/>
  <c r="S98" i="31"/>
  <c r="T98" i="31" s="1"/>
  <c r="AF98" i="31"/>
  <c r="AE98" i="31" s="1"/>
  <c r="W98" i="31"/>
  <c r="X98" i="31" s="1"/>
  <c r="AA100" i="31"/>
  <c r="AB100" i="31" s="1"/>
  <c r="K106" i="31"/>
  <c r="S106" i="31"/>
  <c r="T106" i="31" s="1"/>
  <c r="AF106" i="31"/>
  <c r="AE106" i="31" s="1"/>
  <c r="W106" i="31"/>
  <c r="X106" i="31" s="1"/>
  <c r="AA108" i="31"/>
  <c r="AB108" i="31" s="1"/>
  <c r="K114" i="31"/>
  <c r="S114" i="31"/>
  <c r="T114" i="31" s="1"/>
  <c r="AF114" i="31"/>
  <c r="AE114" i="31" s="1"/>
  <c r="W114" i="31"/>
  <c r="X114" i="31" s="1"/>
  <c r="K119" i="31"/>
  <c r="S119" i="31"/>
  <c r="T119" i="31" s="1"/>
  <c r="AF119" i="31"/>
  <c r="AE119" i="31" s="1"/>
  <c r="AF94" i="31"/>
  <c r="AE94" i="31" s="1"/>
  <c r="K105" i="31"/>
  <c r="S105" i="31"/>
  <c r="T105" i="31" s="1"/>
  <c r="AF105" i="31"/>
  <c r="AE105" i="31" s="1"/>
  <c r="W105" i="31"/>
  <c r="X105" i="31" s="1"/>
  <c r="K113" i="31"/>
  <c r="S113" i="31"/>
  <c r="T113" i="31" s="1"/>
  <c r="AF113" i="31"/>
  <c r="AE113" i="31" s="1"/>
  <c r="W113" i="31"/>
  <c r="X113" i="31" s="1"/>
  <c r="W94" i="31"/>
  <c r="X94" i="31" s="1"/>
  <c r="K104" i="31"/>
  <c r="S104" i="31"/>
  <c r="T104" i="31" s="1"/>
  <c r="AF104" i="31"/>
  <c r="AE104" i="31" s="1"/>
  <c r="W104" i="31"/>
  <c r="X104" i="31" s="1"/>
  <c r="K112" i="31"/>
  <c r="S112" i="31"/>
  <c r="T112" i="31" s="1"/>
  <c r="AF112" i="31"/>
  <c r="AE112" i="31" s="1"/>
  <c r="W112" i="31"/>
  <c r="X112" i="31" s="1"/>
  <c r="W122" i="31"/>
  <c r="X122" i="31" s="1"/>
  <c r="S90" i="31"/>
  <c r="T90" i="31" s="1"/>
  <c r="K95" i="31"/>
  <c r="S95" i="31"/>
  <c r="T95" i="31" s="1"/>
  <c r="AF95" i="31"/>
  <c r="AE95" i="31" s="1"/>
  <c r="K103" i="31"/>
  <c r="S103" i="31"/>
  <c r="T103" i="31" s="1"/>
  <c r="AF103" i="31"/>
  <c r="AE103" i="31" s="1"/>
  <c r="W103" i="31"/>
  <c r="X103" i="31" s="1"/>
  <c r="K111" i="31"/>
  <c r="S111" i="31"/>
  <c r="T111" i="31" s="1"/>
  <c r="AF111" i="31"/>
  <c r="AE111" i="31" s="1"/>
  <c r="W111" i="31"/>
  <c r="X111" i="31" s="1"/>
  <c r="K102" i="31"/>
  <c r="S102" i="31"/>
  <c r="T102" i="31" s="1"/>
  <c r="AF102" i="31"/>
  <c r="AE102" i="31" s="1"/>
  <c r="W102" i="31"/>
  <c r="X102" i="31" s="1"/>
  <c r="AA104" i="31"/>
  <c r="AB104" i="31" s="1"/>
  <c r="K110" i="31"/>
  <c r="S110" i="31"/>
  <c r="T110" i="31" s="1"/>
  <c r="AF110" i="31"/>
  <c r="AE110" i="31" s="1"/>
  <c r="W110" i="31"/>
  <c r="X110" i="31" s="1"/>
  <c r="AA112" i="31"/>
  <c r="AB112" i="31" s="1"/>
  <c r="W119" i="31"/>
  <c r="X119" i="31" s="1"/>
  <c r="AA122" i="31"/>
  <c r="AB122" i="31" s="1"/>
  <c r="K128" i="31"/>
  <c r="S128" i="31"/>
  <c r="T128" i="31" s="1"/>
  <c r="K136" i="31"/>
  <c r="S136" i="31"/>
  <c r="T136" i="31" s="1"/>
  <c r="K101" i="31"/>
  <c r="S101" i="31"/>
  <c r="T101" i="31" s="1"/>
  <c r="AF101" i="31"/>
  <c r="AE101" i="31" s="1"/>
  <c r="W101" i="31"/>
  <c r="X101" i="31" s="1"/>
  <c r="K109" i="31"/>
  <c r="S109" i="31"/>
  <c r="T109" i="31" s="1"/>
  <c r="AF109" i="31"/>
  <c r="AE109" i="31" s="1"/>
  <c r="W109" i="31"/>
  <c r="X109" i="31" s="1"/>
  <c r="AA119" i="31"/>
  <c r="AB119" i="31" s="1"/>
  <c r="AF116" i="31"/>
  <c r="AE116" i="31" s="1"/>
  <c r="S127" i="31"/>
  <c r="T127" i="31" s="1"/>
  <c r="S135" i="31"/>
  <c r="T135" i="31" s="1"/>
  <c r="W138" i="31"/>
  <c r="X138" i="31" s="1"/>
  <c r="S185" i="31"/>
  <c r="T185" i="31" s="1"/>
  <c r="K185" i="31"/>
  <c r="S126" i="31"/>
  <c r="T126" i="31" s="1"/>
  <c r="S134" i="31"/>
  <c r="T134" i="31" s="1"/>
  <c r="S118" i="31"/>
  <c r="T118" i="31" s="1"/>
  <c r="S123" i="31"/>
  <c r="T123" i="31" s="1"/>
  <c r="W126" i="31"/>
  <c r="X126" i="31" s="1"/>
  <c r="S131" i="31"/>
  <c r="T131" i="31" s="1"/>
  <c r="W134" i="31"/>
  <c r="X134" i="31" s="1"/>
  <c r="S139" i="31"/>
  <c r="T139" i="31" s="1"/>
  <c r="S121" i="31"/>
  <c r="T121" i="31" s="1"/>
  <c r="W123" i="31"/>
  <c r="X123" i="31" s="1"/>
  <c r="W131" i="31"/>
  <c r="X131" i="31" s="1"/>
  <c r="W139" i="31"/>
  <c r="X139" i="31" s="1"/>
  <c r="S146" i="31"/>
  <c r="T146" i="31" s="1"/>
  <c r="K146" i="31"/>
  <c r="S116" i="31"/>
  <c r="T116" i="31" s="1"/>
  <c r="S125" i="31"/>
  <c r="T125" i="31" s="1"/>
  <c r="AF127" i="31"/>
  <c r="AE127" i="31" s="1"/>
  <c r="W128" i="31"/>
  <c r="X128" i="31" s="1"/>
  <c r="AA129" i="31"/>
  <c r="AB129" i="31" s="1"/>
  <c r="S133" i="31"/>
  <c r="T133" i="31" s="1"/>
  <c r="W136" i="31"/>
  <c r="X136" i="31" s="1"/>
  <c r="AA137" i="31"/>
  <c r="AB137" i="31" s="1"/>
  <c r="S141" i="31"/>
  <c r="T141" i="31" s="1"/>
  <c r="AA142" i="31"/>
  <c r="AB142" i="31" s="1"/>
  <c r="AA126" i="31"/>
  <c r="AB126" i="31" s="1"/>
  <c r="AA134" i="31"/>
  <c r="AB134" i="31" s="1"/>
  <c r="W141" i="31"/>
  <c r="X141" i="31" s="1"/>
  <c r="S142" i="31"/>
  <c r="T142" i="31" s="1"/>
  <c r="K142" i="31"/>
  <c r="AF142" i="31"/>
  <c r="AE142" i="31" s="1"/>
  <c r="S143" i="31"/>
  <c r="T143" i="31" s="1"/>
  <c r="K143" i="31"/>
  <c r="S144" i="31"/>
  <c r="T144" i="31" s="1"/>
  <c r="K144" i="31"/>
  <c r="S148" i="31"/>
  <c r="T148" i="31" s="1"/>
  <c r="K148" i="31"/>
  <c r="AA148" i="31"/>
  <c r="AB148" i="31" s="1"/>
  <c r="S150" i="31"/>
  <c r="T150" i="31" s="1"/>
  <c r="K150" i="31"/>
  <c r="AA150" i="31"/>
  <c r="AB150" i="31" s="1"/>
  <c r="S152" i="31"/>
  <c r="T152" i="31" s="1"/>
  <c r="K152" i="31"/>
  <c r="AA152" i="31"/>
  <c r="AB152" i="31" s="1"/>
  <c r="S154" i="31"/>
  <c r="T154" i="31" s="1"/>
  <c r="K154" i="31"/>
  <c r="AA154" i="31"/>
  <c r="AB154" i="31" s="1"/>
  <c r="S156" i="31"/>
  <c r="T156" i="31" s="1"/>
  <c r="K156" i="31"/>
  <c r="AA156" i="31"/>
  <c r="AB156" i="31" s="1"/>
  <c r="S158" i="31"/>
  <c r="T158" i="31" s="1"/>
  <c r="K158" i="31"/>
  <c r="AA158" i="31"/>
  <c r="AB158" i="31" s="1"/>
  <c r="AF185" i="31"/>
  <c r="AE185" i="31" s="1"/>
  <c r="S177" i="31"/>
  <c r="T177" i="31" s="1"/>
  <c r="K177" i="31"/>
  <c r="S145" i="31"/>
  <c r="T145" i="31" s="1"/>
  <c r="K145" i="31"/>
  <c r="S147" i="31"/>
  <c r="T147" i="31" s="1"/>
  <c r="K147" i="31"/>
  <c r="S149" i="31"/>
  <c r="T149" i="31" s="1"/>
  <c r="K149" i="31"/>
  <c r="S151" i="31"/>
  <c r="T151" i="31" s="1"/>
  <c r="K151" i="31"/>
  <c r="S153" i="31"/>
  <c r="T153" i="31" s="1"/>
  <c r="K153" i="31"/>
  <c r="AA153" i="31"/>
  <c r="AB153" i="31" s="1"/>
  <c r="S155" i="31"/>
  <c r="T155" i="31" s="1"/>
  <c r="K155" i="31"/>
  <c r="AA155" i="31"/>
  <c r="AB155" i="31" s="1"/>
  <c r="S157" i="31"/>
  <c r="T157" i="31" s="1"/>
  <c r="K157" i="31"/>
  <c r="AA157" i="31"/>
  <c r="AB157" i="31" s="1"/>
  <c r="S159" i="31"/>
  <c r="T159" i="31" s="1"/>
  <c r="K159" i="31"/>
  <c r="AA159" i="31"/>
  <c r="AB159" i="31" s="1"/>
  <c r="S173" i="31"/>
  <c r="T173" i="31" s="1"/>
  <c r="K173" i="31"/>
  <c r="S181" i="31"/>
  <c r="T181" i="31" s="1"/>
  <c r="K181" i="31"/>
  <c r="W174" i="31"/>
  <c r="X174" i="31" s="1"/>
  <c r="W178" i="31"/>
  <c r="X178" i="31" s="1"/>
  <c r="W182" i="31"/>
  <c r="X182" i="31" s="1"/>
  <c r="W186" i="31"/>
  <c r="X186" i="31" s="1"/>
  <c r="S161" i="31"/>
  <c r="T161" i="31" s="1"/>
  <c r="S163" i="31"/>
  <c r="T163" i="31" s="1"/>
  <c r="S165" i="31"/>
  <c r="T165" i="31" s="1"/>
  <c r="S167" i="31"/>
  <c r="T167" i="31" s="1"/>
  <c r="S169" i="31"/>
  <c r="T169" i="31" s="1"/>
  <c r="S171" i="31"/>
  <c r="T171" i="31" s="1"/>
  <c r="S174" i="31"/>
  <c r="T174" i="31" s="1"/>
  <c r="AF174" i="31"/>
  <c r="AE174" i="31" s="1"/>
  <c r="S178" i="31"/>
  <c r="T178" i="31" s="1"/>
  <c r="AF178" i="31"/>
  <c r="AE178" i="31" s="1"/>
  <c r="AF182" i="31"/>
  <c r="AE182" i="31" s="1"/>
  <c r="AF186" i="31"/>
  <c r="AE186" i="31" s="1"/>
  <c r="S160" i="31"/>
  <c r="T160" i="31" s="1"/>
  <c r="W160" i="31"/>
  <c r="X160" i="31" s="1"/>
  <c r="K161" i="31"/>
  <c r="K163" i="31"/>
  <c r="K165" i="31"/>
  <c r="K167" i="31"/>
  <c r="K169" i="31"/>
  <c r="K171" i="31"/>
  <c r="K174" i="31"/>
  <c r="K178" i="31"/>
  <c r="K182" i="31"/>
  <c r="K186" i="31"/>
  <c r="AF163" i="31"/>
  <c r="AE163" i="31" s="1"/>
  <c r="AF165" i="31"/>
  <c r="AE165" i="31" s="1"/>
  <c r="AF167" i="31"/>
  <c r="AE167" i="31" s="1"/>
  <c r="AF169" i="31"/>
  <c r="AE169" i="31" s="1"/>
  <c r="W170" i="31"/>
  <c r="X170" i="31" s="1"/>
  <c r="AF171" i="31"/>
  <c r="AE171" i="31" s="1"/>
  <c r="AA172" i="31"/>
  <c r="AB172" i="31" s="1"/>
  <c r="S175" i="31"/>
  <c r="T175" i="31" s="1"/>
  <c r="AF175" i="31"/>
  <c r="AE175" i="31" s="1"/>
  <c r="AA176" i="31"/>
  <c r="AB176" i="31" s="1"/>
  <c r="S179" i="31"/>
  <c r="T179" i="31" s="1"/>
  <c r="AF179" i="31"/>
  <c r="AE179" i="31" s="1"/>
  <c r="AF183" i="31"/>
  <c r="AE183" i="31" s="1"/>
  <c r="AF187" i="31"/>
  <c r="AE187" i="31" s="1"/>
  <c r="W173" i="31"/>
  <c r="X173" i="31" s="1"/>
  <c r="W177" i="31"/>
  <c r="X177" i="31" s="1"/>
  <c r="W181" i="31"/>
  <c r="X181" i="31" s="1"/>
  <c r="W185" i="31"/>
  <c r="X185" i="31" s="1"/>
  <c r="S162" i="31"/>
  <c r="T162" i="31" s="1"/>
  <c r="S164" i="31"/>
  <c r="T164" i="31" s="1"/>
  <c r="S166" i="31"/>
  <c r="T166" i="31" s="1"/>
  <c r="S168" i="31"/>
  <c r="T168" i="31" s="1"/>
  <c r="S170" i="31"/>
  <c r="T170" i="31" s="1"/>
  <c r="S172" i="31"/>
  <c r="T172" i="31" s="1"/>
  <c r="AF172" i="31"/>
  <c r="AE172" i="31" s="1"/>
  <c r="AA173" i="31"/>
  <c r="AB173" i="31" s="1"/>
  <c r="S176" i="31"/>
  <c r="T176" i="31" s="1"/>
  <c r="AF176" i="31"/>
  <c r="AE176" i="31" s="1"/>
  <c r="AA177" i="31"/>
  <c r="AB177" i="31" s="1"/>
  <c r="AF180" i="31"/>
  <c r="AE180" i="31" s="1"/>
  <c r="AA181" i="31"/>
  <c r="AB181" i="31" s="1"/>
  <c r="AF184" i="31"/>
  <c r="AE184" i="31" s="1"/>
  <c r="AA185" i="31"/>
  <c r="AB185" i="31" s="1"/>
  <c r="H28" i="26" l="1"/>
  <c r="C26" i="33" s="1"/>
  <c r="F26" i="33" s="1"/>
  <c r="I24" i="33" s="1"/>
  <c r="H45" i="26" s="1"/>
  <c r="F28" i="26"/>
  <c r="C11" i="33" s="1"/>
  <c r="F11" i="33" s="1"/>
  <c r="I9" i="33" s="1"/>
  <c r="F45" i="26" l="1"/>
  <c r="F59" i="26"/>
  <c r="Q2" i="20" l="1"/>
  <c r="S2" i="20"/>
  <c r="Q3" i="20" l="1"/>
  <c r="Q4" i="20"/>
  <c r="Q5" i="20"/>
  <c r="Q6" i="20"/>
  <c r="Q7" i="20"/>
  <c r="Q8" i="20"/>
  <c r="Q9" i="20"/>
  <c r="Q10" i="20"/>
  <c r="Q11" i="20"/>
  <c r="Q12" i="20"/>
  <c r="Q13" i="20"/>
  <c r="Q14" i="20"/>
  <c r="Q15" i="20"/>
  <c r="Q16" i="20"/>
  <c r="Q17" i="20"/>
  <c r="Q18" i="20"/>
  <c r="Q19" i="20"/>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R2" i="20"/>
  <c r="R3" i="20"/>
  <c r="R4" i="20"/>
  <c r="R5" i="20"/>
  <c r="R6" i="20"/>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R50" i="20"/>
  <c r="R51" i="20"/>
  <c r="R52" i="20"/>
  <c r="R53" i="20"/>
  <c r="R54" i="20"/>
  <c r="R55" i="20"/>
  <c r="R56" i="20"/>
  <c r="R57" i="20"/>
  <c r="R58" i="20"/>
  <c r="R59" i="20"/>
  <c r="R60" i="20"/>
  <c r="R61" i="20"/>
  <c r="R62" i="20"/>
  <c r="R63" i="20"/>
  <c r="R64" i="20"/>
  <c r="R65" i="20"/>
  <c r="S3" i="20"/>
  <c r="S4"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T2" i="20" l="1"/>
  <c r="F79" i="26" l="1"/>
  <c r="F77" i="26" l="1"/>
  <c r="F85" i="26" s="1"/>
  <c r="F87" i="26"/>
  <c r="F12" i="33"/>
  <c r="I10" i="33" s="1"/>
  <c r="I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 Bernard</author>
  </authors>
  <commentList>
    <comment ref="D4" authorId="0" shapeId="0" xr:uid="{E5FE9935-0B16-46BE-97F1-968C0A07BDF6}">
      <text>
        <r>
          <rPr>
            <b/>
            <sz val="9"/>
            <color indexed="81"/>
            <rFont val="Tahoma"/>
            <family val="2"/>
          </rPr>
          <t xml:space="preserve">Subvention en vigueur:
</t>
        </r>
        <r>
          <rPr>
            <sz val="9"/>
            <color indexed="81"/>
            <rFont val="Tahoma"/>
            <family val="2"/>
          </rPr>
          <t xml:space="preserve">La première case correspond au montant de base fixe et la deuxième correspond au montant addtionnel par kBtu/h. La subvention en vigueur dans cette version du calculateur est de 2000$ de base et 5$ par kBtu/h.
</t>
        </r>
        <r>
          <rPr>
            <b/>
            <sz val="9"/>
            <color indexed="81"/>
            <rFont val="Tahoma"/>
            <family val="2"/>
          </rPr>
          <t>Exemple:</t>
        </r>
        <r>
          <rPr>
            <sz val="9"/>
            <color indexed="81"/>
            <rFont val="Tahoma"/>
            <family val="2"/>
          </rPr>
          <t xml:space="preserve">
1e case: 2000$
2e case: 5$ par kBtu/h</t>
        </r>
      </text>
    </comment>
    <comment ref="D13" authorId="0" shapeId="0" xr:uid="{47C2D2EF-218D-4F71-B184-07541CFCA9D3}">
      <text>
        <r>
          <rPr>
            <b/>
            <sz val="9"/>
            <color indexed="81"/>
            <rFont val="Tahoma"/>
            <family val="2"/>
          </rPr>
          <t xml:space="preserve">Capacité de l'appareil:
</t>
        </r>
        <r>
          <rPr>
            <sz val="9"/>
            <color indexed="81"/>
            <rFont val="Tahoma"/>
            <family val="2"/>
          </rPr>
          <t>Insérer la capacité moyenne lorsqu'il y a plus d'un appareil.</t>
        </r>
        <r>
          <rPr>
            <b/>
            <sz val="9"/>
            <color indexed="81"/>
            <rFont val="Tahoma"/>
            <family val="2"/>
          </rPr>
          <t xml:space="preserve">
</t>
        </r>
        <r>
          <rPr>
            <sz val="9"/>
            <color indexed="81"/>
            <rFont val="Tahoma"/>
            <family val="2"/>
          </rPr>
          <t xml:space="preserve">
</t>
        </r>
        <r>
          <rPr>
            <b/>
            <sz val="9"/>
            <color indexed="81"/>
            <rFont val="Tahoma"/>
            <family val="2"/>
          </rPr>
          <t>Exemple:</t>
        </r>
        <r>
          <rPr>
            <sz val="9"/>
            <color indexed="81"/>
            <rFont val="Tahoma"/>
            <family val="2"/>
          </rPr>
          <t xml:space="preserve">
Si vous avez 1 appareil qui ont une capacité de 120 000 Btu/h et 1 appareil à 180 000 Btu/h, la valeur qui doit être entrée est 
150 000 Btu/h ce qui correspond à la moyenne.</t>
        </r>
      </text>
    </comment>
    <comment ref="D26" authorId="0" shapeId="0" xr:uid="{B62A00E0-0DD4-4E2C-A932-32220C5E43DC}">
      <text>
        <r>
          <rPr>
            <b/>
            <sz val="9"/>
            <color indexed="81"/>
            <rFont val="Tahoma"/>
            <family val="2"/>
          </rPr>
          <t>Heures d'opération annuelles de l'appareil:</t>
        </r>
        <r>
          <rPr>
            <sz val="9"/>
            <color indexed="81"/>
            <rFont val="Tahoma"/>
            <family val="2"/>
          </rPr>
          <t xml:space="preserve">
Insérer la moyenne des heures lorsqu'il y a plus d'un appareil.
</t>
        </r>
        <r>
          <rPr>
            <b/>
            <sz val="9"/>
            <color indexed="81"/>
            <rFont val="Tahoma"/>
            <family val="2"/>
          </rPr>
          <t>Exemple:</t>
        </r>
        <r>
          <rPr>
            <sz val="9"/>
            <color indexed="81"/>
            <rFont val="Tahoma"/>
            <family val="2"/>
          </rPr>
          <t xml:space="preserve">
Si vous avez 1 appareil qui fonctionnent 1500h/an et 1 appareil qui fonctionne 1100h/an, la valeur qui doit être entrée est 1300h/an ce qui correspond à la moyenne.</t>
        </r>
      </text>
    </comment>
    <comment ref="D30" authorId="0" shapeId="0" xr:uid="{E48E18AC-37CE-4B35-AF47-8C4793888919}">
      <text>
        <r>
          <rPr>
            <b/>
            <sz val="9"/>
            <color indexed="81"/>
            <rFont val="Tahoma"/>
            <family val="2"/>
          </rPr>
          <t xml:space="preserve">Efficacité de l'appareil:
</t>
        </r>
        <r>
          <rPr>
            <sz val="9"/>
            <color indexed="81"/>
            <rFont val="Tahoma"/>
            <family val="2"/>
          </rPr>
          <t>Insérer l'efficacité moyenne lorsqu'il y a plus d'un appareil.</t>
        </r>
        <r>
          <rPr>
            <b/>
            <sz val="9"/>
            <color indexed="81"/>
            <rFont val="Tahoma"/>
            <family val="2"/>
          </rPr>
          <t xml:space="preserve">
Exemple:
</t>
        </r>
        <r>
          <rPr>
            <sz val="9"/>
            <color indexed="81"/>
            <rFont val="Tahoma"/>
            <family val="2"/>
          </rPr>
          <t>Si vous avez 1 appareil qui a une efficacité de 80% et 1 appareil à 84%, la valeur qui doit être entrée est 82% ce qui correspond à la moyenne.</t>
        </r>
      </text>
    </comment>
    <comment ref="D32" authorId="0" shapeId="0" xr:uid="{2972E0BB-3514-4307-A91B-E13575614F7F}">
      <text>
        <r>
          <rPr>
            <b/>
            <sz val="9"/>
            <color indexed="81"/>
            <rFont val="Tahoma"/>
            <family val="2"/>
          </rPr>
          <t>Coût total d'acquisition du matériel:</t>
        </r>
        <r>
          <rPr>
            <sz val="9"/>
            <color indexed="81"/>
            <rFont val="Tahoma"/>
            <family val="2"/>
          </rPr>
          <t xml:space="preserve">
Insérer le coût d'acquisition total de tous les appareils lorsqu'il y a plus d'un appareil.
</t>
        </r>
        <r>
          <rPr>
            <b/>
            <sz val="9"/>
            <color indexed="81"/>
            <rFont val="Tahoma"/>
            <family val="2"/>
          </rPr>
          <t>Exemple:</t>
        </r>
        <r>
          <rPr>
            <sz val="9"/>
            <color indexed="81"/>
            <rFont val="Tahoma"/>
            <family val="2"/>
          </rPr>
          <t xml:space="preserve">
Si vous avez 1 appareil qui a une efficacité de 2000$ et 1 appareil à 4000$, la valeur qui doit être entrée est 6000$ ce qui correspond à la somme de coût d'acquisition des appareils.
</t>
        </r>
      </text>
    </comment>
    <comment ref="D34" authorId="0" shapeId="0" xr:uid="{5B8E2C8B-AA74-4D7D-81E7-6FB906514235}">
      <text>
        <r>
          <rPr>
            <b/>
            <sz val="9"/>
            <color indexed="81"/>
            <rFont val="Tahoma"/>
            <family val="2"/>
          </rPr>
          <t>Coût total de l'installation:</t>
        </r>
        <r>
          <rPr>
            <sz val="9"/>
            <color indexed="81"/>
            <rFont val="Tahoma"/>
            <family val="2"/>
          </rPr>
          <t xml:space="preserve">
Insérer le coût de l'installation pour l'ensemble des appareils lorsqu'il y a plus d'un appareil.
</t>
        </r>
        <r>
          <rPr>
            <b/>
            <sz val="9"/>
            <color indexed="81"/>
            <rFont val="Tahoma"/>
            <family val="2"/>
          </rPr>
          <t>Exemple:</t>
        </r>
        <r>
          <rPr>
            <sz val="9"/>
            <color indexed="81"/>
            <rFont val="Tahoma"/>
            <family val="2"/>
          </rPr>
          <t xml:space="preserve">
Si l'installation de 2 appareils coûtent 2400$, la valeur qui doit être entrée est 2400$ ce qui correspond au coût d'installation des appareils.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G202" authorId="0" shapeId="0" xr:uid="{DEC4D58A-22DF-4278-953E-08DC0E952B64}">
      <text>
        <r>
          <rPr>
            <b/>
            <sz val="9"/>
            <color indexed="81"/>
            <rFont val="Tahoma"/>
            <family val="2"/>
          </rPr>
          <t>Eppner Fanny:</t>
        </r>
        <r>
          <rPr>
            <sz val="9"/>
            <color indexed="81"/>
            <rFont val="Tahoma"/>
            <family val="2"/>
          </rPr>
          <t xml:space="preserve">
Est-ce qu'on devrait exclure les données de 2019-2020? J'ai l'impression que les économies sont faussées non?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tc={2D733443-3C14-4345-BEED-9617CEDFB48F}</author>
    <author>tc={7245E22F-E632-4D9D-8A18-99BCA2C3A008}</author>
  </authors>
  <commentList>
    <comment ref="C2" authorId="0" shapeId="0" xr:uid="{2D733443-3C14-4345-BEED-9617CEDFB48F}">
      <text>
        <t>[Threaded comment]
Your version of Excel allows you to read this threaded comment; however, any edits to it will get removed if the file is opened in a newer version of Excel. Learn more: https://go.microsoft.com/fwlink/?linkid=870924
Comment:
    Provient d’une simulation antérieure dont les résultats se trouvent dans l’onglet Économies réelles</t>
      </text>
    </comment>
    <comment ref="D2" authorId="1" shapeId="0" xr:uid="{7245E22F-E632-4D9D-8A18-99BCA2C3A008}">
      <text>
        <t xml:space="preserve">[Threaded comment]
Your version of Excel allows you to read this threaded comment; however, any edits to it will get removed if the file is opened in a newer version of Excel. Learn more: https://go.microsoft.com/fwlink/?linkid=870924
Comment:
    Obtenu en remplacant les BTU dans l’outil de calcul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Nicolas Bombard</author>
  </authors>
  <commentList>
    <comment ref="A1" authorId="0" shapeId="0" xr:uid="{051E31D3-AC71-4E8B-87EA-72DD59812537}">
      <text>
        <r>
          <rPr>
            <b/>
            <sz val="9"/>
            <color indexed="81"/>
            <rFont val="Tahoma"/>
            <family val="2"/>
          </rPr>
          <t>Nicolas Bombard:</t>
        </r>
        <r>
          <rPr>
            <sz val="9"/>
            <color indexed="81"/>
            <rFont val="Tahoma"/>
            <family val="2"/>
          </rPr>
          <t xml:space="preserve">
Correspond aux subdivisions des listes selon le type ou la gamme de puissance</t>
        </r>
      </text>
    </comment>
    <comment ref="H1" authorId="0" shapeId="0" xr:uid="{807C3A21-FFC5-40F1-AEC7-92DDBE0D97AA}">
      <text>
        <r>
          <rPr>
            <b/>
            <sz val="9"/>
            <color indexed="81"/>
            <rFont val="Tahoma"/>
            <family val="2"/>
          </rPr>
          <t>Nicolas Bombard:</t>
        </r>
        <r>
          <rPr>
            <sz val="9"/>
            <color indexed="81"/>
            <rFont val="Tahoma"/>
            <family val="2"/>
          </rPr>
          <t xml:space="preserve">
Pour les programmes suivants seulement:
PE111
PE113
PE123a
PE202
PE210a_&lt; 300k BTU
PE210b_&gt; 300k BTU
PE212
PE215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DD2E6F-6C70-4630-9244-3B5495191241}" keepAlive="1" name="Query - Table 1" description="Connection to the 'Table 1' query in the workbook." type="5" refreshedVersion="8" refreshOnLoad="1" saveData="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<sst xmlns="http://schemas.openxmlformats.org/spreadsheetml/2006/main" count="1117" uniqueCount="390">
  <si>
    <t>Calculateur d'économies d'énergies des appareils infrarouges</t>
  </si>
  <si>
    <t>Guide d'utilisation</t>
  </si>
  <si>
    <t>Données d'entrée</t>
  </si>
  <si>
    <t>Données de sortie</t>
  </si>
  <si>
    <t>Le tableau 3 des données de sortie met en emphase la différence entre les valeurs de sortie des deux appareils à comparer. Il y a aussi une section "Estimations" afin d'avoir un survol des résultats.</t>
  </si>
  <si>
    <r>
      <rPr>
        <b/>
        <sz val="11"/>
        <color rgb="FF009FDF"/>
        <rFont val="Arial"/>
        <family val="2"/>
      </rPr>
      <t>Capacité suffisante (Oui/Non)</t>
    </r>
    <r>
      <rPr>
        <b/>
        <sz val="11"/>
        <color rgb="FF002855"/>
        <rFont val="Arial"/>
        <family val="2"/>
      </rPr>
      <t xml:space="preserve">
</t>
    </r>
    <r>
      <rPr>
        <sz val="11"/>
        <color rgb="FF002855"/>
        <rFont val="Arial"/>
        <family val="2"/>
      </rPr>
      <t xml:space="preserve">La capacité suffisante utilise les données de "surface à chauffer" ainsi que "type d'installation" pour vérifier si la capacité de chaque appareil et le nombre d'appareil suffisent aux besoins de chauffage de l'installation. </t>
    </r>
    <r>
      <rPr>
        <b/>
        <sz val="11"/>
        <color rgb="FF002855"/>
        <rFont val="Arial"/>
        <family val="2"/>
      </rPr>
      <t xml:space="preserve">
</t>
    </r>
    <r>
      <rPr>
        <b/>
        <sz val="11"/>
        <color rgb="FF009FDF"/>
        <rFont val="Arial"/>
        <family val="2"/>
      </rPr>
      <t xml:space="preserve">Coût total ($)
</t>
    </r>
    <r>
      <rPr>
        <sz val="11"/>
        <color rgb="FF002855"/>
        <rFont val="Arial"/>
        <family val="2"/>
      </rPr>
      <t xml:space="preserve">Le coût total représente le coût d'acquisition des équipments, incluant le matériel et l'installation. Le surcoût correspond à la différence des coût totaux.
</t>
    </r>
    <r>
      <rPr>
        <b/>
        <sz val="14"/>
        <color rgb="FF002855"/>
        <rFont val="Arial"/>
        <family val="2"/>
      </rPr>
      <t xml:space="preserve">
</t>
    </r>
    <r>
      <rPr>
        <b/>
        <sz val="11"/>
        <color rgb="FF009FDF"/>
        <rFont val="Arial"/>
        <family val="2"/>
      </rPr>
      <t xml:space="preserve">Aide financière totale ($)
</t>
    </r>
    <r>
      <rPr>
        <sz val="11"/>
        <color rgb="FF002855"/>
        <rFont val="Arial"/>
        <family val="2"/>
      </rPr>
      <t>L'aide financière totale représente l'aide financière accordée aux équipements par Énergir dans le programme de subvention des aérotherme à condensation.</t>
    </r>
    <r>
      <rPr>
        <b/>
        <sz val="11"/>
        <color rgb="FF002855"/>
        <rFont val="Arial"/>
        <family val="2"/>
      </rPr>
      <t xml:space="preserve">
</t>
    </r>
    <r>
      <rPr>
        <b/>
        <sz val="11"/>
        <color rgb="FF009FDF"/>
        <rFont val="Arial"/>
        <family val="2"/>
      </rPr>
      <t>PRI (année)</t>
    </r>
    <r>
      <rPr>
        <b/>
        <sz val="14"/>
        <color rgb="FF002855"/>
        <rFont val="Arial"/>
        <family val="2"/>
      </rPr>
      <t xml:space="preserve">
</t>
    </r>
    <r>
      <rPr>
        <sz val="11"/>
        <color rgb="FF002855"/>
        <rFont val="Arial"/>
        <family val="2"/>
      </rPr>
      <t xml:space="preserve">Période de Retour sur l'Investissement (PRI) équivaut au surcôut de l'appareil sur les économies d'énergies monétaire par année. 
</t>
    </r>
    <r>
      <rPr>
        <b/>
        <sz val="14"/>
        <color rgb="FF002855"/>
        <rFont val="Arial"/>
        <family val="2"/>
      </rPr>
      <t xml:space="preserve">
</t>
    </r>
    <r>
      <rPr>
        <b/>
        <sz val="11"/>
        <color rgb="FF009FDF"/>
        <rFont val="Arial"/>
        <family val="2"/>
      </rPr>
      <t xml:space="preserve">Coût de la consommation d'énergies annuel ($) 
</t>
    </r>
    <r>
      <rPr>
        <sz val="11"/>
        <color rgb="FF002855"/>
        <rFont val="Arial"/>
        <family val="2"/>
      </rPr>
      <t>Le coût de consommation d'énergies total correspond au coût pour l'ensemble des appareils sur une base annuelle. Les économies financières correspondent à la différence du coût de la consommation entre les deux appareils.</t>
    </r>
    <r>
      <rPr>
        <b/>
        <sz val="11"/>
        <color rgb="FF009FDF"/>
        <rFont val="Arial"/>
        <family val="2"/>
      </rPr>
      <t xml:space="preserve">
Consommation d'énergies annuelle (m</t>
    </r>
    <r>
      <rPr>
        <b/>
        <vertAlign val="superscript"/>
        <sz val="11"/>
        <color rgb="FF009FDF"/>
        <rFont val="Arial"/>
        <family val="2"/>
      </rPr>
      <t>3</t>
    </r>
    <r>
      <rPr>
        <b/>
        <sz val="11"/>
        <color rgb="FF009FDF"/>
        <rFont val="Arial"/>
        <family val="2"/>
      </rPr>
      <t xml:space="preserve"> de gaz naturel)
</t>
    </r>
    <r>
      <rPr>
        <sz val="11"/>
        <color rgb="FF002060"/>
        <rFont val="Arial"/>
        <family val="2"/>
      </rPr>
      <t>La consommation d'énergies totale correspond à la consommation pour l'ensemble des appareils sur une base annuelle. Les économies en gaz naturel correspondent à la différence de la consommation entre les deux appareils.</t>
    </r>
    <r>
      <rPr>
        <b/>
        <sz val="11"/>
        <color rgb="FF009FDF"/>
        <rFont val="Arial"/>
        <family val="2"/>
      </rPr>
      <t xml:space="preserve">
Émission de GES totale (tonnes de CO</t>
    </r>
    <r>
      <rPr>
        <b/>
        <vertAlign val="subscript"/>
        <sz val="11"/>
        <color rgb="FF009FDF"/>
        <rFont val="Arial"/>
        <family val="2"/>
      </rPr>
      <t>2</t>
    </r>
    <r>
      <rPr>
        <b/>
        <sz val="11"/>
        <color rgb="FF009FDF"/>
        <rFont val="Arial"/>
        <family val="2"/>
      </rPr>
      <t xml:space="preserve">)
</t>
    </r>
    <r>
      <rPr>
        <sz val="11"/>
        <color rgb="FF002855"/>
        <rFont val="Arial"/>
        <family val="2"/>
      </rPr>
      <t>L'émission de GES totale correspond à l'émission équivalent en tonnes de CO</t>
    </r>
    <r>
      <rPr>
        <vertAlign val="subscript"/>
        <sz val="11"/>
        <color rgb="FF002855"/>
        <rFont val="Arial"/>
        <family val="2"/>
      </rPr>
      <t>2</t>
    </r>
    <r>
      <rPr>
        <sz val="11"/>
        <color rgb="FF002855"/>
        <rFont val="Arial"/>
        <family val="2"/>
      </rPr>
      <t xml:space="preserve"> pour l'ensemble des appareils sur une base annuelle.Les économies de GES correspondent à la différence d'émission entre les deux appareils.</t>
    </r>
  </si>
  <si>
    <t>Énergir ne peut être tenu responsable des dommages, qu'ils soient directs ou indirects découlant des résultats des outils de calculs. L'utilisateur demeure 
responsable de s'assurer de l'exactitude des données qu'il utilise. Les résultats se trouvant dans le chiffrier de calculs sont fournis au client à titre indicatif 
seulement et ne peuvent en aucun cas être interprétés comme une garantie d'infaillibilité ou une représentation en ce sens d'Énergir. Énergir, ses employés, 
mandataires et représentants ne peuvent donc être tenus responsables devant un client entre cette estimation et la performance réelle des équipements du 
client.</t>
  </si>
  <si>
    <r>
      <t>Version n</t>
    </r>
    <r>
      <rPr>
        <i/>
        <vertAlign val="superscript"/>
        <sz val="9"/>
        <color theme="1"/>
        <rFont val="Calibri"/>
        <family val="2"/>
        <scheme val="minor"/>
      </rPr>
      <t>o</t>
    </r>
    <r>
      <rPr>
        <i/>
        <sz val="9"/>
        <color theme="1"/>
        <rFont val="Calibri"/>
        <family val="2"/>
        <scheme val="minor"/>
      </rPr>
      <t>1 2025-08</t>
    </r>
  </si>
  <si>
    <t>Outil de calcul - Infrarouge</t>
  </si>
  <si>
    <t>Subvention en vigueur:</t>
  </si>
  <si>
    <t>+</t>
  </si>
  <si>
    <t>par kBtu/h</t>
  </si>
  <si>
    <t>Tableau 1 - Données requises</t>
  </si>
  <si>
    <t>Appareil 1</t>
  </si>
  <si>
    <t>Appareil 2</t>
  </si>
  <si>
    <t>Unités</t>
  </si>
  <si>
    <t>Type d'appareil:</t>
  </si>
  <si>
    <t>Standard</t>
  </si>
  <si>
    <t>Infrarouge</t>
  </si>
  <si>
    <t>Nombre d'appareil:</t>
  </si>
  <si>
    <t>Capacité de l'appareil:</t>
  </si>
  <si>
    <t>Btu/h</t>
  </si>
  <si>
    <t xml:space="preserve">Le tableau 2 est automatiquement pré-rempli à l'aide de valeurs de références et d'hypothèses (à l'exception des deux premières lignes). Vous pouvez utiliser les valeurs fournies ou les modifier avec les données de votre choix. </t>
  </si>
  <si>
    <t>Tableau 2 - Données facultatives</t>
  </si>
  <si>
    <t>Type de contrôle:</t>
  </si>
  <si>
    <t>&lt; sélectionner &gt;</t>
  </si>
  <si>
    <t>Type d'installation:</t>
  </si>
  <si>
    <t>Surface à chauffer:</t>
  </si>
  <si>
    <t>pi2</t>
  </si>
  <si>
    <t>Heures d'opération annuelles de l'appareil:</t>
  </si>
  <si>
    <t>h/an</t>
  </si>
  <si>
    <t>Coût du gaz:</t>
  </si>
  <si>
    <t>$/m3</t>
  </si>
  <si>
    <t>Efficacité de l'appareil:</t>
  </si>
  <si>
    <t>%</t>
  </si>
  <si>
    <t>Coût total d'acquisition du matériel:</t>
  </si>
  <si>
    <t>$</t>
  </si>
  <si>
    <t xml:space="preserve">Coût total de l'installation: </t>
  </si>
  <si>
    <t>Tableau 3 - Comparaison des appareils</t>
  </si>
  <si>
    <t>Capacité totale suffisante:</t>
  </si>
  <si>
    <t>Coût total:</t>
  </si>
  <si>
    <t>Consommation d'énergies annuelle:</t>
  </si>
  <si>
    <r>
      <t>m</t>
    </r>
    <r>
      <rPr>
        <vertAlign val="superscript"/>
        <sz val="10"/>
        <color rgb="FF002060"/>
        <rFont val="Arial"/>
        <family val="2"/>
      </rPr>
      <t>3</t>
    </r>
    <r>
      <rPr>
        <sz val="10"/>
        <color rgb="FF002060"/>
        <rFont val="Arial"/>
        <family val="2"/>
      </rPr>
      <t xml:space="preserve"> de GN/an</t>
    </r>
  </si>
  <si>
    <t>Coût de la consommation d'énergies annuel:</t>
  </si>
  <si>
    <t>$/an</t>
  </si>
  <si>
    <t>Estimations</t>
  </si>
  <si>
    <t xml:space="preserve">Économies annuelles </t>
  </si>
  <si>
    <t>Gaz naturel</t>
  </si>
  <si>
    <r>
      <t>m</t>
    </r>
    <r>
      <rPr>
        <vertAlign val="superscript"/>
        <sz val="11"/>
        <color rgb="FF002855"/>
        <rFont val="Calibri"/>
        <family val="2"/>
        <scheme val="minor"/>
      </rPr>
      <t>3</t>
    </r>
    <r>
      <rPr>
        <sz val="11"/>
        <color rgb="FF002855"/>
        <rFont val="Calibri"/>
        <family val="2"/>
        <scheme val="minor"/>
      </rPr>
      <t>/année</t>
    </r>
  </si>
  <si>
    <t>Financières</t>
  </si>
  <si>
    <t>$/année</t>
  </si>
  <si>
    <t>GES évités</t>
  </si>
  <si>
    <r>
      <t>tonnes de CO</t>
    </r>
    <r>
      <rPr>
        <vertAlign val="subscript"/>
        <sz val="11"/>
        <color rgb="FF002855"/>
        <rFont val="Calibri"/>
        <family val="2"/>
        <scheme val="minor"/>
      </rPr>
      <t>2</t>
    </r>
    <r>
      <rPr>
        <sz val="11"/>
        <color rgb="FF002855"/>
        <rFont val="Calibri"/>
        <family val="2"/>
        <scheme val="minor"/>
      </rPr>
      <t>/année</t>
    </r>
  </si>
  <si>
    <t>Aide financière</t>
  </si>
  <si>
    <t>Surcoût</t>
  </si>
  <si>
    <t>Surcoût, incluant l'aide financière</t>
  </si>
  <si>
    <t>Surcoût, excluant l'aide financière</t>
  </si>
  <si>
    <t>Période de retour sur investissement (PRI)</t>
  </si>
  <si>
    <t>PRI du surcoût, incluant l'aide financière</t>
  </si>
  <si>
    <t>année(s)</t>
  </si>
  <si>
    <t>PRI du surcoût, excluant l'aide financière</t>
  </si>
  <si>
    <t>Énergir ne peut être tenu responsable des dommages, qu'ils soient directs ou indirects découlant des résultats des outils de calculs. L'utilisateur demeure responsable de s'assurer de l'exactitude des données qu'il utilise. Les résultats se trouvant dans le chiffrier de calculs sont fournis au client à titre indicatif seulement et ne peuvent en aucun cas être interprétés comme une garantie d'infaillibilité ou une représentation en ce sens d'Énergir. Énergir, ses employés, mandataires et représentants ne peuvent donc être tenus responsables envers un client entre cette estimation et la performance réelle des équipements du client.</t>
  </si>
  <si>
    <t>Informations requises:</t>
  </si>
  <si>
    <t>Résultats intermédiaires:</t>
  </si>
  <si>
    <t>Estimations:</t>
  </si>
  <si>
    <t>Capacité (BTU/h)</t>
  </si>
  <si>
    <t>Capacité totale fournie (BTU/h)</t>
  </si>
  <si>
    <t>Capacité suffisante (-)</t>
  </si>
  <si>
    <t>Nombre d'appareil</t>
  </si>
  <si>
    <t>Puissance de chauffe nécessaire (BTU/h/pi2)</t>
  </si>
  <si>
    <t>Coût total ($)</t>
  </si>
  <si>
    <t>Type de contrôle</t>
  </si>
  <si>
    <t>Facteur de compensation</t>
  </si>
  <si>
    <t>Aide financière totale ($)</t>
  </si>
  <si>
    <t>Type d'installation</t>
  </si>
  <si>
    <t>Capacité totale besoin (BTU/h)</t>
  </si>
  <si>
    <t>Consommation d'énergies totale (m3)</t>
  </si>
  <si>
    <t>Surface à chauffer (pi2)</t>
  </si>
  <si>
    <t>Aide financière par appareil ($)</t>
  </si>
  <si>
    <t>Consommation d'énergies monétaire totale ($)</t>
  </si>
  <si>
    <t>Heures d'utilisation (h/an)</t>
  </si>
  <si>
    <t>Consommation par appareil par an (m3/an)</t>
  </si>
  <si>
    <t>GES consumed (m3)</t>
  </si>
  <si>
    <t>Coût du gaz ($/m3)</t>
  </si>
  <si>
    <t>Consommation monétaire par appareil par an ($)</t>
  </si>
  <si>
    <t>Durée de vie (année)</t>
  </si>
  <si>
    <t>GES évités par appareil par an (m3)</t>
  </si>
  <si>
    <t>Efficacité de l'appareil (%)</t>
  </si>
  <si>
    <t>Coût de l'appareil ($)</t>
  </si>
  <si>
    <t>INFRAROUGE</t>
  </si>
  <si>
    <t>Valeur de référence:</t>
  </si>
  <si>
    <t>Type de bâtiment</t>
  </si>
  <si>
    <t>Type d'appareil</t>
  </si>
  <si>
    <t>1 stage</t>
  </si>
  <si>
    <t>2 stages</t>
  </si>
  <si>
    <t>Modulant</t>
  </si>
  <si>
    <t>GRC &gt; 0,67</t>
  </si>
  <si>
    <t>Entrepôt</t>
  </si>
  <si>
    <t xml:space="preserve">ratio de GN en GES </t>
  </si>
  <si>
    <t>Atelier mécanique</t>
  </si>
  <si>
    <t>Efficacité ref (%)</t>
  </si>
  <si>
    <t>Hangar d'avions</t>
  </si>
  <si>
    <t>Efficacité IR (%)</t>
  </si>
  <si>
    <t>Pouvoir calorifique GN (BTU/m3)</t>
  </si>
  <si>
    <r>
      <t>pi</t>
    </r>
    <r>
      <rPr>
        <vertAlign val="superscript"/>
        <sz val="11"/>
        <color theme="1"/>
        <rFont val="Calibri"/>
        <family val="2"/>
        <scheme val="minor"/>
      </rPr>
      <t>2</t>
    </r>
  </si>
  <si>
    <r>
      <t>m</t>
    </r>
    <r>
      <rPr>
        <vertAlign val="superscript"/>
        <sz val="11"/>
        <color theme="1"/>
        <rFont val="Calibri"/>
        <family val="2"/>
        <scheme val="minor"/>
      </rPr>
      <t>2</t>
    </r>
  </si>
  <si>
    <t>Conversion</t>
  </si>
  <si>
    <t>Prix référence GN</t>
  </si>
  <si>
    <t>$/GJ</t>
  </si>
  <si>
    <t>Note:</t>
  </si>
  <si>
    <t>790 + 600</t>
  </si>
  <si>
    <t>740 + 600</t>
  </si>
  <si>
    <r>
      <t xml:space="preserve">Le coût incremental peut être une donnée d'entrée (rentrer un chiffre) ou une estimation (rentrer "N/D")
</t>
    </r>
    <r>
      <rPr>
        <b/>
        <sz val="11"/>
        <color rgb="FFFF0000"/>
        <rFont val="Calibri"/>
        <family val="2"/>
        <scheme val="minor"/>
      </rPr>
      <t>L'estimation du coût incremental vient du rapport d'évaluation (1390$ pour &lt;100000BTU/h ou 1340$ pour &gt;100000BTU/h)</t>
    </r>
    <r>
      <rPr>
        <sz val="11"/>
        <color theme="1"/>
        <rFont val="Calibri"/>
        <family val="2"/>
        <scheme val="minor"/>
      </rPr>
      <t xml:space="preserve">
L'aide financière est fixe de 800$ peu importe la capacité de l'appareil
L'outil vérifie aussi si la capacité totale est valide pour la surface à chauffer et type d'installation
Les cases grises ne sont pas obligatoires et se réfèrent aux données de référence lorsque "N/D" est inscrit</t>
    </r>
  </si>
  <si>
    <t>Période</t>
  </si>
  <si>
    <t>Prix référenceÉnergir($/GJ)</t>
  </si>
  <si>
    <t>Prix référenceÉnergir(¢/m³)</t>
  </si>
  <si>
    <t>Prix du marchéContrat 1 an($/GJ)</t>
  </si>
  <si>
    <t>Prix du marchéMensuel($/GJ)</t>
  </si>
  <si>
    <t>Méthode actuelle (Test 0)</t>
  </si>
  <si>
    <t>Test 1</t>
  </si>
  <si>
    <t>Test 2</t>
  </si>
  <si>
    <t>Test 3</t>
  </si>
  <si>
    <t>Test 4</t>
  </si>
  <si>
    <t>Fixe</t>
  </si>
  <si>
    <t>Variable</t>
  </si>
  <si>
    <t>Surcoût moyens ($)</t>
  </si>
  <si>
    <t>Année financière</t>
  </si>
  <si>
    <t>Numéro dossier</t>
  </si>
  <si>
    <t>Nombres appareils installés</t>
  </si>
  <si>
    <t>Capacité (BTU)</t>
  </si>
  <si>
    <t>Économies par appareil (m3)</t>
  </si>
  <si>
    <t>Economies totales (m3)</t>
  </si>
  <si>
    <t>Surcoût moyens de l'équipement ($)</t>
  </si>
  <si>
    <t>Surcoût moyen de l'installation ($)</t>
  </si>
  <si>
    <t>Surcoût par appareil ($)</t>
  </si>
  <si>
    <t>Surcoût total ($)</t>
  </si>
  <si>
    <t>AF accordée ($)</t>
  </si>
  <si>
    <t>AF 0 ($)</t>
  </si>
  <si>
    <t>AF 0 par appareil ($)</t>
  </si>
  <si>
    <t>Couverture 0 (%)</t>
  </si>
  <si>
    <t>Couverture * nb appareils 0</t>
  </si>
  <si>
    <t>AF 1 ($)</t>
  </si>
  <si>
    <t>AF 1 par appareil ($)</t>
  </si>
  <si>
    <t>Couverture 1 (%)</t>
  </si>
  <si>
    <t>Couverture * nb appareils 1</t>
  </si>
  <si>
    <t>AF 2 ($)</t>
  </si>
  <si>
    <t>AF 2 par appareil ($)</t>
  </si>
  <si>
    <t>Couverture 2 (%)</t>
  </si>
  <si>
    <t>Couverture * nb appareils 2</t>
  </si>
  <si>
    <t>AF 3 ($)</t>
  </si>
  <si>
    <t>AF 3 par appareil ($)</t>
  </si>
  <si>
    <t>Couverture 3 (%)</t>
  </si>
  <si>
    <t>Couverture * nb appareils 3</t>
  </si>
  <si>
    <t>AF 4 ($)</t>
  </si>
  <si>
    <t>AF 4 par appareil  ($)</t>
  </si>
  <si>
    <t>Couverture * nb appareils 4</t>
  </si>
  <si>
    <t>Couverture 4 (%)</t>
  </si>
  <si>
    <t>2019-2020</t>
  </si>
  <si>
    <t>00057806</t>
  </si>
  <si>
    <t>00066024</t>
  </si>
  <si>
    <t>00046984</t>
  </si>
  <si>
    <t>00059882</t>
  </si>
  <si>
    <t>00058454</t>
  </si>
  <si>
    <t>00048468</t>
  </si>
  <si>
    <t>00062063</t>
  </si>
  <si>
    <t>00052549</t>
  </si>
  <si>
    <t>00049716</t>
  </si>
  <si>
    <t>00043185</t>
  </si>
  <si>
    <t>S.O.</t>
  </si>
  <si>
    <t>00045083</t>
  </si>
  <si>
    <t>00062341</t>
  </si>
  <si>
    <t>00044815</t>
  </si>
  <si>
    <t>00056845</t>
  </si>
  <si>
    <t>00041207</t>
  </si>
  <si>
    <t>00057965</t>
  </si>
  <si>
    <t>00046181</t>
  </si>
  <si>
    <t>00049346</t>
  </si>
  <si>
    <t>00068717</t>
  </si>
  <si>
    <t>00055273</t>
  </si>
  <si>
    <t>00046269</t>
  </si>
  <si>
    <t>00044363</t>
  </si>
  <si>
    <t>00051226</t>
  </si>
  <si>
    <t>00051232</t>
  </si>
  <si>
    <t>00041992</t>
  </si>
  <si>
    <t>00041792</t>
  </si>
  <si>
    <t>00041786</t>
  </si>
  <si>
    <t>00048902</t>
  </si>
  <si>
    <t>2020-2021</t>
  </si>
  <si>
    <t>00075209</t>
  </si>
  <si>
    <t>00068933</t>
  </si>
  <si>
    <t>00069273</t>
  </si>
  <si>
    <t>00042222</t>
  </si>
  <si>
    <t>00071781</t>
  </si>
  <si>
    <t>00064088</t>
  </si>
  <si>
    <t>00068911</t>
  </si>
  <si>
    <t>00077146</t>
  </si>
  <si>
    <t>00079699</t>
  </si>
  <si>
    <t>00068985</t>
  </si>
  <si>
    <t>00069170</t>
  </si>
  <si>
    <t>00074345</t>
  </si>
  <si>
    <t>00078538</t>
  </si>
  <si>
    <t>00055725</t>
  </si>
  <si>
    <t>00057419</t>
  </si>
  <si>
    <t>00069380</t>
  </si>
  <si>
    <t>00069369</t>
  </si>
  <si>
    <t>00053127</t>
  </si>
  <si>
    <t>00071112</t>
  </si>
  <si>
    <t>00069843</t>
  </si>
  <si>
    <t>00069855</t>
  </si>
  <si>
    <t>00072707</t>
  </si>
  <si>
    <t>00073300</t>
  </si>
  <si>
    <t>00072897</t>
  </si>
  <si>
    <t>00055456</t>
  </si>
  <si>
    <t>00084890</t>
  </si>
  <si>
    <t>00076445</t>
  </si>
  <si>
    <t>00073312</t>
  </si>
  <si>
    <t>00045509</t>
  </si>
  <si>
    <t>00075544</t>
  </si>
  <si>
    <t>00074393</t>
  </si>
  <si>
    <t>00072812</t>
  </si>
  <si>
    <t>00070461</t>
  </si>
  <si>
    <t>00077802</t>
  </si>
  <si>
    <t>00070458</t>
  </si>
  <si>
    <t>00059262</t>
  </si>
  <si>
    <t>00072072</t>
  </si>
  <si>
    <t>00083859</t>
  </si>
  <si>
    <t>00084358</t>
  </si>
  <si>
    <t>00084365</t>
  </si>
  <si>
    <t>00084370</t>
  </si>
  <si>
    <t>00070463</t>
  </si>
  <si>
    <t>00083742</t>
  </si>
  <si>
    <t>00081776</t>
  </si>
  <si>
    <t>00085388</t>
  </si>
  <si>
    <t>00079635</t>
  </si>
  <si>
    <t>00076107</t>
  </si>
  <si>
    <t>2021-2022</t>
  </si>
  <si>
    <t>00070421</t>
  </si>
  <si>
    <t>00107035</t>
  </si>
  <si>
    <t>00113839</t>
  </si>
  <si>
    <t>00070419</t>
  </si>
  <si>
    <t>00108514</t>
  </si>
  <si>
    <t>00102015</t>
  </si>
  <si>
    <t>00099001</t>
  </si>
  <si>
    <t>00094633</t>
  </si>
  <si>
    <t>00115800</t>
  </si>
  <si>
    <t>00074307</t>
  </si>
  <si>
    <t>00103553</t>
  </si>
  <si>
    <t>00096945</t>
  </si>
  <si>
    <t>00093469</t>
  </si>
  <si>
    <t>00075743</t>
  </si>
  <si>
    <t>00110250</t>
  </si>
  <si>
    <t>00071362</t>
  </si>
  <si>
    <t>00107579</t>
  </si>
  <si>
    <t>00100889</t>
  </si>
  <si>
    <t>00100885</t>
  </si>
  <si>
    <t>00081175</t>
  </si>
  <si>
    <t>00107287</t>
  </si>
  <si>
    <t>00102693</t>
  </si>
  <si>
    <t>2022-2023</t>
  </si>
  <si>
    <t>00114471</t>
  </si>
  <si>
    <t>00119497</t>
  </si>
  <si>
    <t>00114723</t>
  </si>
  <si>
    <t>00119806</t>
  </si>
  <si>
    <t>00119561</t>
  </si>
  <si>
    <t>00128572</t>
  </si>
  <si>
    <t>00126503</t>
  </si>
  <si>
    <t>00128173</t>
  </si>
  <si>
    <t>00113913</t>
  </si>
  <si>
    <t>00068892</t>
  </si>
  <si>
    <t>00102449</t>
  </si>
  <si>
    <t>00110648</t>
  </si>
  <si>
    <t>2023-2024</t>
  </si>
  <si>
    <t xml:space="preserve">total </t>
  </si>
  <si>
    <t>BTU/h</t>
  </si>
  <si>
    <t>Économies réelles</t>
  </si>
  <si>
    <t>Économies calculées</t>
  </si>
  <si>
    <t xml:space="preserve">Erreur </t>
  </si>
  <si>
    <t>Catégories PEE</t>
  </si>
  <si>
    <t>Distributeur</t>
  </si>
  <si>
    <t>Manufacturier</t>
  </si>
  <si>
    <t>Marque</t>
  </si>
  <si>
    <t>Modèle</t>
  </si>
  <si>
    <t>Capacité inférieure (PE215)
(Btu/h)</t>
  </si>
  <si>
    <t>Capacité (Btu/h)</t>
  </si>
  <si>
    <t>Gamme de capacité (Btu/h)</t>
  </si>
  <si>
    <t>Efficacité</t>
  </si>
  <si>
    <t>Type d'efficacité 
(FRT / AFUE / UEF (FE) / Efficacité thermique)</t>
  </si>
  <si>
    <t>Efficacité de combustion
(%)
(facultatif)</t>
  </si>
  <si>
    <t>Matériau de l'échangeur</t>
  </si>
  <si>
    <t>Taux de modulation</t>
  </si>
  <si>
    <t>Pleine modulation ou   par stage</t>
  </si>
  <si>
    <t>Boiler Reset Control 
OU
Indoor / Outdoor</t>
  </si>
  <si>
    <t>Prix moyen (net) facturé à l'entrepreneur</t>
  </si>
  <si>
    <t>Surcoût moyen
(Équipements)</t>
  </si>
  <si>
    <t>Surcoût moyen
(Avec Installation)</t>
  </si>
  <si>
    <t xml:space="preserve">AF </t>
  </si>
  <si>
    <t>PE225</t>
  </si>
  <si>
    <t>Beautech</t>
  </si>
  <si>
    <t>Mestek</t>
  </si>
  <si>
    <t>Beacon/Morris</t>
  </si>
  <si>
    <t>BH050</t>
  </si>
  <si>
    <t/>
  </si>
  <si>
    <t>3:1</t>
  </si>
  <si>
    <t>Pleine modulation</t>
  </si>
  <si>
    <t>BH100</t>
  </si>
  <si>
    <t>BH150</t>
  </si>
  <si>
    <t>BH200</t>
  </si>
  <si>
    <t>BH300</t>
  </si>
  <si>
    <t>BH400</t>
  </si>
  <si>
    <t>Sterling</t>
  </si>
  <si>
    <t>HU050</t>
  </si>
  <si>
    <t>HU100</t>
  </si>
  <si>
    <t>HU150</t>
  </si>
  <si>
    <t>HU200</t>
  </si>
  <si>
    <t>HU300</t>
  </si>
  <si>
    <t>HU400</t>
  </si>
  <si>
    <t>Trane</t>
  </si>
  <si>
    <t>HINA050</t>
  </si>
  <si>
    <t>HINA100</t>
  </si>
  <si>
    <t>HINA150</t>
  </si>
  <si>
    <t>HINA200</t>
  </si>
  <si>
    <t>HINA300</t>
  </si>
  <si>
    <t>HINA400</t>
  </si>
  <si>
    <t>HIPA050</t>
  </si>
  <si>
    <t>HIPA100</t>
  </si>
  <si>
    <t>HIPA150</t>
  </si>
  <si>
    <t>HIPA200</t>
  </si>
  <si>
    <t>HIPA300</t>
  </si>
  <si>
    <t>HIPA400</t>
  </si>
  <si>
    <t>G. Mitchell Chauffage &amp; Cie Ltée</t>
  </si>
  <si>
    <t>Modine</t>
  </si>
  <si>
    <t>Effinity 93</t>
  </si>
  <si>
    <t>BTC 215</t>
  </si>
  <si>
    <t>1:1</t>
  </si>
  <si>
    <t>ON/OFF</t>
  </si>
  <si>
    <t>BTC 260</t>
  </si>
  <si>
    <t>BTC 310</t>
  </si>
  <si>
    <t>PTC 110</t>
  </si>
  <si>
    <t>PTC 135</t>
  </si>
  <si>
    <t>PTC 155</t>
  </si>
  <si>
    <t>PTC 180</t>
  </si>
  <si>
    <t>PTC 215</t>
  </si>
  <si>
    <t>PTC 260</t>
  </si>
  <si>
    <t>PTC 310</t>
  </si>
  <si>
    <t>PTC 55</t>
  </si>
  <si>
    <t>PTC 65</t>
  </si>
  <si>
    <t>PTC 85</t>
  </si>
  <si>
    <t>Groupe Master</t>
  </si>
  <si>
    <t>Nortek</t>
  </si>
  <si>
    <t>Reznor</t>
  </si>
  <si>
    <t>UEZ110</t>
  </si>
  <si>
    <t>par stages</t>
  </si>
  <si>
    <t>UEZ130</t>
  </si>
  <si>
    <t>UEZ180</t>
  </si>
  <si>
    <t>UEZ260</t>
  </si>
  <si>
    <t>UEZ310</t>
  </si>
  <si>
    <t>UEZ55</t>
  </si>
  <si>
    <t>UEZ85</t>
  </si>
  <si>
    <t>Groupe Master Inc</t>
  </si>
  <si>
    <t>UEAS-130</t>
  </si>
  <si>
    <t>2:1</t>
  </si>
  <si>
    <t>UEAS-180</t>
  </si>
  <si>
    <t>UEAS-260</t>
  </si>
  <si>
    <t>UEAS-310</t>
  </si>
  <si>
    <t>Slant/Fin Corporation</t>
  </si>
  <si>
    <t>VGH-100-CH</t>
  </si>
  <si>
    <t>5:1</t>
  </si>
  <si>
    <t>VGH-120-CH</t>
  </si>
  <si>
    <t>VGH-150-CH</t>
  </si>
  <si>
    <t>VGH-150-CO</t>
  </si>
  <si>
    <t>VGH-180-CH</t>
  </si>
  <si>
    <t>VGH-200-CO</t>
  </si>
  <si>
    <t>VGH-299-CH</t>
  </si>
  <si>
    <t>VGH-399-CH</t>
  </si>
  <si>
    <t>VGH-500-CH</t>
  </si>
  <si>
    <t>VGH-80-CH</t>
  </si>
  <si>
    <t>VGH-90-CO</t>
  </si>
  <si>
    <t>King Heating Products Inc</t>
  </si>
  <si>
    <t>Winterwarm B.V.</t>
  </si>
  <si>
    <t>Eco-King</t>
  </si>
  <si>
    <t>HR 115</t>
  </si>
  <si>
    <t>HR 150</t>
  </si>
  <si>
    <t>HR 190</t>
  </si>
  <si>
    <t>HR 230</t>
  </si>
  <si>
    <t>HR 50</t>
  </si>
  <si>
    <r>
      <rPr>
        <sz val="11"/>
        <color rgb="FF002855"/>
        <rFont val="Arial"/>
        <family val="2"/>
      </rPr>
      <t xml:space="preserve">Les paramètres d'entrées du calculateur sont divisés en deux sections : les données requises et les données facultatives qui se situent dans la tableau 1 et 2 respectivement. Lorsqu'une donnée facultative n'est pas connue, laisser la case vide. Le calculateur se basera sur des valeurs de références découlant de bases de données, ainsi que d'hypothèses qui sont listées ultérieurment. Deux colonnes se trouvent dans les données d'entrées, afin de faire la comparaison entre deux appareils de chauffages (ex.: un appareil standard versus un appareil infrarouge). Lorsqu'il y a plus d'un appareil dans le champ nombre d'appareil, les données facultatives correspondent à </t>
    </r>
    <r>
      <rPr>
        <b/>
        <sz val="11"/>
        <color rgb="FF002855"/>
        <rFont val="Arial"/>
        <family val="2"/>
      </rPr>
      <t xml:space="preserve">la moyenne des appareils </t>
    </r>
    <r>
      <rPr>
        <sz val="11"/>
        <color rgb="FF002855"/>
        <rFont val="Arial"/>
        <family val="2"/>
      </rPr>
      <t>à l'exception du coût total des appareils et du coût total de l'installation qui sont associés à</t>
    </r>
    <r>
      <rPr>
        <b/>
        <sz val="11"/>
        <color rgb="FF002855"/>
        <rFont val="Arial"/>
        <family val="2"/>
      </rPr>
      <t xml:space="preserve"> l'ensemble des appareils.</t>
    </r>
    <r>
      <rPr>
        <b/>
        <sz val="14"/>
        <color rgb="FF002855"/>
        <rFont val="Arial"/>
        <family val="2"/>
      </rPr>
      <t xml:space="preserve">
</t>
    </r>
    <r>
      <rPr>
        <b/>
        <sz val="11"/>
        <color rgb="FF009FDF"/>
        <rFont val="Arial"/>
        <family val="2"/>
      </rPr>
      <t>Données requises</t>
    </r>
    <r>
      <rPr>
        <b/>
        <sz val="11"/>
        <color rgb="FF002855"/>
        <rFont val="Arial"/>
        <family val="2"/>
      </rPr>
      <t xml:space="preserve">
</t>
    </r>
    <r>
      <rPr>
        <sz val="11"/>
        <color rgb="FF002855"/>
        <rFont val="Arial"/>
        <family val="2"/>
      </rPr>
      <t xml:space="preserve">- Subvention en vigueur ($ et $/kBtu/h)
- Type d'appareil (standard/infrarouge)
- Capacité de l'appareil (Btu/h)
- Nombre d'appareil
</t>
    </r>
    <r>
      <rPr>
        <b/>
        <sz val="11"/>
        <color rgb="FF002855"/>
        <rFont val="Arial"/>
        <family val="2"/>
      </rPr>
      <t xml:space="preserve">
</t>
    </r>
    <r>
      <rPr>
        <b/>
        <sz val="11"/>
        <color rgb="FF009FDF"/>
        <rFont val="Arial"/>
        <family val="2"/>
      </rPr>
      <t xml:space="preserve">Données falcultatives
</t>
    </r>
    <r>
      <rPr>
        <sz val="11"/>
        <color rgb="FF002855"/>
        <rFont val="Arial"/>
        <family val="2"/>
      </rPr>
      <t>- Type de contrôle de l'appareil (seulement applicable aux appareils à infrarouge)
- Surface à chauffer (pi</t>
    </r>
    <r>
      <rPr>
        <vertAlign val="superscript"/>
        <sz val="11"/>
        <color rgb="FF002855"/>
        <rFont val="Arial"/>
        <family val="2"/>
      </rPr>
      <t xml:space="preserve">2 </t>
    </r>
    <r>
      <rPr>
        <sz val="11"/>
        <color rgb="FF002855"/>
        <rFont val="Arial"/>
        <family val="2"/>
      </rPr>
      <t>ou m</t>
    </r>
    <r>
      <rPr>
        <vertAlign val="superscript"/>
        <sz val="11"/>
        <color rgb="FF002855"/>
        <rFont val="Arial"/>
        <family val="2"/>
      </rPr>
      <t>2</t>
    </r>
    <r>
      <rPr>
        <sz val="11"/>
        <color rgb="FF002855"/>
        <rFont val="Arial"/>
        <family val="2"/>
      </rPr>
      <t>)
- Type d'installation (entrepôt/atelier mécanique/hangar d'avions)
- Heure d'opération annuelle par appareil (h/an)</t>
    </r>
    <r>
      <rPr>
        <b/>
        <sz val="14"/>
        <color rgb="FF002855"/>
        <rFont val="Arial"/>
        <family val="2"/>
      </rPr>
      <t xml:space="preserve">
</t>
    </r>
    <r>
      <rPr>
        <sz val="11"/>
        <color rgb="FF002855"/>
        <rFont val="Arial"/>
        <family val="2"/>
      </rPr>
      <t>- Coût du gaz ($/m</t>
    </r>
    <r>
      <rPr>
        <vertAlign val="superscript"/>
        <sz val="11"/>
        <color rgb="FF002855"/>
        <rFont val="Arial"/>
        <family val="2"/>
      </rPr>
      <t>3</t>
    </r>
    <r>
      <rPr>
        <sz val="11"/>
        <color rgb="FF002855"/>
        <rFont val="Arial"/>
        <family val="2"/>
      </rPr>
      <t xml:space="preserve"> de gaz naturel ou $/GJ)
- Durée de vie (année)
- Efficacité de l'appareil (%)</t>
    </r>
    <r>
      <rPr>
        <b/>
        <sz val="14"/>
        <color rgb="FF002855"/>
        <rFont val="Arial"/>
        <family val="2"/>
      </rPr>
      <t xml:space="preserve">
</t>
    </r>
    <r>
      <rPr>
        <sz val="11"/>
        <color rgb="FF002855"/>
        <rFont val="Arial"/>
        <family val="2"/>
      </rPr>
      <t xml:space="preserve">- Coût total des appareils ($)
- Coût total de l'installation ($)
</t>
    </r>
  </si>
  <si>
    <r>
      <t xml:space="preserve">Hypothèses et valeur de référence
</t>
    </r>
    <r>
      <rPr>
        <sz val="11"/>
        <color rgb="FF002855"/>
        <rFont val="Arial"/>
        <family val="2"/>
      </rPr>
      <t xml:space="preserve">Les points 1 à 8 sont des valeurs utilisés lorsque les données d'entrées facultatives et correspondantes sont laissés vides. Les autres points sont des valeurs utilisés indépendantes des données d'entrées.
1. L'heure d'opération annuelle par appareil est de </t>
    </r>
    <r>
      <rPr>
        <b/>
        <sz val="11"/>
        <color rgb="FF002855"/>
        <rFont val="Arial"/>
        <family val="2"/>
      </rPr>
      <t>1500 h/an</t>
    </r>
    <r>
      <rPr>
        <sz val="11"/>
        <color rgb="FF002855"/>
        <rFont val="Arial"/>
        <family val="2"/>
      </rPr>
      <t xml:space="preserve"> en moyenne
2. Le coût du gaz le plus récent du </t>
    </r>
    <r>
      <rPr>
        <b/>
        <sz val="11"/>
        <color rgb="FF002855"/>
        <rFont val="Arial"/>
        <family val="2"/>
      </rPr>
      <t>site d'Énergir</t>
    </r>
    <r>
      <rPr>
        <sz val="11"/>
        <color rgb="FF002855"/>
        <rFont val="Arial"/>
        <family val="2"/>
      </rPr>
      <t xml:space="preserve"> est automatiquement généré dans le calculateur 
3. La durée de vie d'un aérotherme standard ou infrarouge est de </t>
    </r>
    <r>
      <rPr>
        <b/>
        <sz val="11"/>
        <color rgb="FF002855"/>
        <rFont val="Arial"/>
        <family val="2"/>
      </rPr>
      <t xml:space="preserve">17 ans
</t>
    </r>
    <r>
      <rPr>
        <sz val="11"/>
        <color rgb="FF002855"/>
        <rFont val="Arial"/>
        <family val="2"/>
      </rPr>
      <t xml:space="preserve">4. L'efficacité d'un aéroherme standard moyen est de </t>
    </r>
    <r>
      <rPr>
        <b/>
        <sz val="11"/>
        <color rgb="FF002855"/>
        <rFont val="Arial"/>
        <family val="2"/>
      </rPr>
      <t>82%</t>
    </r>
    <r>
      <rPr>
        <sz val="11"/>
        <color rgb="FF002855"/>
        <rFont val="Arial"/>
        <family val="2"/>
      </rPr>
      <t xml:space="preserve"> et d'un appareil à infrarouge est de </t>
    </r>
    <r>
      <rPr>
        <b/>
        <sz val="11"/>
        <color rgb="FF002855"/>
        <rFont val="Arial"/>
        <family val="2"/>
      </rPr>
      <t>82%</t>
    </r>
    <r>
      <rPr>
        <b/>
        <sz val="14"/>
        <color rgb="FF002855"/>
        <rFont val="Arial"/>
        <family val="2"/>
      </rPr>
      <t xml:space="preserve">
</t>
    </r>
    <r>
      <rPr>
        <sz val="11"/>
        <color rgb="FF002855"/>
        <rFont val="Arial"/>
        <family val="2"/>
      </rPr>
      <t xml:space="preserve">5. Le coût de l'équipement standard est calculé avec </t>
    </r>
    <r>
      <rPr>
        <b/>
        <sz val="11"/>
        <color rgb="FF002855"/>
        <rFont val="Arial"/>
        <family val="2"/>
      </rPr>
      <t>une équation</t>
    </r>
    <r>
      <rPr>
        <sz val="11"/>
        <color rgb="FF002855"/>
        <rFont val="Arial"/>
        <family val="2"/>
      </rPr>
      <t xml:space="preserve"> découlant de la base de données internes chez Énergir
6. Le surcoût de l'équipement infrarouge est de </t>
    </r>
    <r>
      <rPr>
        <b/>
        <sz val="11"/>
        <color rgb="FF002855"/>
        <rFont val="Arial"/>
        <family val="2"/>
      </rPr>
      <t>740$</t>
    </r>
    <r>
      <rPr>
        <sz val="11"/>
        <color rgb="FF002855"/>
        <rFont val="Arial"/>
        <family val="2"/>
      </rPr>
      <t xml:space="preserve"> lorsque la capacité est inférieure à 100 kBtu/h et </t>
    </r>
    <r>
      <rPr>
        <b/>
        <sz val="11"/>
        <color rgb="FF002855"/>
        <rFont val="Arial"/>
        <family val="2"/>
      </rPr>
      <t>790$</t>
    </r>
    <r>
      <rPr>
        <sz val="11"/>
        <color rgb="FF002855"/>
        <rFont val="Arial"/>
        <family val="2"/>
      </rPr>
      <t xml:space="preserve"> lorsqu'elle est supérieure
7. Le surcoût moyen de l'installation est de </t>
    </r>
    <r>
      <rPr>
        <b/>
        <sz val="11"/>
        <color rgb="FF002855"/>
        <rFont val="Arial"/>
        <family val="2"/>
      </rPr>
      <t>600$</t>
    </r>
    <r>
      <rPr>
        <sz val="11"/>
        <color rgb="FF002855"/>
        <rFont val="Arial"/>
        <family val="2"/>
      </rPr>
      <t xml:space="preserve"> d'un appareil infrarouge contre un aérotherme standard
8. La subvention en vigueur pour cette version est de </t>
    </r>
    <r>
      <rPr>
        <b/>
        <sz val="11"/>
        <color rgb="FF002855"/>
        <rFont val="Arial"/>
        <family val="2"/>
      </rPr>
      <t>800$ de base</t>
    </r>
    <r>
      <rPr>
        <sz val="11"/>
        <color rgb="FF002855"/>
        <rFont val="Arial"/>
        <family val="2"/>
      </rPr>
      <t xml:space="preserve"> pour les appareils infrarouges admissibles
9. Le surcoût de l'installation est appliqué </t>
    </r>
    <r>
      <rPr>
        <b/>
        <sz val="11"/>
        <color rgb="FF002855"/>
        <rFont val="Arial"/>
        <family val="2"/>
      </rPr>
      <t>une fois</t>
    </r>
    <r>
      <rPr>
        <sz val="11"/>
        <color rgb="FF002855"/>
        <rFont val="Arial"/>
        <family val="2"/>
      </rPr>
      <t xml:space="preserve"> peu importe le nombre d'appareil</t>
    </r>
    <r>
      <rPr>
        <b/>
        <sz val="14"/>
        <color rgb="FF002855"/>
        <rFont val="Arial"/>
        <family val="2"/>
      </rPr>
      <t xml:space="preserve">
</t>
    </r>
    <r>
      <rPr>
        <sz val="11"/>
        <color rgb="FF002855"/>
        <rFont val="Arial"/>
        <family val="2"/>
      </rPr>
      <t xml:space="preserve">10. La puissance de chauffe nécessaire est de </t>
    </r>
    <r>
      <rPr>
        <b/>
        <sz val="11"/>
        <color rgb="FF002855"/>
        <rFont val="Arial"/>
        <family val="2"/>
      </rPr>
      <t>30 Btu/h</t>
    </r>
    <r>
      <rPr>
        <sz val="11"/>
        <color rgb="FF002855"/>
        <rFont val="Arial"/>
        <family val="2"/>
      </rPr>
      <t xml:space="preserve"> pour les entrepôts, </t>
    </r>
    <r>
      <rPr>
        <b/>
        <sz val="11"/>
        <color rgb="FF002855"/>
        <rFont val="Arial"/>
        <family val="2"/>
      </rPr>
      <t>50 Btu/h</t>
    </r>
    <r>
      <rPr>
        <sz val="11"/>
        <color rgb="FF002855"/>
        <rFont val="Arial"/>
        <family val="2"/>
      </rPr>
      <t xml:space="preserve"> pour les ateliers mécaniques et </t>
    </r>
    <r>
      <rPr>
        <b/>
        <sz val="11"/>
        <color rgb="FF002855"/>
        <rFont val="Arial"/>
        <family val="2"/>
      </rPr>
      <t>110 Btu/h</t>
    </r>
    <r>
      <rPr>
        <sz val="11"/>
        <color rgb="FF002855"/>
        <rFont val="Arial"/>
        <family val="2"/>
      </rPr>
      <t xml:space="preserve"> pour les hangars d'avions</t>
    </r>
    <r>
      <rPr>
        <vertAlign val="superscript"/>
        <sz val="11"/>
        <color rgb="FF002855"/>
        <rFont val="Arial"/>
        <family val="2"/>
      </rPr>
      <t>1</t>
    </r>
  </si>
  <si>
    <t xml:space="preserve">1: Ces informations découlent de la fiche technique des aérothermes disponible sur le site d'Énergir </t>
  </si>
  <si>
    <t xml:space="preserve">L'utilisation d'appareil(s) infraouge(s) versus standard(s) engendre les surcoûts suivants: </t>
  </si>
  <si>
    <r>
      <t xml:space="preserve">Objectif
</t>
    </r>
    <r>
      <rPr>
        <b/>
        <sz val="11"/>
        <color rgb="FF002855"/>
        <rFont val="Arial"/>
        <family val="2"/>
      </rPr>
      <t xml:space="preserve">
</t>
    </r>
    <r>
      <rPr>
        <sz val="11"/>
        <color rgb="FF002855"/>
        <rFont val="Arial"/>
        <family val="2"/>
      </rPr>
      <t>Le "Calculateur d'économies d'énergies des appareils de chauffage à infrarouge" développé par Énergir permet de calculer ainsi que de comparer les économies d'énergies, le coût et l'aide financières accordés aux aérothermes de type standard ou appareil infrarouge.  Le calculateur a été conçu dans le cadre du programme de subvention des appareils infrarouges de Énergir.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</si>
</sst>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43" formatCode="_ * #,##0.00_)_ ;_ * \(#,##0.00\)_ ;_ * &quot;-&quot;??_)_ ;_ @_ "/>
    <numFmt numFmtId="164" formatCode="0.0"/>
    <numFmt numFmtId="165" formatCode="_ * #,##0_)\ &quot;$&quot;_ ;_ * \(#,##0\)\ &quot;$&quot;_ ;_ * &quot;-&quot;??_)\ &quot;$&quot;_ ;_ @_ "/>
    <numFmt numFmtId="166" formatCode="0.00000"/>
    <numFmt numFmtId="167" formatCode="0.0%"/>
    <numFmt numFmtId="168" formatCode="#,##0\ &quot;$&quot;"/>
    <numFmt numFmtId="169" formatCode="0.000"/>
    <numFmt numFmtId="170" formatCode="#,##0;#,##0"/>
    <numFmt numFmtId="171" formatCode="#,##0.00;#,##0.00"/>
  </numFmts>
  <fonts count="47"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0"/>
      <color theme="0"/>
      <name val="Arial"/>
      <family val="2"/>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sz val="9"/>
      <color rgb="FF002060"/>
      <name val="Arial"/>
      <family val="2"/>
    </font>
    <font>
      <sz val="10"/>
      <color rgb="FF002060"/>
      <name val="Arial"/>
      <family val="2"/>
    </font>
    <font>
      <vertAlign val="superscript"/>
      <sz val="10"/>
      <color rgb="FF002060"/>
      <name val="Arial"/>
      <family val="2"/>
    </font>
    <font>
      <b/>
      <sz val="16"/>
      <color rgb="FF002060"/>
      <name val="Arial"/>
      <family val="2"/>
    </font>
    <font>
      <b/>
      <sz val="10"/>
      <color rgb="FF002060"/>
      <name val="Arial"/>
      <family val="2"/>
    </font>
    <font>
      <b/>
      <sz val="10"/>
      <color theme="1"/>
      <name val="Arial"/>
      <family val="2"/>
    </font>
    <font>
      <b/>
      <sz val="11"/>
      <color rgb="FF002060"/>
      <name val="Calibri"/>
      <family val="2"/>
      <scheme val="minor"/>
    </font>
    <font>
      <b/>
      <sz val="10"/>
      <color theme="3"/>
      <name val="Arial"/>
      <family val="2"/>
    </font>
    <font>
      <b/>
      <sz val="16"/>
      <color rgb="FF009FDF"/>
      <name val="Calibri"/>
      <family val="2"/>
      <scheme val="minor"/>
    </font>
    <font>
      <b/>
      <sz val="20"/>
      <color rgb="FF002855"/>
      <name val="Arial"/>
      <family val="2"/>
    </font>
    <font>
      <b/>
      <sz val="14"/>
      <color rgb="FF002855"/>
      <name val="Arial"/>
      <family val="2"/>
    </font>
    <font>
      <b/>
      <sz val="10"/>
      <color rgb="FF002855"/>
      <name val="Arial"/>
      <family val="2"/>
    </font>
    <font>
      <b/>
      <sz val="11"/>
      <color rgb="FF002855"/>
      <name val="Arial"/>
      <family val="2"/>
    </font>
    <font>
      <sz val="11"/>
      <color rgb="FF002855"/>
      <name val="Arial"/>
      <family val="2"/>
    </font>
    <font>
      <b/>
      <sz val="11"/>
      <color rgb="FF009FDF"/>
      <name val="Arial"/>
      <family val="2"/>
    </font>
    <font>
      <vertAlign val="superscript"/>
      <sz val="11"/>
      <color rgb="FF002855"/>
      <name val="Arial"/>
      <family val="2"/>
    </font>
    <font>
      <b/>
      <vertAlign val="superscript"/>
      <sz val="11"/>
      <color rgb="FF009FDF"/>
      <name val="Arial"/>
      <family val="2"/>
    </font>
    <font>
      <b/>
      <vertAlign val="subscript"/>
      <sz val="11"/>
      <color rgb="FF009FDF"/>
      <name val="Arial"/>
      <family val="2"/>
    </font>
    <font>
      <i/>
      <sz val="9"/>
      <color rgb="FF009FDF"/>
      <name val="Arial"/>
      <family val="2"/>
    </font>
    <font>
      <i/>
      <sz val="9"/>
      <color theme="1"/>
      <name val="Calibri"/>
      <family val="2"/>
      <scheme val="minor"/>
    </font>
    <font>
      <i/>
      <vertAlign val="superscript"/>
      <sz val="9"/>
      <color theme="1"/>
      <name val="Calibri"/>
      <family val="2"/>
      <scheme val="minor"/>
    </font>
    <font>
      <b/>
      <sz val="14"/>
      <color rgb="FF002060"/>
      <name val="Arial"/>
      <family val="2"/>
    </font>
    <font>
      <sz val="11"/>
      <color rgb="FF002060"/>
      <name val="Arial"/>
      <family val="2"/>
    </font>
    <font>
      <sz val="9"/>
      <color rgb="FF002855"/>
      <name val="Arial"/>
      <family val="2"/>
    </font>
    <font>
      <vertAlign val="superscript"/>
      <sz val="11"/>
      <color theme="1"/>
      <name val="Calibri"/>
      <family val="2"/>
      <scheme val="minor"/>
    </font>
    <font>
      <vertAlign val="subscript"/>
      <sz val="11"/>
      <color rgb="FF002855"/>
      <name val="Arial"/>
      <family val="2"/>
    </font>
    <font>
      <sz val="11"/>
      <color theme="0"/>
      <name val="Calibri"/>
      <family val="2"/>
      <scheme val="minor"/>
    </font>
    <font>
      <b/>
      <sz val="18"/>
      <color theme="0"/>
      <name val="Calibri"/>
      <family val="2"/>
      <scheme val="minor"/>
    </font>
    <font>
      <sz val="11"/>
      <color rgb="FF002855"/>
      <name val="Calibri"/>
      <family val="2"/>
      <scheme val="minor"/>
    </font>
    <font>
      <b/>
      <sz val="18"/>
      <color rgb="FF002855"/>
      <name val="Calibri"/>
      <family val="2"/>
      <scheme val="minor"/>
    </font>
    <font>
      <b/>
      <sz val="11"/>
      <color rgb="FF002855"/>
      <name val="Calibri"/>
      <family val="2"/>
      <scheme val="minor"/>
    </font>
    <font>
      <vertAlign val="superscript"/>
      <sz val="11"/>
      <color rgb="FF002855"/>
      <name val="Calibri"/>
      <family val="2"/>
      <scheme val="minor"/>
    </font>
    <font>
      <vertAlign val="subscript"/>
      <sz val="11"/>
      <color rgb="FF002855"/>
      <name val="Calibri"/>
      <family val="2"/>
      <scheme val="minor"/>
    </font>
    <font>
      <b/>
      <sz val="11"/>
      <name val="Calibri"/>
      <family val="2"/>
      <scheme val="minor"/>
    </font>
    <font>
      <u/>
      <sz val="11"/>
      <color theme="10"/>
      <name val="Calibri"/>
      <family val="2"/>
      <scheme val="minor"/>
    </font>
    <font>
      <b/>
      <i/>
      <sz val="11"/>
      <color rgb="FF002060"/>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002060"/>
        <bgColor indexed="64"/>
      </patternFill>
    </fill>
    <fill>
      <patternFill patternType="solid">
        <fgColor rgb="FFE7E6E6"/>
        <bgColor indexed="64"/>
      </patternFill>
    </fill>
    <fill>
      <patternFill patternType="solid">
        <fgColor theme="6"/>
        <bgColor indexed="64"/>
      </patternFill>
    </fill>
    <fill>
      <patternFill patternType="solid">
        <fgColor theme="4"/>
        <bgColor indexed="64"/>
      </patternFill>
    </fill>
    <fill>
      <patternFill patternType="solid">
        <fgColor rgb="FFDAEEF4"/>
        <bgColor indexed="64"/>
      </patternFill>
    </fill>
    <fill>
      <patternFill patternType="solid">
        <fgColor rgb="FFFCC8F8"/>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theme="9" tint="0.79998168889431442"/>
      </patternFill>
    </fill>
  </fills>
  <borders count="3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9FDF"/>
      </left>
      <right style="medium">
        <color rgb="FF009FDF"/>
      </right>
      <top style="medium">
        <color rgb="FF009FDF"/>
      </top>
      <bottom style="medium">
        <color rgb="FF009FDF"/>
      </bottom>
      <diagonal/>
    </border>
    <border>
      <left style="medium">
        <color theme="1"/>
      </left>
      <right style="medium">
        <color indexed="64"/>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medium">
        <color indexed="64"/>
      </right>
      <top style="thin">
        <color indexed="64"/>
      </top>
      <bottom style="medium">
        <color theme="1"/>
      </bottom>
      <diagonal/>
    </border>
    <border>
      <left/>
      <right style="medium">
        <color theme="1"/>
      </right>
      <top style="thin">
        <color indexed="64"/>
      </top>
      <bottom style="medium">
        <color theme="1"/>
      </bottom>
      <diagonal/>
    </border>
    <border>
      <left style="medium">
        <color rgb="FF009FDF"/>
      </left>
      <right/>
      <top style="medium">
        <color rgb="FF009FDF"/>
      </top>
      <bottom style="medium">
        <color rgb="FF009FDF"/>
      </bottom>
      <diagonal/>
    </border>
    <border>
      <left/>
      <right/>
      <top style="medium">
        <color rgb="FF009FDF"/>
      </top>
      <bottom style="medium">
        <color rgb="FF009FDF"/>
      </bottom>
      <diagonal/>
    </border>
    <border>
      <left/>
      <right style="medium">
        <color rgb="FF009FDF"/>
      </right>
      <top style="medium">
        <color rgb="FF009FDF"/>
      </top>
      <bottom style="medium">
        <color rgb="FF009FD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cellStyleXfs>
  <cellXfs count="237">
    <xf numFmtId="0" fontId="0" fillId="0" borderId="0" xfId="0"/>
    <xf numFmtId="49" fontId="0" fillId="4" borderId="7" xfId="0" applyNumberFormat="1" applyFill="1" applyBorder="1" applyAlignment="1">
      <alignment horizontal="left"/>
    </xf>
    <xf numFmtId="49" fontId="0" fillId="0" borderId="7" xfId="0" applyNumberFormat="1" applyBorder="1" applyAlignment="1">
      <alignment horizontal="left"/>
    </xf>
    <xf numFmtId="0" fontId="0" fillId="4" borderId="7" xfId="0" applyFill="1" applyBorder="1" applyAlignment="1">
      <alignment horizontal="left"/>
    </xf>
    <xf numFmtId="0" fontId="0" fillId="0" borderId="7" xfId="0" applyBorder="1" applyAlignment="1">
      <alignment horizontal="left"/>
    </xf>
    <xf numFmtId="3" fontId="0" fillId="4" borderId="7" xfId="2" applyNumberFormat="1" applyFont="1" applyFill="1" applyBorder="1" applyAlignment="1">
      <alignment horizontal="right"/>
    </xf>
    <xf numFmtId="167" fontId="0" fillId="4" borderId="7" xfId="1" applyNumberFormat="1" applyFont="1" applyFill="1" applyBorder="1"/>
    <xf numFmtId="9" fontId="7" fillId="4" borderId="7" xfId="1" applyFont="1" applyFill="1" applyBorder="1" applyAlignment="1">
      <alignment horizontal="left"/>
    </xf>
    <xf numFmtId="0" fontId="7" fillId="4" borderId="7" xfId="0" applyFont="1" applyFill="1" applyBorder="1" applyAlignment="1">
      <alignment horizontal="left"/>
    </xf>
    <xf numFmtId="165" fontId="7" fillId="4" borderId="7" xfId="2" applyNumberFormat="1" applyFont="1" applyFill="1" applyBorder="1" applyAlignment="1">
      <alignment horizontal="left"/>
    </xf>
    <xf numFmtId="3" fontId="0" fillId="0" borderId="7" xfId="2" applyNumberFormat="1" applyFont="1" applyBorder="1" applyAlignment="1">
      <alignment horizontal="right"/>
    </xf>
    <xf numFmtId="167" fontId="0" fillId="0" borderId="7" xfId="1" applyNumberFormat="1" applyFont="1" applyBorder="1"/>
    <xf numFmtId="9" fontId="7" fillId="0" borderId="7" xfId="1" applyFont="1" applyBorder="1" applyAlignment="1">
      <alignment horizontal="left"/>
    </xf>
    <xf numFmtId="0" fontId="7" fillId="0" borderId="7" xfId="0" applyFont="1" applyBorder="1" applyAlignment="1">
      <alignment horizontal="left"/>
    </xf>
    <xf numFmtId="165" fontId="7" fillId="0" borderId="7" xfId="2" applyNumberFormat="1" applyFont="1" applyBorder="1" applyAlignment="1">
      <alignment horizontal="left"/>
    </xf>
    <xf numFmtId="3" fontId="0" fillId="4" borderId="7" xfId="0" applyNumberFormat="1" applyFill="1" applyBorder="1" applyAlignment="1">
      <alignment horizontal="right"/>
    </xf>
    <xf numFmtId="167" fontId="0" fillId="4" borderId="7" xfId="1" applyNumberFormat="1" applyFont="1" applyFill="1" applyBorder="1" applyAlignment="1">
      <alignment horizontal="right"/>
    </xf>
    <xf numFmtId="3" fontId="0" fillId="4" borderId="7" xfId="2" applyNumberFormat="1" applyFont="1" applyFill="1" applyBorder="1" applyAlignment="1">
      <alignment horizontal="left"/>
    </xf>
    <xf numFmtId="9" fontId="7" fillId="4" borderId="7" xfId="0" applyNumberFormat="1" applyFont="1" applyFill="1" applyBorder="1" applyAlignment="1">
      <alignment horizontal="left"/>
    </xf>
    <xf numFmtId="3" fontId="0" fillId="0" borderId="7" xfId="0" applyNumberFormat="1" applyBorder="1" applyAlignment="1">
      <alignment horizontal="right"/>
    </xf>
    <xf numFmtId="167" fontId="0" fillId="0" borderId="7" xfId="1" applyNumberFormat="1" applyFont="1" applyBorder="1" applyAlignment="1">
      <alignment horizontal="right"/>
    </xf>
    <xf numFmtId="3" fontId="0" fillId="0" borderId="7" xfId="2" applyNumberFormat="1" applyFont="1" applyBorder="1" applyAlignment="1">
      <alignment horizontal="left"/>
    </xf>
    <xf numFmtId="9" fontId="7" fillId="0" borderId="7" xfId="0" applyNumberFormat="1" applyFont="1" applyBorder="1" applyAlignment="1">
      <alignment horizontal="left"/>
    </xf>
    <xf numFmtId="0" fontId="1" fillId="5" borderId="7"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0" xfId="0" applyFont="1" applyFill="1" applyAlignment="1">
      <alignment horizontal="center" vertical="center" wrapText="1"/>
    </xf>
    <xf numFmtId="165" fontId="0" fillId="0" borderId="0" xfId="0" applyNumberFormat="1"/>
    <xf numFmtId="0" fontId="3" fillId="0" borderId="0" xfId="0" applyFont="1"/>
    <xf numFmtId="0" fontId="0" fillId="0" borderId="9" xfId="0" applyBorder="1"/>
    <xf numFmtId="1" fontId="0" fillId="0" borderId="9" xfId="0" applyNumberFormat="1" applyBorder="1"/>
    <xf numFmtId="1" fontId="0" fillId="0" borderId="10" xfId="0" applyNumberFormat="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6" borderId="0" xfId="0" applyFill="1"/>
    <xf numFmtId="0" fontId="0" fillId="0" borderId="0" xfId="0" applyAlignment="1">
      <alignment vertical="top" wrapText="1"/>
    </xf>
    <xf numFmtId="2" fontId="0" fillId="0" borderId="0" xfId="0" applyNumberFormat="1"/>
    <xf numFmtId="0" fontId="10" fillId="0" borderId="0" xfId="0" applyFont="1"/>
    <xf numFmtId="0" fontId="3" fillId="6" borderId="8" xfId="0" applyFont="1" applyFill="1" applyBorder="1" applyAlignment="1">
      <alignment horizontal="right"/>
    </xf>
    <xf numFmtId="0" fontId="0" fillId="9" borderId="0" xfId="0" applyFill="1"/>
    <xf numFmtId="0" fontId="0" fillId="0" borderId="0" xfId="0" applyAlignment="1">
      <alignment horizontal="left"/>
    </xf>
    <xf numFmtId="0" fontId="0" fillId="9" borderId="0" xfId="0" applyFill="1" applyAlignment="1">
      <alignment horizontal="left"/>
    </xf>
    <xf numFmtId="0" fontId="11" fillId="0" borderId="0" xfId="0" applyFont="1" applyAlignment="1">
      <alignment horizontal="left"/>
    </xf>
    <xf numFmtId="0" fontId="5" fillId="6" borderId="0" xfId="0" applyFont="1" applyFill="1" applyAlignment="1">
      <alignment vertical="center"/>
    </xf>
    <xf numFmtId="0" fontId="12" fillId="6" borderId="0" xfId="0" applyFont="1" applyFill="1" applyAlignment="1">
      <alignment vertical="center"/>
    </xf>
    <xf numFmtId="0" fontId="5" fillId="6" borderId="1" xfId="0" applyFont="1" applyFill="1" applyBorder="1" applyAlignment="1">
      <alignment vertical="center"/>
    </xf>
    <xf numFmtId="0" fontId="12" fillId="6" borderId="14" xfId="1" applyNumberFormat="1" applyFont="1" applyFill="1" applyBorder="1" applyAlignment="1">
      <alignment horizontal="center" vertical="center"/>
    </xf>
    <xf numFmtId="0" fontId="12" fillId="6" borderId="0" xfId="1" applyNumberFormat="1" applyFont="1" applyFill="1" applyBorder="1" applyAlignment="1">
      <alignment horizontal="center" vertical="center"/>
    </xf>
    <xf numFmtId="0" fontId="4" fillId="0" borderId="0" xfId="0" applyFont="1" applyAlignment="1">
      <alignment horizontal="left"/>
    </xf>
    <xf numFmtId="0" fontId="12" fillId="0" borderId="0" xfId="0" applyFont="1" applyAlignment="1">
      <alignment vertical="center"/>
    </xf>
    <xf numFmtId="14" fontId="0" fillId="0" borderId="0" xfId="0" applyNumberFormat="1"/>
    <xf numFmtId="0" fontId="12" fillId="6" borderId="0" xfId="0" applyFont="1" applyFill="1" applyAlignment="1">
      <alignment horizontal="left" vertical="center" indent="1"/>
    </xf>
    <xf numFmtId="168" fontId="12" fillId="6" borderId="0" xfId="2" applyNumberFormat="1" applyFont="1" applyFill="1" applyBorder="1" applyAlignment="1">
      <alignment horizontal="center" vertical="center"/>
    </xf>
    <xf numFmtId="3" fontId="12" fillId="6" borderId="0" xfId="1" applyNumberFormat="1" applyFont="1" applyFill="1" applyBorder="1" applyAlignment="1">
      <alignment horizontal="center" vertical="center"/>
    </xf>
    <xf numFmtId="1" fontId="5" fillId="6" borderId="0" xfId="0" applyNumberFormat="1" applyFont="1" applyFill="1" applyAlignment="1">
      <alignment vertical="center"/>
    </xf>
    <xf numFmtId="9" fontId="12" fillId="6" borderId="0" xfId="1" applyFont="1" applyFill="1" applyBorder="1" applyAlignment="1">
      <alignment horizontal="center" vertical="center"/>
    </xf>
    <xf numFmtId="0" fontId="0" fillId="0" borderId="0" xfId="1" applyNumberFormat="1" applyFont="1"/>
    <xf numFmtId="9" fontId="15" fillId="6" borderId="14" xfId="1" applyFont="1" applyFill="1" applyBorder="1" applyAlignment="1">
      <alignment horizontal="center" vertical="center"/>
    </xf>
    <xf numFmtId="0" fontId="19" fillId="0" borderId="0" xfId="0" applyFont="1"/>
    <xf numFmtId="0" fontId="15" fillId="6" borderId="0" xfId="0" applyFont="1" applyFill="1" applyAlignment="1">
      <alignment horizontal="left" vertical="center" indent="1"/>
    </xf>
    <xf numFmtId="0" fontId="6" fillId="6" borderId="0" xfId="0" applyFont="1" applyFill="1" applyAlignment="1">
      <alignment vertical="center"/>
    </xf>
    <xf numFmtId="0" fontId="20" fillId="0" borderId="0" xfId="0" applyFont="1"/>
    <xf numFmtId="0" fontId="21" fillId="6" borderId="0" xfId="0" applyFont="1" applyFill="1" applyAlignment="1">
      <alignment horizontal="left" vertical="top" wrapText="1"/>
    </xf>
    <xf numFmtId="0" fontId="29" fillId="6" borderId="15" xfId="0" applyFont="1" applyFill="1" applyBorder="1" applyAlignment="1">
      <alignment horizontal="center" vertical="center" wrapText="1"/>
    </xf>
    <xf numFmtId="0" fontId="6" fillId="9" borderId="0" xfId="0" applyFont="1" applyFill="1" applyAlignment="1">
      <alignment horizontal="left" vertical="center"/>
    </xf>
    <xf numFmtId="0" fontId="5" fillId="9" borderId="0" xfId="0" applyFont="1" applyFill="1" applyAlignment="1">
      <alignment vertical="center"/>
    </xf>
    <xf numFmtId="0" fontId="15" fillId="9" borderId="0" xfId="0" applyFont="1" applyFill="1" applyAlignment="1">
      <alignment horizontal="left" vertical="center" indent="1"/>
    </xf>
    <xf numFmtId="0" fontId="12" fillId="9" borderId="0" xfId="0" applyFont="1" applyFill="1" applyAlignment="1">
      <alignment vertical="center"/>
    </xf>
    <xf numFmtId="0" fontId="15" fillId="9" borderId="0" xfId="0" applyFont="1" applyFill="1" applyAlignment="1">
      <alignment vertical="center"/>
    </xf>
    <xf numFmtId="0" fontId="18" fillId="9" borderId="0" xfId="0" applyFont="1" applyFill="1" applyAlignment="1">
      <alignment horizontal="left" vertical="center" indent="1"/>
    </xf>
    <xf numFmtId="0" fontId="17" fillId="9" borderId="0" xfId="0" applyFont="1" applyFill="1" applyAlignment="1">
      <alignment horizontal="left" indent="1"/>
    </xf>
    <xf numFmtId="0" fontId="12" fillId="9" borderId="0" xfId="0" applyFont="1" applyFill="1" applyAlignment="1">
      <alignment horizontal="left" vertical="center" indent="1"/>
    </xf>
    <xf numFmtId="0" fontId="11" fillId="9" borderId="0" xfId="0" applyFont="1" applyFill="1" applyAlignment="1">
      <alignment horizontal="left"/>
    </xf>
    <xf numFmtId="0" fontId="30" fillId="0" borderId="0" xfId="0" applyFont="1"/>
    <xf numFmtId="9" fontId="15" fillId="6" borderId="0" xfId="1" applyFont="1" applyFill="1" applyBorder="1" applyAlignment="1">
      <alignment horizontal="center" vertical="center"/>
    </xf>
    <xf numFmtId="1" fontId="12" fillId="6" borderId="0" xfId="1" applyNumberFormat="1" applyFont="1" applyFill="1" applyBorder="1" applyAlignment="1">
      <alignment horizontal="center" vertical="center"/>
    </xf>
    <xf numFmtId="0" fontId="15" fillId="6" borderId="14" xfId="1" applyNumberFormat="1" applyFont="1" applyFill="1" applyBorder="1" applyAlignment="1">
      <alignment horizontal="center" vertical="center"/>
    </xf>
    <xf numFmtId="0" fontId="15" fillId="6" borderId="0" xfId="1" applyNumberFormat="1" applyFont="1" applyFill="1" applyBorder="1" applyAlignment="1">
      <alignment horizontal="center" vertical="center"/>
    </xf>
    <xf numFmtId="3" fontId="15" fillId="6" borderId="14" xfId="1" applyNumberFormat="1" applyFont="1" applyFill="1" applyBorder="1" applyAlignment="1">
      <alignment horizontal="center" vertical="center"/>
    </xf>
    <xf numFmtId="3" fontId="15" fillId="6" borderId="0" xfId="1" applyNumberFormat="1" applyFont="1" applyFill="1" applyBorder="1" applyAlignment="1">
      <alignment horizontal="center" vertical="center"/>
    </xf>
    <xf numFmtId="0" fontId="3" fillId="7" borderId="16" xfId="0" applyFont="1" applyFill="1" applyBorder="1" applyAlignment="1">
      <alignment horizontal="center"/>
    </xf>
    <xf numFmtId="0" fontId="0" fillId="6" borderId="17" xfId="0" applyFill="1" applyBorder="1"/>
    <xf numFmtId="0" fontId="3" fillId="7" borderId="18" xfId="0" applyFont="1" applyFill="1" applyBorder="1" applyAlignment="1">
      <alignment horizontal="center"/>
    </xf>
    <xf numFmtId="0" fontId="0" fillId="6" borderId="19" xfId="0" applyFill="1" applyBorder="1"/>
    <xf numFmtId="1" fontId="0" fillId="6" borderId="19" xfId="0" applyNumberFormat="1" applyFill="1" applyBorder="1"/>
    <xf numFmtId="0" fontId="3" fillId="7" borderId="20" xfId="0" applyFont="1" applyFill="1" applyBorder="1" applyAlignment="1">
      <alignment horizontal="center"/>
    </xf>
    <xf numFmtId="1" fontId="0" fillId="6" borderId="21" xfId="0" applyNumberFormat="1" applyFill="1" applyBorder="1"/>
    <xf numFmtId="0" fontId="3" fillId="2" borderId="16" xfId="0" applyFont="1" applyFill="1" applyBorder="1" applyAlignment="1">
      <alignment horizontal="center"/>
    </xf>
    <xf numFmtId="0" fontId="3" fillId="2" borderId="18" xfId="0" applyFont="1" applyFill="1" applyBorder="1" applyAlignment="1">
      <alignment horizontal="center"/>
    </xf>
    <xf numFmtId="0" fontId="0" fillId="0" borderId="19" xfId="0" applyBorder="1" applyAlignment="1">
      <alignment horizontal="right"/>
    </xf>
    <xf numFmtId="0" fontId="0" fillId="11" borderId="19" xfId="0" applyFill="1" applyBorder="1" applyAlignment="1">
      <alignment horizontal="right"/>
    </xf>
    <xf numFmtId="0" fontId="0" fillId="8" borderId="19" xfId="0" applyFill="1" applyBorder="1" applyAlignment="1">
      <alignment horizontal="right"/>
    </xf>
    <xf numFmtId="0" fontId="0" fillId="8" borderId="19" xfId="1" applyNumberFormat="1" applyFont="1" applyFill="1" applyBorder="1" applyAlignment="1">
      <alignment horizontal="right"/>
    </xf>
    <xf numFmtId="0" fontId="3" fillId="2" borderId="20" xfId="0" applyFont="1" applyFill="1" applyBorder="1" applyAlignment="1">
      <alignment horizontal="center"/>
    </xf>
    <xf numFmtId="1" fontId="0" fillId="8" borderId="21" xfId="1" applyNumberFormat="1" applyFont="1" applyFill="1" applyBorder="1" applyAlignment="1">
      <alignment horizontal="right"/>
    </xf>
    <xf numFmtId="3" fontId="12" fillId="6" borderId="14" xfId="1" applyNumberFormat="1" applyFont="1" applyFill="1" applyBorder="1" applyAlignment="1">
      <alignment horizontal="center" vertical="center"/>
    </xf>
    <xf numFmtId="169" fontId="12" fillId="6" borderId="14" xfId="1" applyNumberFormat="1" applyFont="1" applyFill="1" applyBorder="1" applyAlignment="1">
      <alignment horizontal="center" vertical="center"/>
    </xf>
    <xf numFmtId="0" fontId="34" fillId="6" borderId="0" xfId="0" applyFont="1" applyFill="1" applyAlignment="1">
      <alignment horizontal="left" vertical="top" wrapText="1"/>
    </xf>
    <xf numFmtId="1" fontId="0" fillId="11" borderId="19" xfId="0" applyNumberFormat="1" applyFill="1" applyBorder="1" applyAlignment="1">
      <alignment horizontal="right"/>
    </xf>
    <xf numFmtId="0" fontId="32" fillId="6" borderId="0" xfId="0" applyFont="1" applyFill="1" applyAlignment="1">
      <alignment horizontal="left" vertical="top"/>
    </xf>
    <xf numFmtId="0" fontId="33" fillId="6" borderId="0" xfId="0" applyFont="1" applyFill="1" applyAlignment="1">
      <alignment horizontal="left" vertical="top" wrapText="1"/>
    </xf>
    <xf numFmtId="0" fontId="24" fillId="6" borderId="0" xfId="0" applyFont="1" applyFill="1" applyAlignment="1">
      <alignment horizontal="left" vertical="top" wrapText="1"/>
    </xf>
    <xf numFmtId="0" fontId="0" fillId="0" borderId="0" xfId="0" applyAlignment="1">
      <alignment vertical="top"/>
    </xf>
    <xf numFmtId="0" fontId="14" fillId="0" borderId="0" xfId="0" applyFont="1" applyAlignment="1">
      <alignment vertical="top"/>
    </xf>
    <xf numFmtId="0" fontId="4" fillId="0" borderId="0" xfId="0" applyFont="1" applyAlignment="1">
      <alignment horizontal="left" vertical="top"/>
    </xf>
    <xf numFmtId="0" fontId="0" fillId="9" borderId="0" xfId="0" applyFill="1" applyAlignment="1">
      <alignment vertical="top"/>
    </xf>
    <xf numFmtId="0" fontId="6" fillId="10" borderId="25" xfId="0" applyFont="1" applyFill="1" applyBorder="1" applyAlignment="1">
      <alignment vertical="center"/>
    </xf>
    <xf numFmtId="0" fontId="6" fillId="10" borderId="26" xfId="0" applyFont="1" applyFill="1" applyBorder="1" applyAlignment="1">
      <alignment vertical="center"/>
    </xf>
    <xf numFmtId="0" fontId="6" fillId="10" borderId="26" xfId="0" applyFont="1" applyFill="1" applyBorder="1" applyAlignment="1">
      <alignment horizontal="center" vertical="center"/>
    </xf>
    <xf numFmtId="0" fontId="6" fillId="10" borderId="8" xfId="0" applyFont="1" applyFill="1" applyBorder="1" applyAlignment="1">
      <alignment horizontal="center" vertical="center"/>
    </xf>
    <xf numFmtId="0" fontId="5" fillId="6" borderId="27" xfId="0" applyFont="1" applyFill="1" applyBorder="1" applyAlignment="1">
      <alignment vertical="center"/>
    </xf>
    <xf numFmtId="0" fontId="5" fillId="6" borderId="28" xfId="0" applyFont="1" applyFill="1" applyBorder="1" applyAlignment="1">
      <alignment vertical="center"/>
    </xf>
    <xf numFmtId="0" fontId="15" fillId="6" borderId="2" xfId="0" applyFont="1" applyFill="1" applyBorder="1" applyAlignment="1">
      <alignment horizontal="left" vertical="center" indent="1"/>
    </xf>
    <xf numFmtId="0" fontId="5" fillId="6" borderId="3" xfId="0" applyFont="1" applyFill="1" applyBorder="1" applyAlignment="1">
      <alignment vertical="center"/>
    </xf>
    <xf numFmtId="0" fontId="16" fillId="6" borderId="2" xfId="0" applyFont="1" applyFill="1" applyBorder="1" applyAlignment="1">
      <alignment vertical="center"/>
    </xf>
    <xf numFmtId="0" fontId="15" fillId="6" borderId="0" xfId="0" applyFont="1" applyFill="1" applyAlignment="1">
      <alignment vertical="center"/>
    </xf>
    <xf numFmtId="0" fontId="12" fillId="6" borderId="3" xfId="0" applyFont="1" applyFill="1" applyBorder="1" applyAlignment="1">
      <alignment horizontal="left" vertical="center" indent="1"/>
    </xf>
    <xf numFmtId="0" fontId="12" fillId="6" borderId="4" xfId="0" applyFont="1" applyFill="1" applyBorder="1" applyAlignment="1">
      <alignment horizontal="left" vertical="center" indent="1"/>
    </xf>
    <xf numFmtId="0" fontId="5" fillId="6" borderId="5" xfId="0" applyFont="1" applyFill="1" applyBorder="1" applyAlignment="1">
      <alignment vertical="center"/>
    </xf>
    <xf numFmtId="1" fontId="12" fillId="6" borderId="5" xfId="1" applyNumberFormat="1" applyFont="1" applyFill="1" applyBorder="1" applyAlignment="1">
      <alignment horizontal="center" vertical="center"/>
    </xf>
    <xf numFmtId="0" fontId="5" fillId="6" borderId="6" xfId="0" applyFont="1" applyFill="1" applyBorder="1" applyAlignment="1">
      <alignment vertical="center"/>
    </xf>
    <xf numFmtId="0" fontId="6" fillId="10" borderId="25" xfId="0" applyFont="1" applyFill="1" applyBorder="1" applyAlignment="1">
      <alignment horizontal="left" vertical="center"/>
    </xf>
    <xf numFmtId="0" fontId="6" fillId="10" borderId="26" xfId="0" applyFont="1" applyFill="1" applyBorder="1" applyAlignment="1">
      <alignment horizontal="left" vertical="center"/>
    </xf>
    <xf numFmtId="0" fontId="15" fillId="6" borderId="2" xfId="0" applyFont="1" applyFill="1" applyBorder="1" applyAlignment="1">
      <alignment vertical="center"/>
    </xf>
    <xf numFmtId="0" fontId="12" fillId="6" borderId="3" xfId="0" applyFont="1" applyFill="1" applyBorder="1" applyAlignment="1">
      <alignment vertical="center"/>
    </xf>
    <xf numFmtId="0" fontId="22" fillId="6" borderId="2" xfId="0" applyFont="1" applyFill="1" applyBorder="1" applyAlignment="1">
      <alignment horizontal="left" vertical="center" indent="1"/>
    </xf>
    <xf numFmtId="0" fontId="17" fillId="0" borderId="2" xfId="0" applyFont="1" applyBorder="1" applyAlignment="1">
      <alignment horizontal="left" indent="1"/>
    </xf>
    <xf numFmtId="0" fontId="5" fillId="6" borderId="4" xfId="0" applyFont="1" applyFill="1" applyBorder="1" applyAlignment="1">
      <alignment vertical="center"/>
    </xf>
    <xf numFmtId="3" fontId="15" fillId="6" borderId="0" xfId="0" applyNumberFormat="1" applyFont="1" applyFill="1" applyAlignment="1">
      <alignment vertical="center"/>
    </xf>
    <xf numFmtId="166" fontId="0" fillId="0" borderId="0" xfId="0" applyNumberFormat="1"/>
    <xf numFmtId="168" fontId="15" fillId="6" borderId="14" xfId="2" applyNumberFormat="1" applyFont="1" applyFill="1" applyBorder="1" applyAlignment="1">
      <alignment horizontal="center" vertical="center"/>
    </xf>
    <xf numFmtId="168" fontId="15" fillId="6" borderId="14" xfId="1" applyNumberFormat="1" applyFont="1" applyFill="1" applyBorder="1" applyAlignment="1">
      <alignment horizontal="center" vertical="center"/>
    </xf>
    <xf numFmtId="0" fontId="0" fillId="12" borderId="0" xfId="0" applyFill="1"/>
    <xf numFmtId="0" fontId="0" fillId="12" borderId="0" xfId="0" applyFill="1" applyAlignment="1">
      <alignment horizontal="left"/>
    </xf>
    <xf numFmtId="0" fontId="29" fillId="6" borderId="0" xfId="0" applyFont="1" applyFill="1" applyAlignment="1">
      <alignment horizontal="center" vertical="center" wrapText="1"/>
    </xf>
    <xf numFmtId="0" fontId="0" fillId="6" borderId="0" xfId="0" applyFill="1" applyAlignment="1">
      <alignment horizontal="left"/>
    </xf>
    <xf numFmtId="0" fontId="40" fillId="6" borderId="0" xfId="0" applyFont="1" applyFill="1"/>
    <xf numFmtId="0" fontId="39" fillId="6" borderId="0" xfId="0" applyFont="1" applyFill="1" applyAlignment="1">
      <alignment horizontal="left"/>
    </xf>
    <xf numFmtId="0" fontId="40" fillId="6" borderId="0" xfId="0" applyFont="1" applyFill="1" applyAlignment="1">
      <alignment horizontal="center"/>
    </xf>
    <xf numFmtId="0" fontId="0" fillId="13" borderId="0" xfId="0" applyFill="1" applyAlignment="1">
      <alignment horizontal="left"/>
    </xf>
    <xf numFmtId="0" fontId="37" fillId="13" borderId="0" xfId="0" applyFont="1" applyFill="1" applyAlignment="1">
      <alignment horizontal="left" indent="2"/>
    </xf>
    <xf numFmtId="0" fontId="0" fillId="13" borderId="0" xfId="0" applyFill="1"/>
    <xf numFmtId="0" fontId="40" fillId="13" borderId="0" xfId="0" applyFont="1" applyFill="1"/>
    <xf numFmtId="0" fontId="39" fillId="13" borderId="0" xfId="0" applyFont="1" applyFill="1" applyAlignment="1">
      <alignment horizontal="left"/>
    </xf>
    <xf numFmtId="0" fontId="39" fillId="13" borderId="0" xfId="0" applyFont="1" applyFill="1"/>
    <xf numFmtId="0" fontId="39" fillId="13" borderId="0" xfId="0" applyFont="1" applyFill="1" applyAlignment="1">
      <alignment horizontal="right"/>
    </xf>
    <xf numFmtId="0" fontId="37" fillId="13" borderId="0" xfId="0" applyFont="1" applyFill="1" applyAlignment="1">
      <alignment horizontal="left"/>
    </xf>
    <xf numFmtId="0" fontId="0" fillId="14" borderId="0" xfId="0" applyFill="1"/>
    <xf numFmtId="0" fontId="0" fillId="14" borderId="0" xfId="0" applyFill="1" applyAlignment="1">
      <alignment horizontal="left"/>
    </xf>
    <xf numFmtId="0" fontId="39" fillId="14" borderId="0" xfId="0" applyFont="1" applyFill="1"/>
    <xf numFmtId="0" fontId="39" fillId="14" borderId="0" xfId="0" applyFont="1" applyFill="1" applyAlignment="1">
      <alignment horizontal="left"/>
    </xf>
    <xf numFmtId="0" fontId="39" fillId="14" borderId="0" xfId="0" applyFont="1" applyFill="1" applyAlignment="1">
      <alignment horizontal="center"/>
    </xf>
    <xf numFmtId="0" fontId="39" fillId="14" borderId="0" xfId="0" applyFont="1" applyFill="1" applyAlignment="1">
      <alignment horizontal="left" indent="6"/>
    </xf>
    <xf numFmtId="0" fontId="3" fillId="14" borderId="0" xfId="0" applyFont="1" applyFill="1" applyAlignment="1">
      <alignment horizontal="left"/>
    </xf>
    <xf numFmtId="0" fontId="37" fillId="14" borderId="0" xfId="0" applyFont="1" applyFill="1" applyAlignment="1">
      <alignment horizontal="left"/>
    </xf>
    <xf numFmtId="0" fontId="39" fillId="14" borderId="0" xfId="0" applyFont="1" applyFill="1" applyAlignment="1">
      <alignment horizontal="right"/>
    </xf>
    <xf numFmtId="0" fontId="41" fillId="14" borderId="0" xfId="0" applyFont="1" applyFill="1" applyAlignment="1">
      <alignment horizontal="right"/>
    </xf>
    <xf numFmtId="0" fontId="41" fillId="14" borderId="0" xfId="0" applyFont="1" applyFill="1"/>
    <xf numFmtId="170" fontId="39" fillId="14" borderId="0" xfId="0" applyNumberFormat="1" applyFont="1" applyFill="1" applyAlignment="1">
      <alignment horizontal="center"/>
    </xf>
    <xf numFmtId="164" fontId="39" fillId="14" borderId="0" xfId="0" applyNumberFormat="1" applyFont="1" applyFill="1" applyAlignment="1">
      <alignment horizontal="center"/>
    </xf>
    <xf numFmtId="171" fontId="39" fillId="14" borderId="0" xfId="0" applyNumberFormat="1" applyFont="1" applyFill="1" applyAlignment="1">
      <alignment horizontal="center"/>
    </xf>
    <xf numFmtId="0" fontId="0" fillId="0" borderId="0" xfId="0" applyAlignment="1">
      <alignment vertical="center"/>
    </xf>
    <xf numFmtId="0" fontId="3" fillId="15" borderId="29" xfId="0" applyFont="1" applyFill="1" applyBorder="1" applyAlignment="1">
      <alignment horizontal="center"/>
    </xf>
    <xf numFmtId="0" fontId="3" fillId="16" borderId="30" xfId="0" applyFont="1" applyFill="1" applyBorder="1" applyAlignment="1">
      <alignment horizontal="center"/>
    </xf>
    <xf numFmtId="0" fontId="3" fillId="17" borderId="31" xfId="0" applyFont="1" applyFill="1" applyBorder="1" applyAlignment="1">
      <alignment horizontal="center"/>
    </xf>
    <xf numFmtId="0" fontId="3" fillId="18" borderId="31" xfId="0" applyFont="1" applyFill="1" applyBorder="1" applyAlignment="1">
      <alignment horizontal="center"/>
    </xf>
    <xf numFmtId="0" fontId="0" fillId="15" borderId="29" xfId="0" applyFill="1" applyBorder="1" applyAlignment="1">
      <alignment horizontal="center"/>
    </xf>
    <xf numFmtId="0" fontId="0" fillId="16" borderId="29" xfId="0" applyFill="1" applyBorder="1" applyAlignment="1">
      <alignment horizontal="center"/>
    </xf>
    <xf numFmtId="0" fontId="0" fillId="17" borderId="29" xfId="0" applyFill="1" applyBorder="1" applyAlignment="1">
      <alignment horizontal="center"/>
    </xf>
    <xf numFmtId="0" fontId="0" fillId="17" borderId="29" xfId="0" applyFill="1" applyBorder="1" applyAlignment="1">
      <alignment horizontal="center" vertical="center"/>
    </xf>
    <xf numFmtId="0" fontId="0" fillId="18" borderId="29" xfId="0" applyFill="1" applyBorder="1" applyAlignment="1">
      <alignment horizontal="center" vertical="center"/>
    </xf>
    <xf numFmtId="0" fontId="0" fillId="19" borderId="29" xfId="0" applyFill="1" applyBorder="1" applyAlignment="1">
      <alignment horizontal="center" vertical="center"/>
    </xf>
    <xf numFmtId="0" fontId="3" fillId="20" borderId="0" xfId="0" applyFont="1" applyFill="1" applyAlignment="1">
      <alignment horizontal="center"/>
    </xf>
    <xf numFmtId="0" fontId="0" fillId="15" borderId="29" xfId="3" applyNumberFormat="1" applyFont="1" applyFill="1" applyBorder="1" applyAlignment="1">
      <alignment horizontal="center"/>
    </xf>
    <xf numFmtId="0" fontId="0" fillId="15" borderId="33" xfId="3" applyNumberFormat="1" applyFont="1" applyFill="1" applyBorder="1" applyAlignment="1">
      <alignment horizontal="center"/>
    </xf>
    <xf numFmtId="0" fontId="0" fillId="16" borderId="33" xfId="0" applyFill="1" applyBorder="1" applyAlignment="1">
      <alignment horizontal="center"/>
    </xf>
    <xf numFmtId="9" fontId="0" fillId="16" borderId="33" xfId="1" applyFont="1" applyFill="1" applyBorder="1" applyAlignment="1">
      <alignment horizontal="center"/>
    </xf>
    <xf numFmtId="0" fontId="0" fillId="17" borderId="33" xfId="0" applyFill="1" applyBorder="1" applyAlignment="1">
      <alignment horizontal="center"/>
    </xf>
    <xf numFmtId="0" fontId="0" fillId="17" borderId="33" xfId="0" applyFill="1" applyBorder="1" applyAlignment="1">
      <alignment horizontal="center" vertical="center"/>
    </xf>
    <xf numFmtId="0" fontId="0" fillId="18" borderId="33" xfId="0" applyFill="1" applyBorder="1" applyAlignment="1">
      <alignment horizontal="center" vertical="center"/>
    </xf>
    <xf numFmtId="0" fontId="0" fillId="19" borderId="33" xfId="0" applyFill="1" applyBorder="1" applyAlignment="1">
      <alignment horizontal="center" vertical="center"/>
    </xf>
    <xf numFmtId="0" fontId="44" fillId="20" borderId="32" xfId="0" applyFont="1" applyFill="1" applyBorder="1" applyAlignment="1">
      <alignment horizontal="center" vertical="center"/>
    </xf>
    <xf numFmtId="0" fontId="44" fillId="20" borderId="29" xfId="0" applyFont="1" applyFill="1" applyBorder="1" applyAlignment="1">
      <alignment horizontal="center" vertical="center"/>
    </xf>
    <xf numFmtId="0" fontId="44" fillId="16" borderId="29" xfId="0" applyFont="1" applyFill="1" applyBorder="1" applyAlignment="1">
      <alignment horizontal="center" vertical="center"/>
    </xf>
    <xf numFmtId="0" fontId="44" fillId="17" borderId="29" xfId="0" applyFont="1" applyFill="1" applyBorder="1" applyAlignment="1">
      <alignment horizontal="center" vertical="center"/>
    </xf>
    <xf numFmtId="0" fontId="44" fillId="18" borderId="29" xfId="0" applyFont="1" applyFill="1" applyBorder="1" applyAlignment="1">
      <alignment horizontal="center" vertical="center"/>
    </xf>
    <xf numFmtId="0" fontId="44" fillId="19" borderId="29" xfId="0" applyFont="1" applyFill="1" applyBorder="1" applyAlignment="1">
      <alignment horizontal="center" vertical="center"/>
    </xf>
    <xf numFmtId="0" fontId="7" fillId="0" borderId="32" xfId="0" applyFont="1" applyBorder="1"/>
    <xf numFmtId="0" fontId="0" fillId="0" borderId="29" xfId="0" applyBorder="1"/>
    <xf numFmtId="1" fontId="7" fillId="0" borderId="29" xfId="0" applyNumberFormat="1" applyFont="1" applyBorder="1"/>
    <xf numFmtId="3" fontId="0" fillId="0" borderId="29" xfId="0" applyNumberFormat="1" applyBorder="1"/>
    <xf numFmtId="9" fontId="0" fillId="0" borderId="29" xfId="1" applyFont="1" applyBorder="1"/>
    <xf numFmtId="9" fontId="0" fillId="0" borderId="29" xfId="0" applyNumberFormat="1" applyBorder="1"/>
    <xf numFmtId="9" fontId="0" fillId="0" borderId="34" xfId="1" applyFont="1" applyBorder="1"/>
    <xf numFmtId="9" fontId="0" fillId="0" borderId="34" xfId="0" applyNumberFormat="1" applyBorder="1"/>
    <xf numFmtId="0" fontId="0" fillId="0" borderId="32" xfId="0" applyBorder="1"/>
    <xf numFmtId="1" fontId="0" fillId="0" borderId="29" xfId="0" applyNumberFormat="1" applyBorder="1"/>
    <xf numFmtId="0" fontId="0" fillId="21" borderId="29" xfId="0" applyFill="1" applyBorder="1"/>
    <xf numFmtId="1" fontId="0" fillId="21" borderId="29" xfId="0" applyNumberFormat="1" applyFill="1" applyBorder="1"/>
    <xf numFmtId="0" fontId="0" fillId="0" borderId="29" xfId="0" applyBorder="1" applyAlignment="1">
      <alignment horizontal="right"/>
    </xf>
    <xf numFmtId="1" fontId="0" fillId="0" borderId="0" xfId="0" applyNumberFormat="1"/>
    <xf numFmtId="9" fontId="0" fillId="0" borderId="0" xfId="1" applyFont="1"/>
    <xf numFmtId="1" fontId="4" fillId="0" borderId="0" xfId="0" applyNumberFormat="1" applyFont="1" applyAlignment="1">
      <alignment horizontal="center" vertical="center"/>
    </xf>
    <xf numFmtId="0" fontId="0" fillId="0" borderId="0" xfId="0" applyAlignment="1">
      <alignment horizontal="center" vertical="center"/>
    </xf>
    <xf numFmtId="167" fontId="0" fillId="0" borderId="0" xfId="1" applyNumberFormat="1" applyFont="1"/>
    <xf numFmtId="0" fontId="0" fillId="0" borderId="0" xfId="0">
      <extLst>
        <ext xmlns:xfpb="http://schemas.microsoft.com/office/spreadsheetml/2022/featurepropertybag" uri="{C7286773-470A-42A8-94C5-96B5CB345126}">
          <xfpb:xfComplement i="0"/>
        </ext>
      </extLst>
    </xf>
    <xf numFmtId="0" fontId="46" fillId="6" borderId="0" xfId="4" applyFont="1" applyFill="1" applyAlignment="1">
      <alignment horizontal="left" vertical="center"/>
    </xf>
    <xf numFmtId="0" fontId="22" fillId="6" borderId="3" xfId="0" applyFont="1" applyFill="1" applyBorder="1" applyAlignment="1">
      <alignment horizontal="left" vertical="center" indent="1"/>
    </xf>
    <xf numFmtId="0" fontId="30" fillId="0" borderId="0" xfId="0" applyFont="1" applyAlignment="1">
      <alignment horizontal="right" vertical="center"/>
    </xf>
    <xf numFmtId="0" fontId="32" fillId="6" borderId="0" xfId="0" applyFont="1" applyFill="1" applyAlignment="1">
      <alignment horizontal="left" vertical="center"/>
    </xf>
    <xf numFmtId="3" fontId="0" fillId="11" borderId="19" xfId="0" applyNumberFormat="1" applyFill="1" applyBorder="1" applyAlignment="1">
      <alignment horizontal="right"/>
    </xf>
    <xf numFmtId="2" fontId="0" fillId="6" borderId="19" xfId="0" applyNumberFormat="1" applyFill="1" applyBorder="1"/>
    <xf numFmtId="3" fontId="0" fillId="0" borderId="17" xfId="0" applyNumberFormat="1" applyBorder="1" applyAlignment="1">
      <alignment horizontal="right"/>
    </xf>
    <xf numFmtId="0" fontId="5" fillId="6" borderId="2" xfId="0" applyFont="1" applyFill="1" applyBorder="1" applyAlignment="1">
      <alignment vertical="center"/>
    </xf>
    <xf numFmtId="0" fontId="32" fillId="9" borderId="0" xfId="0" applyFont="1" applyFill="1" applyAlignment="1">
      <alignment horizontal="left" vertical="center"/>
    </xf>
    <xf numFmtId="0" fontId="40" fillId="14" borderId="0" xfId="0" applyFont="1" applyFill="1" applyAlignment="1">
      <alignment horizontal="center"/>
    </xf>
    <xf numFmtId="0" fontId="29" fillId="6" borderId="22"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38" fillId="13" borderId="0" xfId="0" applyFont="1" applyFill="1" applyAlignment="1">
      <alignment horizontal="left"/>
    </xf>
    <xf numFmtId="0" fontId="12" fillId="6" borderId="0" xfId="0" applyFont="1" applyFill="1" applyAlignment="1">
      <alignment horizontal="left" vertical="center" indent="1"/>
    </xf>
    <xf numFmtId="0" fontId="29" fillId="6" borderId="0" xfId="0" applyFont="1" applyFill="1" applyAlignment="1">
      <alignment horizontal="left" vertical="center" wrapText="1"/>
    </xf>
    <xf numFmtId="0" fontId="39" fillId="14" borderId="0" xfId="0" applyFont="1" applyFill="1" applyAlignment="1">
      <alignment horizontal="center"/>
    </xf>
    <xf numFmtId="0" fontId="0" fillId="0" borderId="0" xfId="0" applyAlignment="1">
      <alignment horizontal="left" vertical="top" wrapText="1"/>
    </xf>
    <xf numFmtId="0" fontId="3" fillId="0" borderId="0" xfId="0" applyFont="1" applyAlignment="1">
      <alignment horizontal="center"/>
    </xf>
    <xf numFmtId="0" fontId="3" fillId="19" borderId="30" xfId="0" applyFont="1" applyFill="1" applyBorder="1" applyAlignment="1">
      <alignment horizontal="center"/>
    </xf>
    <xf numFmtId="0" fontId="3" fillId="19" borderId="31" xfId="0" applyFont="1" applyFill="1" applyBorder="1" applyAlignment="1">
      <alignment horizontal="center"/>
    </xf>
    <xf numFmtId="0" fontId="3" fillId="19" borderId="32" xfId="0" applyFont="1" applyFill="1" applyBorder="1" applyAlignment="1">
      <alignment horizontal="center"/>
    </xf>
    <xf numFmtId="0" fontId="3" fillId="20" borderId="29" xfId="0" applyFont="1" applyFill="1" applyBorder="1" applyAlignment="1">
      <alignment horizontal="center"/>
    </xf>
    <xf numFmtId="0" fontId="3" fillId="15" borderId="29" xfId="0" applyFont="1" applyFill="1" applyBorder="1" applyAlignment="1">
      <alignment horizontal="center"/>
    </xf>
    <xf numFmtId="0" fontId="3" fillId="16" borderId="29" xfId="0" applyFont="1" applyFill="1" applyBorder="1" applyAlignment="1">
      <alignment horizontal="center"/>
    </xf>
    <xf numFmtId="0" fontId="3" fillId="17" borderId="30" xfId="0" applyFont="1" applyFill="1" applyBorder="1" applyAlignment="1">
      <alignment horizontal="center"/>
    </xf>
    <xf numFmtId="0" fontId="3" fillId="17" borderId="31" xfId="0" applyFont="1" applyFill="1" applyBorder="1" applyAlignment="1">
      <alignment horizontal="center"/>
    </xf>
    <xf numFmtId="0" fontId="3" fillId="17" borderId="32" xfId="0" applyFont="1" applyFill="1" applyBorder="1" applyAlignment="1">
      <alignment horizontal="center"/>
    </xf>
    <xf numFmtId="0" fontId="3" fillId="18" borderId="30" xfId="0" applyFont="1" applyFill="1" applyBorder="1" applyAlignment="1">
      <alignment horizontal="center"/>
    </xf>
    <xf numFmtId="0" fontId="3" fillId="18" borderId="31" xfId="0" applyFont="1" applyFill="1" applyBorder="1" applyAlignment="1">
      <alignment horizontal="center"/>
    </xf>
    <xf numFmtId="0" fontId="3" fillId="18" borderId="32" xfId="0" applyFont="1" applyFill="1" applyBorder="1" applyAlignment="1">
      <alignment horizontal="center"/>
    </xf>
  </cellXfs>
  <cellStyles count="5">
    <cellStyle name="Comma" xfId="3" builtinId="3"/>
    <cellStyle name="Currency" xfId="2" builtinId="4"/>
    <cellStyle name="Hyperlink" xfId="4" builtinId="8"/>
    <cellStyle name="Normal" xfId="0" builtinId="0"/>
    <cellStyle name="Percent" xfId="1" builtinId="5"/>
  </cellStyles>
  <dxfs count="38">
    <dxf>
      <numFmt numFmtId="19" formatCode="yyyy/mm/dd"/>
    </dxf>
    <dxf>
      <font>
        <color theme="1"/>
      </font>
      <fill>
        <patternFill>
          <bgColor theme="9" tint="0.59996337778862885"/>
        </patternFill>
      </fill>
    </dxf>
    <dxf>
      <fill>
        <patternFill>
          <bgColor rgb="FFFFB3B3"/>
        </patternFill>
      </fill>
    </dxf>
    <dxf>
      <font>
        <b val="0"/>
        <i val="0"/>
        <strike val="0"/>
        <condense val="0"/>
        <extend val="0"/>
        <outline val="0"/>
        <shadow val="0"/>
        <u val="none"/>
        <vertAlign val="baseline"/>
        <sz val="11"/>
        <color theme="1"/>
        <name val="Calibri"/>
        <family val="2"/>
        <scheme val="minor"/>
      </font>
      <numFmt numFmtId="167" formatCode="0.0%"/>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1"/>
        <color auto="1"/>
        <name val="Calibri"/>
        <family val="2"/>
        <scheme val="minor"/>
      </font>
    </dxf>
    <dxf>
      <numFmt numFmtId="166" formatCode="0.00000"/>
    </dxf>
  </dxfs>
  <tableStyles count="0" defaultTableStyle="TableStyleMedium2" defaultPivotStyle="PivotStyleLight16"/>
  <colors>
    <mruColors>
      <color rgb="FF002855"/>
      <color rgb="FF009FDF"/>
      <color rgb="FF002060"/>
      <color rgb="FFFFB3B3"/>
      <color rgb="FFFFC1C1"/>
      <color rgb="FFFFA7A7"/>
      <color rgb="FFFF8585"/>
      <color rgb="FFC6E0B4"/>
      <color rgb="FFE7E6E6"/>
      <color rgb="FFFCC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onnections" Target="connections.xml"/><Relationship Id="rId27" Type="http://schemas.microsoft.com/office/2022/11/relationships/FeaturePropertyBag" Target="featurePropertyBag/featurePropertyBag.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 d'énergie par appareil selon la capacité</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'Économies réelles'!$E$57:$E$187</c:f>
              <c:numCache>
                <c:formatCode>General</c:formatCode>
                <c:ptCount val="131"/>
                <c:pt idx="0">
                  <c:v>55000</c:v>
                </c:pt>
                <c:pt idx="1">
                  <c:v>55000</c:v>
                </c:pt>
                <c:pt idx="2">
                  <c:v>55000</c:v>
                </c:pt>
                <c:pt idx="3">
                  <c:v>55000</c:v>
                </c:pt>
                <c:pt idx="4">
                  <c:v>65000</c:v>
                </c:pt>
                <c:pt idx="5">
                  <c:v>85000</c:v>
                </c:pt>
                <c:pt idx="6">
                  <c:v>85000</c:v>
                </c:pt>
                <c:pt idx="7">
                  <c:v>85000</c:v>
                </c:pt>
                <c:pt idx="8">
                  <c:v>85000</c:v>
                </c:pt>
                <c:pt idx="9">
                  <c:v>110000</c:v>
                </c:pt>
                <c:pt idx="10">
                  <c:v>110000</c:v>
                </c:pt>
                <c:pt idx="11">
                  <c:v>110000</c:v>
                </c:pt>
                <c:pt idx="12">
                  <c:v>110000</c:v>
                </c:pt>
                <c:pt idx="13">
                  <c:v>130000</c:v>
                </c:pt>
                <c:pt idx="14">
                  <c:v>130000</c:v>
                </c:pt>
                <c:pt idx="15">
                  <c:v>130000</c:v>
                </c:pt>
                <c:pt idx="16">
                  <c:v>135000</c:v>
                </c:pt>
                <c:pt idx="17">
                  <c:v>135000</c:v>
                </c:pt>
                <c:pt idx="18">
                  <c:v>135000</c:v>
                </c:pt>
                <c:pt idx="19">
                  <c:v>150000</c:v>
                </c:pt>
                <c:pt idx="20">
                  <c:v>150000</c:v>
                </c:pt>
                <c:pt idx="21">
                  <c:v>180000</c:v>
                </c:pt>
                <c:pt idx="22">
                  <c:v>180000</c:v>
                </c:pt>
                <c:pt idx="23">
                  <c:v>180000</c:v>
                </c:pt>
                <c:pt idx="24">
                  <c:v>180000</c:v>
                </c:pt>
                <c:pt idx="25">
                  <c:v>180000</c:v>
                </c:pt>
                <c:pt idx="26">
                  <c:v>180000</c:v>
                </c:pt>
                <c:pt idx="27">
                  <c:v>180000</c:v>
                </c:pt>
                <c:pt idx="28">
                  <c:v>180000</c:v>
                </c:pt>
                <c:pt idx="29">
                  <c:v>180000</c:v>
                </c:pt>
                <c:pt idx="30">
                  <c:v>180000</c:v>
                </c:pt>
                <c:pt idx="31">
                  <c:v>180000</c:v>
                </c:pt>
                <c:pt idx="32">
                  <c:v>180000</c:v>
                </c:pt>
                <c:pt idx="33">
                  <c:v>180000</c:v>
                </c:pt>
                <c:pt idx="34">
                  <c:v>180000</c:v>
                </c:pt>
                <c:pt idx="35">
                  <c:v>200000</c:v>
                </c:pt>
                <c:pt idx="36">
                  <c:v>200000</c:v>
                </c:pt>
                <c:pt idx="37">
                  <c:v>215000</c:v>
                </c:pt>
                <c:pt idx="38">
                  <c:v>215000</c:v>
                </c:pt>
                <c:pt idx="39">
                  <c:v>215000</c:v>
                </c:pt>
                <c:pt idx="40">
                  <c:v>215000</c:v>
                </c:pt>
                <c:pt idx="41">
                  <c:v>215000</c:v>
                </c:pt>
                <c:pt idx="42">
                  <c:v>215000</c:v>
                </c:pt>
                <c:pt idx="43">
                  <c:v>215000</c:v>
                </c:pt>
                <c:pt idx="44">
                  <c:v>215000</c:v>
                </c:pt>
                <c:pt idx="45">
                  <c:v>260000</c:v>
                </c:pt>
                <c:pt idx="46">
                  <c:v>260000</c:v>
                </c:pt>
                <c:pt idx="47">
                  <c:v>260000</c:v>
                </c:pt>
                <c:pt idx="48">
                  <c:v>260000</c:v>
                </c:pt>
                <c:pt idx="49">
                  <c:v>260000</c:v>
                </c:pt>
                <c:pt idx="50">
                  <c:v>260000</c:v>
                </c:pt>
                <c:pt idx="51">
                  <c:v>260000</c:v>
                </c:pt>
                <c:pt idx="52">
                  <c:v>310000</c:v>
                </c:pt>
                <c:pt idx="53">
                  <c:v>310000</c:v>
                </c:pt>
                <c:pt idx="54">
                  <c:v>310000</c:v>
                </c:pt>
                <c:pt idx="55">
                  <c:v>310000</c:v>
                </c:pt>
                <c:pt idx="56">
                  <c:v>310000</c:v>
                </c:pt>
                <c:pt idx="57">
                  <c:v>50000</c:v>
                </c:pt>
                <c:pt idx="58">
                  <c:v>55000</c:v>
                </c:pt>
                <c:pt idx="59">
                  <c:v>55000</c:v>
                </c:pt>
                <c:pt idx="60">
                  <c:v>55000</c:v>
                </c:pt>
                <c:pt idx="61">
                  <c:v>65000</c:v>
                </c:pt>
                <c:pt idx="62">
                  <c:v>135000</c:v>
                </c:pt>
                <c:pt idx="63">
                  <c:v>135000</c:v>
                </c:pt>
                <c:pt idx="64">
                  <c:v>135000</c:v>
                </c:pt>
                <c:pt idx="65">
                  <c:v>155000</c:v>
                </c:pt>
                <c:pt idx="66">
                  <c:v>155000</c:v>
                </c:pt>
                <c:pt idx="67">
                  <c:v>155000</c:v>
                </c:pt>
                <c:pt idx="68">
                  <c:v>155000</c:v>
                </c:pt>
                <c:pt idx="69">
                  <c:v>180000</c:v>
                </c:pt>
                <c:pt idx="70">
                  <c:v>180000</c:v>
                </c:pt>
                <c:pt idx="71">
                  <c:v>180000</c:v>
                </c:pt>
                <c:pt idx="72">
                  <c:v>180000</c:v>
                </c:pt>
                <c:pt idx="73">
                  <c:v>180000</c:v>
                </c:pt>
                <c:pt idx="74">
                  <c:v>200000</c:v>
                </c:pt>
                <c:pt idx="75">
                  <c:v>200000</c:v>
                </c:pt>
                <c:pt idx="76">
                  <c:v>215000</c:v>
                </c:pt>
                <c:pt idx="77">
                  <c:v>215000</c:v>
                </c:pt>
                <c:pt idx="78">
                  <c:v>260000</c:v>
                </c:pt>
                <c:pt idx="79">
                  <c:v>260000</c:v>
                </c:pt>
                <c:pt idx="80">
                  <c:v>260000</c:v>
                </c:pt>
                <c:pt idx="81">
                  <c:v>260000</c:v>
                </c:pt>
                <c:pt idx="82">
                  <c:v>260000</c:v>
                </c:pt>
                <c:pt idx="83">
                  <c:v>260000</c:v>
                </c:pt>
                <c:pt idx="84">
                  <c:v>260000</c:v>
                </c:pt>
                <c:pt idx="85">
                  <c:v>310000</c:v>
                </c:pt>
                <c:pt idx="86">
                  <c:v>310000</c:v>
                </c:pt>
                <c:pt idx="87">
                  <c:v>310000</c:v>
                </c:pt>
                <c:pt idx="88">
                  <c:v>400000</c:v>
                </c:pt>
                <c:pt idx="89">
                  <c:v>55000</c:v>
                </c:pt>
                <c:pt idx="90">
                  <c:v>155000</c:v>
                </c:pt>
                <c:pt idx="91">
                  <c:v>155000</c:v>
                </c:pt>
                <c:pt idx="92">
                  <c:v>175000</c:v>
                </c:pt>
                <c:pt idx="93">
                  <c:v>175000</c:v>
                </c:pt>
                <c:pt idx="94">
                  <c:v>175000</c:v>
                </c:pt>
                <c:pt idx="95">
                  <c:v>175000</c:v>
                </c:pt>
                <c:pt idx="96">
                  <c:v>180000</c:v>
                </c:pt>
                <c:pt idx="97">
                  <c:v>180000</c:v>
                </c:pt>
                <c:pt idx="98">
                  <c:v>200000</c:v>
                </c:pt>
                <c:pt idx="99">
                  <c:v>215000</c:v>
                </c:pt>
                <c:pt idx="100">
                  <c:v>260000</c:v>
                </c:pt>
                <c:pt idx="101">
                  <c:v>260000</c:v>
                </c:pt>
                <c:pt idx="102">
                  <c:v>260000</c:v>
                </c:pt>
                <c:pt idx="103">
                  <c:v>300000</c:v>
                </c:pt>
                <c:pt idx="104">
                  <c:v>305000</c:v>
                </c:pt>
                <c:pt idx="105">
                  <c:v>305000</c:v>
                </c:pt>
                <c:pt idx="106">
                  <c:v>310000</c:v>
                </c:pt>
                <c:pt idx="107">
                  <c:v>310000</c:v>
                </c:pt>
                <c:pt idx="108">
                  <c:v>310000</c:v>
                </c:pt>
                <c:pt idx="109">
                  <c:v>100000</c:v>
                </c:pt>
                <c:pt idx="110">
                  <c:v>130000</c:v>
                </c:pt>
                <c:pt idx="111">
                  <c:v>135000</c:v>
                </c:pt>
                <c:pt idx="112">
                  <c:v>175000</c:v>
                </c:pt>
                <c:pt idx="113">
                  <c:v>175000</c:v>
                </c:pt>
                <c:pt idx="114">
                  <c:v>180000</c:v>
                </c:pt>
                <c:pt idx="115">
                  <c:v>180000</c:v>
                </c:pt>
                <c:pt idx="116">
                  <c:v>260000</c:v>
                </c:pt>
                <c:pt idx="117">
                  <c:v>260000</c:v>
                </c:pt>
                <c:pt idx="118">
                  <c:v>260000</c:v>
                </c:pt>
                <c:pt idx="119">
                  <c:v>260000</c:v>
                </c:pt>
                <c:pt idx="120">
                  <c:v>260000</c:v>
                </c:pt>
                <c:pt idx="121">
                  <c:v>260000</c:v>
                </c:pt>
                <c:pt idx="122">
                  <c:v>260000</c:v>
                </c:pt>
                <c:pt idx="123">
                  <c:v>260000</c:v>
                </c:pt>
                <c:pt idx="124">
                  <c:v>260000</c:v>
                </c:pt>
                <c:pt idx="125">
                  <c:v>310000</c:v>
                </c:pt>
                <c:pt idx="126">
                  <c:v>310000</c:v>
                </c:pt>
                <c:pt idx="127">
                  <c:v>310000</c:v>
                </c:pt>
                <c:pt idx="128">
                  <c:v>310000</c:v>
                </c:pt>
                <c:pt idx="129">
                  <c:v>310000</c:v>
                </c:pt>
                <c:pt idx="130">
                  <c:v>310000</c:v>
                </c:pt>
              </c:numCache>
            </c:numRef>
          </c:xVal>
          <c:yVal>
            <c:numRef>
              <c:f>'Économies réelles'!$F$57:$F$187</c:f>
              <c:numCache>
                <c:formatCode>0</c:formatCode>
                <c:ptCount val="131"/>
                <c:pt idx="0">
                  <c:v>277.75</c:v>
                </c:pt>
                <c:pt idx="1">
                  <c:v>277.75</c:v>
                </c:pt>
                <c:pt idx="2">
                  <c:v>277.75</c:v>
                </c:pt>
                <c:pt idx="3">
                  <c:v>277.75</c:v>
                </c:pt>
                <c:pt idx="4">
                  <c:v>328.25</c:v>
                </c:pt>
                <c:pt idx="5">
                  <c:v>429.25</c:v>
                </c:pt>
                <c:pt idx="6">
                  <c:v>429.25</c:v>
                </c:pt>
                <c:pt idx="7">
                  <c:v>429.25</c:v>
                </c:pt>
                <c:pt idx="8">
                  <c:v>429.25</c:v>
                </c:pt>
                <c:pt idx="9">
                  <c:v>555.5</c:v>
                </c:pt>
                <c:pt idx="10">
                  <c:v>555.5</c:v>
                </c:pt>
                <c:pt idx="11">
                  <c:v>555.5</c:v>
                </c:pt>
                <c:pt idx="12">
                  <c:v>555.5</c:v>
                </c:pt>
                <c:pt idx="13">
                  <c:v>656.5</c:v>
                </c:pt>
                <c:pt idx="14">
                  <c:v>656.5</c:v>
                </c:pt>
                <c:pt idx="15">
                  <c:v>656.5</c:v>
                </c:pt>
                <c:pt idx="16">
                  <c:v>681.75</c:v>
                </c:pt>
                <c:pt idx="17">
                  <c:v>681.75</c:v>
                </c:pt>
                <c:pt idx="18">
                  <c:v>681.75</c:v>
                </c:pt>
                <c:pt idx="19">
                  <c:v>757.5</c:v>
                </c:pt>
                <c:pt idx="20">
                  <c:v>757.5</c:v>
                </c:pt>
                <c:pt idx="21">
                  <c:v>909</c:v>
                </c:pt>
                <c:pt idx="22">
                  <c:v>909</c:v>
                </c:pt>
                <c:pt idx="23">
                  <c:v>909</c:v>
                </c:pt>
                <c:pt idx="24">
                  <c:v>909</c:v>
                </c:pt>
                <c:pt idx="25">
                  <c:v>909</c:v>
                </c:pt>
                <c:pt idx="26">
                  <c:v>909</c:v>
                </c:pt>
                <c:pt idx="27">
                  <c:v>909</c:v>
                </c:pt>
                <c:pt idx="28">
                  <c:v>909</c:v>
                </c:pt>
                <c:pt idx="29">
                  <c:v>909</c:v>
                </c:pt>
                <c:pt idx="30">
                  <c:v>909</c:v>
                </c:pt>
                <c:pt idx="31">
                  <c:v>909</c:v>
                </c:pt>
                <c:pt idx="32">
                  <c:v>909</c:v>
                </c:pt>
                <c:pt idx="33">
                  <c:v>909</c:v>
                </c:pt>
                <c:pt idx="34">
                  <c:v>909</c:v>
                </c:pt>
                <c:pt idx="35">
                  <c:v>1010</c:v>
                </c:pt>
                <c:pt idx="36">
                  <c:v>1010</c:v>
                </c:pt>
                <c:pt idx="37">
                  <c:v>1085.75</c:v>
                </c:pt>
                <c:pt idx="38">
                  <c:v>1085.75</c:v>
                </c:pt>
                <c:pt idx="39">
                  <c:v>1085.75</c:v>
                </c:pt>
                <c:pt idx="40">
                  <c:v>1085.75</c:v>
                </c:pt>
                <c:pt idx="41">
                  <c:v>1085.75</c:v>
                </c:pt>
                <c:pt idx="42">
                  <c:v>1085.75</c:v>
                </c:pt>
                <c:pt idx="43">
                  <c:v>1085.75</c:v>
                </c:pt>
                <c:pt idx="44">
                  <c:v>1085.75</c:v>
                </c:pt>
                <c:pt idx="45">
                  <c:v>1313</c:v>
                </c:pt>
                <c:pt idx="46">
                  <c:v>1313</c:v>
                </c:pt>
                <c:pt idx="47">
                  <c:v>1313</c:v>
                </c:pt>
                <c:pt idx="48">
                  <c:v>1313</c:v>
                </c:pt>
                <c:pt idx="49">
                  <c:v>1313</c:v>
                </c:pt>
                <c:pt idx="50">
                  <c:v>1313</c:v>
                </c:pt>
                <c:pt idx="51">
                  <c:v>1313</c:v>
                </c:pt>
                <c:pt idx="52">
                  <c:v>1565.5</c:v>
                </c:pt>
                <c:pt idx="53">
                  <c:v>1565.5</c:v>
                </c:pt>
                <c:pt idx="54">
                  <c:v>1565.5</c:v>
                </c:pt>
                <c:pt idx="55">
                  <c:v>1565.5</c:v>
                </c:pt>
                <c:pt idx="56">
                  <c:v>1565.5</c:v>
                </c:pt>
                <c:pt idx="57">
                  <c:v>252.5</c:v>
                </c:pt>
                <c:pt idx="58">
                  <c:v>277.75</c:v>
                </c:pt>
                <c:pt idx="59">
                  <c:v>277.75</c:v>
                </c:pt>
                <c:pt idx="60">
                  <c:v>277.75</c:v>
                </c:pt>
                <c:pt idx="61">
                  <c:v>328.25</c:v>
                </c:pt>
                <c:pt idx="62">
                  <c:v>681.75</c:v>
                </c:pt>
                <c:pt idx="63">
                  <c:v>681.75</c:v>
                </c:pt>
                <c:pt idx="64">
                  <c:v>681.75</c:v>
                </c:pt>
                <c:pt idx="65">
                  <c:v>782.75</c:v>
                </c:pt>
                <c:pt idx="66">
                  <c:v>782.75</c:v>
                </c:pt>
                <c:pt idx="67">
                  <c:v>782.75</c:v>
                </c:pt>
                <c:pt idx="68">
                  <c:v>782.75</c:v>
                </c:pt>
                <c:pt idx="69">
                  <c:v>909</c:v>
                </c:pt>
                <c:pt idx="70">
                  <c:v>909</c:v>
                </c:pt>
                <c:pt idx="71">
                  <c:v>909</c:v>
                </c:pt>
                <c:pt idx="72">
                  <c:v>909</c:v>
                </c:pt>
                <c:pt idx="73">
                  <c:v>909</c:v>
                </c:pt>
                <c:pt idx="74">
                  <c:v>1010</c:v>
                </c:pt>
                <c:pt idx="75">
                  <c:v>1010</c:v>
                </c:pt>
                <c:pt idx="76">
                  <c:v>1085.75</c:v>
                </c:pt>
                <c:pt idx="77">
                  <c:v>1085.75</c:v>
                </c:pt>
                <c:pt idx="78">
                  <c:v>1313</c:v>
                </c:pt>
                <c:pt idx="79">
                  <c:v>1313</c:v>
                </c:pt>
                <c:pt idx="80">
                  <c:v>1313</c:v>
                </c:pt>
                <c:pt idx="81">
                  <c:v>1313</c:v>
                </c:pt>
                <c:pt idx="82">
                  <c:v>1313</c:v>
                </c:pt>
                <c:pt idx="83">
                  <c:v>1313</c:v>
                </c:pt>
                <c:pt idx="84">
                  <c:v>1313</c:v>
                </c:pt>
                <c:pt idx="85">
                  <c:v>1565.5</c:v>
                </c:pt>
                <c:pt idx="86">
                  <c:v>1565.5</c:v>
                </c:pt>
                <c:pt idx="87">
                  <c:v>1565.5</c:v>
                </c:pt>
                <c:pt idx="88">
                  <c:v>2020</c:v>
                </c:pt>
                <c:pt idx="89">
                  <c:v>277.75</c:v>
                </c:pt>
                <c:pt idx="90">
                  <c:v>782.75</c:v>
                </c:pt>
                <c:pt idx="91">
                  <c:v>782.75</c:v>
                </c:pt>
                <c:pt idx="92">
                  <c:v>883.75</c:v>
                </c:pt>
                <c:pt idx="93">
                  <c:v>883.75</c:v>
                </c:pt>
                <c:pt idx="94">
                  <c:v>883.75</c:v>
                </c:pt>
                <c:pt idx="95">
                  <c:v>883.75</c:v>
                </c:pt>
                <c:pt idx="96">
                  <c:v>909</c:v>
                </c:pt>
                <c:pt idx="97">
                  <c:v>909</c:v>
                </c:pt>
                <c:pt idx="98">
                  <c:v>1010</c:v>
                </c:pt>
                <c:pt idx="99">
                  <c:v>1085.75</c:v>
                </c:pt>
                <c:pt idx="100">
                  <c:v>1313</c:v>
                </c:pt>
                <c:pt idx="101">
                  <c:v>1313</c:v>
                </c:pt>
                <c:pt idx="102">
                  <c:v>1313</c:v>
                </c:pt>
                <c:pt idx="103">
                  <c:v>1515</c:v>
                </c:pt>
                <c:pt idx="104">
                  <c:v>1540.25</c:v>
                </c:pt>
                <c:pt idx="105">
                  <c:v>1540.25</c:v>
                </c:pt>
                <c:pt idx="106">
                  <c:v>1565.5</c:v>
                </c:pt>
                <c:pt idx="107">
                  <c:v>1565.5</c:v>
                </c:pt>
                <c:pt idx="108">
                  <c:v>1565.5</c:v>
                </c:pt>
                <c:pt idx="109">
                  <c:v>505</c:v>
                </c:pt>
                <c:pt idx="110">
                  <c:v>656.5</c:v>
                </c:pt>
                <c:pt idx="111">
                  <c:v>681.75</c:v>
                </c:pt>
                <c:pt idx="112">
                  <c:v>883.75</c:v>
                </c:pt>
                <c:pt idx="113">
                  <c:v>883.75</c:v>
                </c:pt>
                <c:pt idx="114">
                  <c:v>909</c:v>
                </c:pt>
                <c:pt idx="115">
                  <c:v>909</c:v>
                </c:pt>
                <c:pt idx="116">
                  <c:v>1313</c:v>
                </c:pt>
                <c:pt idx="117">
                  <c:v>1313</c:v>
                </c:pt>
                <c:pt idx="118">
                  <c:v>1313</c:v>
                </c:pt>
                <c:pt idx="119">
                  <c:v>1313</c:v>
                </c:pt>
                <c:pt idx="120">
                  <c:v>1313</c:v>
                </c:pt>
                <c:pt idx="121">
                  <c:v>1313</c:v>
                </c:pt>
                <c:pt idx="122">
                  <c:v>1313</c:v>
                </c:pt>
                <c:pt idx="123">
                  <c:v>1313</c:v>
                </c:pt>
                <c:pt idx="124">
                  <c:v>1313</c:v>
                </c:pt>
                <c:pt idx="125">
                  <c:v>1565.5</c:v>
                </c:pt>
                <c:pt idx="126">
                  <c:v>1565.5</c:v>
                </c:pt>
                <c:pt idx="127">
                  <c:v>1565.5</c:v>
                </c:pt>
                <c:pt idx="128">
                  <c:v>1565.5</c:v>
                </c:pt>
                <c:pt idx="129">
                  <c:v>1565.5</c:v>
                </c:pt>
                <c:pt idx="130">
                  <c:v>1565.5</c:v>
                </c:pt>
              </c:numCache>
            </c:numRef>
          </c:yVal>
          <c:smooth val="0"/>
          <c:extLst>
            <c:ext xmlns:c16="http://schemas.microsoft.com/office/drawing/2014/chart" uri="{C3380CC4-5D6E-409C-BE32-E72D297353CC}">
              <c16:uniqueId val="{00000001-9BD1-46F8-B685-4455CEAF52B3}"/>
            </c:ext>
          </c:extLst>
        </c:ser>
        <c:dLbls>
          <c:showLegendKey val="0"/>
          <c:showVal val="0"/>
          <c:showCatName val="0"/>
          <c:showSerName val="0"/>
          <c:showPercent val="0"/>
          <c:showBubbleSize val="0"/>
        </c:dLbls>
        <c:axId val="1185506559"/>
        <c:axId val="1185509439"/>
      </c:scatterChart>
      <c:valAx>
        <c:axId val="11855065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9439"/>
        <c:crosses val="autoZero"/>
        <c:crossBetween val="midCat"/>
      </c:valAx>
      <c:valAx>
        <c:axId val="1185509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5065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Économies</a:t>
            </a:r>
            <a:r>
              <a:rPr lang="en-CA" baseline="0"/>
              <a:t> d'énergies selon BTU/h</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scatterChart>
        <c:scatterStyle val="lineMarker"/>
        <c:varyColors val="0"/>
        <c:ser>
          <c:idx val="0"/>
          <c:order val="0"/>
          <c:tx>
            <c:strRef>
              <c:f>Validation!$C$2</c:f>
              <c:strCache>
                <c:ptCount val="1"/>
                <c:pt idx="0">
                  <c:v>Économies réelles</c:v>
                </c:pt>
              </c:strCache>
            </c:strRef>
          </c:tx>
          <c:spPr>
            <a:ln w="19050" cap="rnd">
              <a:noFill/>
              <a:round/>
            </a:ln>
            <a:effectLst/>
          </c:spPr>
          <c:marker>
            <c:symbol val="circle"/>
            <c:size val="5"/>
            <c:spPr>
              <a:solidFill>
                <a:schemeClr val="accent1"/>
              </a:solidFill>
              <a:ln w="9525">
                <a:solidFill>
                  <a:schemeClr val="accent1"/>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Validation!$C$3:$C$10</c:f>
              <c:numCache>
                <c:formatCode>General</c:formatCode>
                <c:ptCount val="8"/>
                <c:pt idx="0">
                  <c:v>255.00000000000003</c:v>
                </c:pt>
                <c:pt idx="1">
                  <c:v>510.00000000000006</c:v>
                </c:pt>
                <c:pt idx="2">
                  <c:v>765</c:v>
                </c:pt>
                <c:pt idx="3">
                  <c:v>1020.0000000000001</c:v>
                </c:pt>
                <c:pt idx="4">
                  <c:v>1275</c:v>
                </c:pt>
                <c:pt idx="5">
                  <c:v>1530</c:v>
                </c:pt>
                <c:pt idx="6">
                  <c:v>1785.0000000000002</c:v>
                </c:pt>
                <c:pt idx="7">
                  <c:v>2040.0000000000002</c:v>
                </c:pt>
              </c:numCache>
            </c:numRef>
          </c:yVal>
          <c:smooth val="0"/>
          <c:extLst>
            <c:ext xmlns:c16="http://schemas.microsoft.com/office/drawing/2014/chart" uri="{C3380CC4-5D6E-409C-BE32-E72D297353CC}">
              <c16:uniqueId val="{00000000-3773-42F4-B0BF-3DADE596FA9D}"/>
            </c:ext>
          </c:extLst>
        </c:ser>
        <c:ser>
          <c:idx val="1"/>
          <c:order val="1"/>
          <c:tx>
            <c:strRef>
              <c:f>Validation!$D$2</c:f>
              <c:strCache>
                <c:ptCount val="1"/>
                <c:pt idx="0">
                  <c:v>Économies calculées</c:v>
                </c:pt>
              </c:strCache>
            </c:strRef>
          </c:tx>
          <c:spPr>
            <a:ln w="25400" cap="rnd">
              <a:noFill/>
              <a:round/>
            </a:ln>
            <a:effectLst/>
          </c:spPr>
          <c:marker>
            <c:symbol val="circle"/>
            <c:size val="5"/>
            <c:spPr>
              <a:solidFill>
                <a:schemeClr val="accent2"/>
              </a:solidFill>
              <a:ln w="9525">
                <a:solidFill>
                  <a:schemeClr val="accent2"/>
                </a:solidFill>
              </a:ln>
              <a:effectLst/>
            </c:spPr>
          </c:marker>
          <c:xVal>
            <c:numRef>
              <c:f>Validation!$B$3:$B$10</c:f>
              <c:numCache>
                <c:formatCode>General</c:formatCode>
                <c:ptCount val="8"/>
                <c:pt idx="0">
                  <c:v>50000</c:v>
                </c:pt>
                <c:pt idx="1">
                  <c:v>100000</c:v>
                </c:pt>
                <c:pt idx="2">
                  <c:v>150000</c:v>
                </c:pt>
                <c:pt idx="3">
                  <c:v>200000</c:v>
                </c:pt>
                <c:pt idx="4">
                  <c:v>250000</c:v>
                </c:pt>
                <c:pt idx="5">
                  <c:v>300000</c:v>
                </c:pt>
                <c:pt idx="6">
                  <c:v>350000</c:v>
                </c:pt>
                <c:pt idx="7">
                  <c:v>400000</c:v>
                </c:pt>
              </c:numCache>
            </c:numRef>
          </c:xVal>
          <c:yVal>
            <c:numRef>
              <c:f>Validation!$D$3:$D$10</c:f>
              <c:numCache>
                <c:formatCode>General</c:formatCode>
                <c:ptCount val="8"/>
                <c:pt idx="0">
                  <c:v>272</c:v>
                </c:pt>
                <c:pt idx="1">
                  <c:v>543</c:v>
                </c:pt>
                <c:pt idx="2">
                  <c:v>815</c:v>
                </c:pt>
                <c:pt idx="3">
                  <c:v>1087</c:v>
                </c:pt>
                <c:pt idx="4">
                  <c:v>1359</c:v>
                </c:pt>
                <c:pt idx="5">
                  <c:v>1630</c:v>
                </c:pt>
                <c:pt idx="6">
                  <c:v>1902</c:v>
                </c:pt>
                <c:pt idx="7">
                  <c:v>2174</c:v>
                </c:pt>
              </c:numCache>
            </c:numRef>
          </c:yVal>
          <c:smooth val="0"/>
          <c:extLst>
            <c:ext xmlns:c16="http://schemas.microsoft.com/office/drawing/2014/chart" uri="{C3380CC4-5D6E-409C-BE32-E72D297353CC}">
              <c16:uniqueId val="{00000003-3773-42F4-B0BF-3DADE596FA9D}"/>
            </c:ext>
          </c:extLst>
        </c:ser>
        <c:dLbls>
          <c:showLegendKey val="0"/>
          <c:showVal val="0"/>
          <c:showCatName val="0"/>
          <c:showSerName val="0"/>
          <c:showPercent val="0"/>
          <c:showBubbleSize val="0"/>
        </c:dLbls>
        <c:axId val="1413701680"/>
        <c:axId val="1413699280"/>
      </c:scatterChart>
      <c:valAx>
        <c:axId val="14137016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BTU/h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699280"/>
        <c:crosses val="autoZero"/>
        <c:crossBetween val="midCat"/>
      </c:valAx>
      <c:valAx>
        <c:axId val="141369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m3 de GN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37016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Surcoût</a:t>
            </a:r>
            <a:r>
              <a:rPr lang="fr-CA" baseline="0"/>
              <a:t> et AF vs capacité</a:t>
            </a:r>
            <a:endParaRPr lang="fr-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CA"/>
        </a:p>
      </c:txPr>
    </c:title>
    <c:autoTitleDeleted val="0"/>
    <c:plotArea>
      <c:layout/>
      <c:scatterChart>
        <c:scatterStyle val="lineMarker"/>
        <c:varyColors val="0"/>
        <c:ser>
          <c:idx val="0"/>
          <c:order val="0"/>
          <c:tx>
            <c:v>Coût incrémental (incluant l'installation) vs Capacité des appareils installés</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trendline>
            <c:spPr>
              <a:ln w="19050" cap="rnd">
                <a:solidFill>
                  <a:schemeClr val="accent1"/>
                </a:solidFill>
                <a:prstDash val="sysDot"/>
              </a:ln>
              <a:effectLst/>
            </c:spPr>
            <c:trendlineType val="poly"/>
            <c:order val="2"/>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Courbe!$R$2:$R$65</c:f>
              <c:numCache>
                <c:formatCode>_ * #\ ##0_)\ "$"_ ;_ * \(#\ ##0\)\ "$"_ ;_ * "-"??_)\ "$"_ ;_ @_ </c:formatCode>
                <c:ptCount val="64"/>
                <c:pt idx="0">
                  <c:v>3960</c:v>
                </c:pt>
                <c:pt idx="1">
                  <c:v>4395</c:v>
                </c:pt>
                <c:pt idx="2">
                  <c:v>4564</c:v>
                </c:pt>
                <c:pt idx="3">
                  <c:v>4880</c:v>
                </c:pt>
                <c:pt idx="4">
                  <c:v>5740</c:v>
                </c:pt>
                <c:pt idx="5">
                  <c:v>6550</c:v>
                </c:pt>
                <c:pt idx="6">
                  <c:v>3960</c:v>
                </c:pt>
                <c:pt idx="7">
                  <c:v>4395</c:v>
                </c:pt>
                <c:pt idx="8">
                  <c:v>4564</c:v>
                </c:pt>
                <c:pt idx="9">
                  <c:v>4880</c:v>
                </c:pt>
                <c:pt idx="10">
                  <c:v>5740</c:v>
                </c:pt>
                <c:pt idx="11">
                  <c:v>6550</c:v>
                </c:pt>
                <c:pt idx="12">
                  <c:v>3887</c:v>
                </c:pt>
                <c:pt idx="13">
                  <c:v>4295.5</c:v>
                </c:pt>
                <c:pt idx="14">
                  <c:v>4462.5</c:v>
                </c:pt>
                <c:pt idx="15">
                  <c:v>4756</c:v>
                </c:pt>
                <c:pt idx="16">
                  <c:v>5572.5</c:v>
                </c:pt>
                <c:pt idx="17">
                  <c:v>6340.5</c:v>
                </c:pt>
                <c:pt idx="18">
                  <c:v>3887</c:v>
                </c:pt>
                <c:pt idx="19">
                  <c:v>4295.5</c:v>
                </c:pt>
                <c:pt idx="20">
                  <c:v>4462.5</c:v>
                </c:pt>
                <c:pt idx="21">
                  <c:v>4756</c:v>
                </c:pt>
                <c:pt idx="22">
                  <c:v>5572.5</c:v>
                </c:pt>
                <c:pt idx="23">
                  <c:v>6340.5</c:v>
                </c:pt>
                <c:pt idx="24">
                  <c:v>6820</c:v>
                </c:pt>
                <c:pt idx="25">
                  <c:v>7217.5</c:v>
                </c:pt>
                <c:pt idx="26">
                  <c:v>7775</c:v>
                </c:pt>
                <c:pt idx="27">
                  <c:v>4147.5</c:v>
                </c:pt>
                <c:pt idx="28">
                  <c:v>4557.5</c:v>
                </c:pt>
                <c:pt idx="29">
                  <c:v>4711.5</c:v>
                </c:pt>
                <c:pt idx="30">
                  <c:v>4782.5</c:v>
                </c:pt>
                <c:pt idx="31">
                  <c:v>5109</c:v>
                </c:pt>
                <c:pt idx="32">
                  <c:v>5240</c:v>
                </c:pt>
                <c:pt idx="33">
                  <c:v>5625</c:v>
                </c:pt>
                <c:pt idx="34">
                  <c:v>3505</c:v>
                </c:pt>
                <c:pt idx="35">
                  <c:v>3605</c:v>
                </c:pt>
                <c:pt idx="36">
                  <c:v>3870</c:v>
                </c:pt>
                <c:pt idx="37">
                  <c:v>3462</c:v>
                </c:pt>
                <c:pt idx="38">
                  <c:v>4650</c:v>
                </c:pt>
                <c:pt idx="39">
                  <c:v>4900</c:v>
                </c:pt>
                <c:pt idx="40">
                  <c:v>5450</c:v>
                </c:pt>
                <c:pt idx="41">
                  <c:v>6150</c:v>
                </c:pt>
                <c:pt idx="42">
                  <c:v>3055.13</c:v>
                </c:pt>
                <c:pt idx="43">
                  <c:v>3287.5</c:v>
                </c:pt>
                <c:pt idx="44">
                  <c:v>4265</c:v>
                </c:pt>
                <c:pt idx="45">
                  <c:v>4450</c:v>
                </c:pt>
                <c:pt idx="46">
                  <c:v>4995</c:v>
                </c:pt>
                <c:pt idx="47">
                  <c:v>5595</c:v>
                </c:pt>
                <c:pt idx="48">
                  <c:v>4907.5</c:v>
                </c:pt>
                <c:pt idx="49">
                  <c:v>5020</c:v>
                </c:pt>
                <c:pt idx="50">
                  <c:v>5200</c:v>
                </c:pt>
                <c:pt idx="51">
                  <c:v>5282.5</c:v>
                </c:pt>
                <c:pt idx="52">
                  <c:v>5502.5</c:v>
                </c:pt>
                <c:pt idx="53">
                  <c:v>5650</c:v>
                </c:pt>
                <c:pt idx="54">
                  <c:v>8577.5</c:v>
                </c:pt>
                <c:pt idx="55">
                  <c:v>9785</c:v>
                </c:pt>
                <c:pt idx="56">
                  <c:v>12485</c:v>
                </c:pt>
                <c:pt idx="57">
                  <c:v>4902.5</c:v>
                </c:pt>
                <c:pt idx="58">
                  <c:v>4905</c:v>
                </c:pt>
                <c:pt idx="59">
                  <c:v>3600</c:v>
                </c:pt>
                <c:pt idx="60">
                  <c:v>3787.5</c:v>
                </c:pt>
                <c:pt idx="61">
                  <c:v>3962.5</c:v>
                </c:pt>
                <c:pt idx="62">
                  <c:v>4137.5</c:v>
                </c:pt>
                <c:pt idx="63">
                  <c:v>3350</c:v>
                </c:pt>
              </c:numCache>
            </c:numRef>
          </c:yVal>
          <c:smooth val="0"/>
          <c:extLst>
            <c:ext xmlns:c16="http://schemas.microsoft.com/office/drawing/2014/chart" uri="{C3380CC4-5D6E-409C-BE32-E72D297353CC}">
              <c16:uniqueId val="{00000000-18FB-4EDB-9744-52E5205CEA1E}"/>
            </c:ext>
          </c:extLst>
        </c:ser>
        <c:ser>
          <c:idx val="1"/>
          <c:order val="1"/>
          <c:tx>
            <c:v>Aide financière vs Capacité des appareils installés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Courbe!$S$2:$S$65</c:f>
              <c:numCache>
                <c:formatCode>General</c:formatCode>
                <c:ptCount val="64"/>
                <c:pt idx="0">
                  <c:v>2250</c:v>
                </c:pt>
                <c:pt idx="1">
                  <c:v>2500</c:v>
                </c:pt>
                <c:pt idx="2">
                  <c:v>2750</c:v>
                </c:pt>
                <c:pt idx="3">
                  <c:v>3000</c:v>
                </c:pt>
                <c:pt idx="4">
                  <c:v>3500</c:v>
                </c:pt>
                <c:pt idx="5">
                  <c:v>4000</c:v>
                </c:pt>
                <c:pt idx="6">
                  <c:v>2250</c:v>
                </c:pt>
                <c:pt idx="7">
                  <c:v>2500</c:v>
                </c:pt>
                <c:pt idx="8">
                  <c:v>2750</c:v>
                </c:pt>
                <c:pt idx="9">
                  <c:v>3000</c:v>
                </c:pt>
                <c:pt idx="10">
                  <c:v>3500</c:v>
                </c:pt>
                <c:pt idx="11">
                  <c:v>4000</c:v>
                </c:pt>
                <c:pt idx="12">
                  <c:v>2250</c:v>
                </c:pt>
                <c:pt idx="13">
                  <c:v>2500</c:v>
                </c:pt>
                <c:pt idx="14">
                  <c:v>2750</c:v>
                </c:pt>
                <c:pt idx="15">
                  <c:v>3000</c:v>
                </c:pt>
                <c:pt idx="16">
                  <c:v>3500</c:v>
                </c:pt>
                <c:pt idx="17">
                  <c:v>4000</c:v>
                </c:pt>
                <c:pt idx="18">
                  <c:v>2250</c:v>
                </c:pt>
                <c:pt idx="19">
                  <c:v>2500</c:v>
                </c:pt>
                <c:pt idx="20">
                  <c:v>2750</c:v>
                </c:pt>
                <c:pt idx="21">
                  <c:v>3000</c:v>
                </c:pt>
                <c:pt idx="22">
                  <c:v>3500</c:v>
                </c:pt>
                <c:pt idx="23">
                  <c:v>4000</c:v>
                </c:pt>
                <c:pt idx="24">
                  <c:v>3075</c:v>
                </c:pt>
                <c:pt idx="25">
                  <c:v>3300</c:v>
                </c:pt>
                <c:pt idx="26">
                  <c:v>3550</c:v>
                </c:pt>
                <c:pt idx="27">
                  <c:v>2550</c:v>
                </c:pt>
                <c:pt idx="28">
                  <c:v>2675</c:v>
                </c:pt>
                <c:pt idx="29">
                  <c:v>2775</c:v>
                </c:pt>
                <c:pt idx="30">
                  <c:v>2900</c:v>
                </c:pt>
                <c:pt idx="31">
                  <c:v>3075</c:v>
                </c:pt>
                <c:pt idx="32">
                  <c:v>3300</c:v>
                </c:pt>
                <c:pt idx="33">
                  <c:v>3550</c:v>
                </c:pt>
                <c:pt idx="34">
                  <c:v>2275</c:v>
                </c:pt>
                <c:pt idx="35">
                  <c:v>2325</c:v>
                </c:pt>
                <c:pt idx="36">
                  <c:v>2425</c:v>
                </c:pt>
                <c:pt idx="37">
                  <c:v>2550</c:v>
                </c:pt>
                <c:pt idx="38">
                  <c:v>2650</c:v>
                </c:pt>
                <c:pt idx="39">
                  <c:v>2875</c:v>
                </c:pt>
                <c:pt idx="40">
                  <c:v>3300</c:v>
                </c:pt>
                <c:pt idx="41">
                  <c:v>3525</c:v>
                </c:pt>
                <c:pt idx="42">
                  <c:v>2275</c:v>
                </c:pt>
                <c:pt idx="43">
                  <c:v>2425</c:v>
                </c:pt>
                <c:pt idx="44">
                  <c:v>2650</c:v>
                </c:pt>
                <c:pt idx="45">
                  <c:v>2900</c:v>
                </c:pt>
                <c:pt idx="46">
                  <c:v>3300</c:v>
                </c:pt>
                <c:pt idx="47">
                  <c:v>3550</c:v>
                </c:pt>
                <c:pt idx="48">
                  <c:v>2500</c:v>
                </c:pt>
                <c:pt idx="49">
                  <c:v>2600</c:v>
                </c:pt>
                <c:pt idx="50">
                  <c:v>2600</c:v>
                </c:pt>
                <c:pt idx="51">
                  <c:v>2750</c:v>
                </c:pt>
                <c:pt idx="52">
                  <c:v>2900</c:v>
                </c:pt>
                <c:pt idx="53">
                  <c:v>2900</c:v>
                </c:pt>
                <c:pt idx="54">
                  <c:v>3475</c:v>
                </c:pt>
                <c:pt idx="55">
                  <c:v>3980</c:v>
                </c:pt>
                <c:pt idx="56">
                  <c:v>4500</c:v>
                </c:pt>
                <c:pt idx="57">
                  <c:v>2400</c:v>
                </c:pt>
                <c:pt idx="58">
                  <c:v>2450</c:v>
                </c:pt>
                <c:pt idx="59">
                  <c:v>2570</c:v>
                </c:pt>
                <c:pt idx="60">
                  <c:v>2755</c:v>
                </c:pt>
                <c:pt idx="61">
                  <c:v>2945</c:v>
                </c:pt>
                <c:pt idx="62">
                  <c:v>3135</c:v>
                </c:pt>
                <c:pt idx="63">
                  <c:v>2235</c:v>
                </c:pt>
              </c:numCache>
            </c:numRef>
          </c:yVal>
          <c:smooth val="0"/>
          <c:extLst>
            <c:ext xmlns:c16="http://schemas.microsoft.com/office/drawing/2014/chart" uri="{C3380CC4-5D6E-409C-BE32-E72D297353CC}">
              <c16:uniqueId val="{00000001-9AD3-43CD-AA23-343C6B16CDBA}"/>
            </c:ext>
          </c:extLst>
        </c:ser>
        <c:ser>
          <c:idx val="2"/>
          <c:order val="2"/>
          <c:tx>
            <c:v>Surcout equipement</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1"/>
            <c:trendlineLbl>
              <c:layout>
                <c:manualLayout>
                  <c:x val="5.9709407823710897E-2"/>
                  <c:y val="0.2881100560370456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Courbe!$G$2:$G$65</c:f>
              <c:numCache>
                <c:formatCode>#,##0</c:formatCode>
                <c:ptCount val="64"/>
                <c:pt idx="0">
                  <c:v>50000</c:v>
                </c:pt>
                <c:pt idx="1">
                  <c:v>100000</c:v>
                </c:pt>
                <c:pt idx="2">
                  <c:v>150000</c:v>
                </c:pt>
                <c:pt idx="3">
                  <c:v>200000</c:v>
                </c:pt>
                <c:pt idx="4">
                  <c:v>300000</c:v>
                </c:pt>
                <c:pt idx="5">
                  <c:v>400000</c:v>
                </c:pt>
                <c:pt idx="6">
                  <c:v>50000</c:v>
                </c:pt>
                <c:pt idx="7">
                  <c:v>100000</c:v>
                </c:pt>
                <c:pt idx="8">
                  <c:v>150000</c:v>
                </c:pt>
                <c:pt idx="9">
                  <c:v>200000</c:v>
                </c:pt>
                <c:pt idx="10">
                  <c:v>300000</c:v>
                </c:pt>
                <c:pt idx="11">
                  <c:v>400000</c:v>
                </c:pt>
                <c:pt idx="12">
                  <c:v>50000</c:v>
                </c:pt>
                <c:pt idx="13">
                  <c:v>100000</c:v>
                </c:pt>
                <c:pt idx="14">
                  <c:v>150000</c:v>
                </c:pt>
                <c:pt idx="15">
                  <c:v>200000</c:v>
                </c:pt>
                <c:pt idx="16">
                  <c:v>300000</c:v>
                </c:pt>
                <c:pt idx="17">
                  <c:v>400000</c:v>
                </c:pt>
                <c:pt idx="18">
                  <c:v>50000</c:v>
                </c:pt>
                <c:pt idx="19">
                  <c:v>100000</c:v>
                </c:pt>
                <c:pt idx="20">
                  <c:v>150000</c:v>
                </c:pt>
                <c:pt idx="21">
                  <c:v>200000</c:v>
                </c:pt>
                <c:pt idx="22">
                  <c:v>300000</c:v>
                </c:pt>
                <c:pt idx="23">
                  <c:v>400000</c:v>
                </c:pt>
                <c:pt idx="24">
                  <c:v>215000</c:v>
                </c:pt>
                <c:pt idx="25">
                  <c:v>260000</c:v>
                </c:pt>
                <c:pt idx="26">
                  <c:v>310000</c:v>
                </c:pt>
                <c:pt idx="27">
                  <c:v>110000</c:v>
                </c:pt>
                <c:pt idx="28">
                  <c:v>135000</c:v>
                </c:pt>
                <c:pt idx="29">
                  <c:v>155000</c:v>
                </c:pt>
                <c:pt idx="30">
                  <c:v>180000</c:v>
                </c:pt>
                <c:pt idx="31">
                  <c:v>215000</c:v>
                </c:pt>
                <c:pt idx="32">
                  <c:v>260000</c:v>
                </c:pt>
                <c:pt idx="33">
                  <c:v>310000</c:v>
                </c:pt>
                <c:pt idx="34">
                  <c:v>55000</c:v>
                </c:pt>
                <c:pt idx="35">
                  <c:v>65000</c:v>
                </c:pt>
                <c:pt idx="36">
                  <c:v>85000</c:v>
                </c:pt>
                <c:pt idx="37">
                  <c:v>110000</c:v>
                </c:pt>
                <c:pt idx="38">
                  <c:v>130000</c:v>
                </c:pt>
                <c:pt idx="39">
                  <c:v>175000</c:v>
                </c:pt>
                <c:pt idx="40">
                  <c:v>260000</c:v>
                </c:pt>
                <c:pt idx="41">
                  <c:v>305000</c:v>
                </c:pt>
                <c:pt idx="42">
                  <c:v>55000</c:v>
                </c:pt>
                <c:pt idx="43">
                  <c:v>85000</c:v>
                </c:pt>
                <c:pt idx="44">
                  <c:v>130000</c:v>
                </c:pt>
                <c:pt idx="45">
                  <c:v>180000</c:v>
                </c:pt>
                <c:pt idx="46">
                  <c:v>260000</c:v>
                </c:pt>
                <c:pt idx="47">
                  <c:v>310000</c:v>
                </c:pt>
                <c:pt idx="48">
                  <c:v>100000</c:v>
                </c:pt>
                <c:pt idx="49">
                  <c:v>120000</c:v>
                </c:pt>
                <c:pt idx="50">
                  <c:v>120000</c:v>
                </c:pt>
                <c:pt idx="51">
                  <c:v>150000</c:v>
                </c:pt>
                <c:pt idx="52">
                  <c:v>180000</c:v>
                </c:pt>
                <c:pt idx="53">
                  <c:v>180000</c:v>
                </c:pt>
                <c:pt idx="54">
                  <c:v>295000</c:v>
                </c:pt>
                <c:pt idx="55">
                  <c:v>396000</c:v>
                </c:pt>
                <c:pt idx="56">
                  <c:v>500000</c:v>
                </c:pt>
                <c:pt idx="57">
                  <c:v>80000</c:v>
                </c:pt>
                <c:pt idx="58">
                  <c:v>90000</c:v>
                </c:pt>
                <c:pt idx="59">
                  <c:v>114000</c:v>
                </c:pt>
                <c:pt idx="60">
                  <c:v>151000</c:v>
                </c:pt>
                <c:pt idx="61">
                  <c:v>189000</c:v>
                </c:pt>
                <c:pt idx="62">
                  <c:v>227000</c:v>
                </c:pt>
                <c:pt idx="63">
                  <c:v>47000</c:v>
                </c:pt>
              </c:numCache>
            </c:numRef>
          </c:xVal>
          <c:yVal>
            <c:numRef>
              <c:f>Courbe!$Q$2:$Q$65</c:f>
              <c:numCache>
                <c:formatCode>_ * #\ ##0_)\ "$"_ ;_ * \(#\ ##0\)\ "$"_ ;_ * "-"??_)\ "$"_ ;_ @_ </c:formatCode>
                <c:ptCount val="64"/>
                <c:pt idx="0">
                  <c:v>1560</c:v>
                </c:pt>
                <c:pt idx="1">
                  <c:v>1995</c:v>
                </c:pt>
                <c:pt idx="2">
                  <c:v>2164</c:v>
                </c:pt>
                <c:pt idx="3">
                  <c:v>2480</c:v>
                </c:pt>
                <c:pt idx="4">
                  <c:v>3340</c:v>
                </c:pt>
                <c:pt idx="5">
                  <c:v>4150</c:v>
                </c:pt>
                <c:pt idx="6">
                  <c:v>1560</c:v>
                </c:pt>
                <c:pt idx="7">
                  <c:v>1995</c:v>
                </c:pt>
                <c:pt idx="8">
                  <c:v>2164</c:v>
                </c:pt>
                <c:pt idx="9">
                  <c:v>2480</c:v>
                </c:pt>
                <c:pt idx="10">
                  <c:v>3340</c:v>
                </c:pt>
                <c:pt idx="11">
                  <c:v>4150</c:v>
                </c:pt>
                <c:pt idx="12">
                  <c:v>1487</c:v>
                </c:pt>
                <c:pt idx="13">
                  <c:v>1895.5</c:v>
                </c:pt>
                <c:pt idx="14">
                  <c:v>2062.5</c:v>
                </c:pt>
                <c:pt idx="15">
                  <c:v>2356</c:v>
                </c:pt>
                <c:pt idx="16">
                  <c:v>3172.5</c:v>
                </c:pt>
                <c:pt idx="17">
                  <c:v>3940.5</c:v>
                </c:pt>
                <c:pt idx="18">
                  <c:v>1487</c:v>
                </c:pt>
                <c:pt idx="19">
                  <c:v>1895.5</c:v>
                </c:pt>
                <c:pt idx="20">
                  <c:v>2062.5</c:v>
                </c:pt>
                <c:pt idx="21">
                  <c:v>2356</c:v>
                </c:pt>
                <c:pt idx="22">
                  <c:v>3172.5</c:v>
                </c:pt>
                <c:pt idx="23">
                  <c:v>3940.5</c:v>
                </c:pt>
                <c:pt idx="24">
                  <c:v>4420</c:v>
                </c:pt>
                <c:pt idx="25">
                  <c:v>4817.5</c:v>
                </c:pt>
                <c:pt idx="26">
                  <c:v>5375</c:v>
                </c:pt>
                <c:pt idx="27">
                  <c:v>1747.5</c:v>
                </c:pt>
                <c:pt idx="28">
                  <c:v>2157.5</c:v>
                </c:pt>
                <c:pt idx="29">
                  <c:v>2311.5</c:v>
                </c:pt>
                <c:pt idx="30">
                  <c:v>2382.5</c:v>
                </c:pt>
                <c:pt idx="31">
                  <c:v>2709</c:v>
                </c:pt>
                <c:pt idx="32">
                  <c:v>2840</c:v>
                </c:pt>
                <c:pt idx="33">
                  <c:v>3225</c:v>
                </c:pt>
                <c:pt idx="34">
                  <c:v>1105</c:v>
                </c:pt>
                <c:pt idx="35">
                  <c:v>1205</c:v>
                </c:pt>
                <c:pt idx="36">
                  <c:v>1470</c:v>
                </c:pt>
                <c:pt idx="37">
                  <c:v>1062</c:v>
                </c:pt>
                <c:pt idx="38">
                  <c:v>2250</c:v>
                </c:pt>
                <c:pt idx="39">
                  <c:v>2500</c:v>
                </c:pt>
                <c:pt idx="40">
                  <c:v>3050</c:v>
                </c:pt>
                <c:pt idx="41">
                  <c:v>3750</c:v>
                </c:pt>
                <c:pt idx="42">
                  <c:v>655.13</c:v>
                </c:pt>
                <c:pt idx="43">
                  <c:v>887.5</c:v>
                </c:pt>
                <c:pt idx="44">
                  <c:v>1865</c:v>
                </c:pt>
                <c:pt idx="45">
                  <c:v>2050</c:v>
                </c:pt>
                <c:pt idx="46">
                  <c:v>2595</c:v>
                </c:pt>
                <c:pt idx="47">
                  <c:v>3195</c:v>
                </c:pt>
                <c:pt idx="48">
                  <c:v>2507.5</c:v>
                </c:pt>
                <c:pt idx="49">
                  <c:v>2620</c:v>
                </c:pt>
                <c:pt idx="50">
                  <c:v>2800</c:v>
                </c:pt>
                <c:pt idx="51">
                  <c:v>2882.5</c:v>
                </c:pt>
                <c:pt idx="52">
                  <c:v>3102.5</c:v>
                </c:pt>
                <c:pt idx="53">
                  <c:v>3250</c:v>
                </c:pt>
                <c:pt idx="54">
                  <c:v>6177.5</c:v>
                </c:pt>
                <c:pt idx="55">
                  <c:v>7385</c:v>
                </c:pt>
                <c:pt idx="56">
                  <c:v>10085</c:v>
                </c:pt>
                <c:pt idx="57">
                  <c:v>2502.5</c:v>
                </c:pt>
                <c:pt idx="58">
                  <c:v>2505</c:v>
                </c:pt>
                <c:pt idx="59">
                  <c:v>1200</c:v>
                </c:pt>
                <c:pt idx="60">
                  <c:v>1387.5</c:v>
                </c:pt>
                <c:pt idx="61">
                  <c:v>1562.5</c:v>
                </c:pt>
                <c:pt idx="62">
                  <c:v>1737.5</c:v>
                </c:pt>
                <c:pt idx="63">
                  <c:v>950</c:v>
                </c:pt>
              </c:numCache>
            </c:numRef>
          </c:yVal>
          <c:smooth val="0"/>
          <c:extLst>
            <c:ext xmlns:c16="http://schemas.microsoft.com/office/drawing/2014/chart" uri="{C3380CC4-5D6E-409C-BE32-E72D297353CC}">
              <c16:uniqueId val="{00000003-1EA9-4B27-BE78-3600005328A2}"/>
            </c:ext>
          </c:extLst>
        </c:ser>
        <c:dLbls>
          <c:showLegendKey val="0"/>
          <c:showVal val="0"/>
          <c:showCatName val="0"/>
          <c:showSerName val="0"/>
          <c:showPercent val="0"/>
          <c:showBubbleSize val="0"/>
        </c:dLbls>
        <c:axId val="888987992"/>
        <c:axId val="888989072"/>
      </c:scatterChart>
      <c:valAx>
        <c:axId val="88898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Puissance</a:t>
                </a:r>
                <a:r>
                  <a:rPr lang="fr-CA" baseline="0"/>
                  <a:t> des appareils</a:t>
                </a:r>
              </a:p>
              <a:p>
                <a:pPr>
                  <a:defRPr/>
                </a:pPr>
                <a:r>
                  <a:rPr lang="fr-CA" baseline="0"/>
                  <a:t>(Btu/h)</a:t>
                </a:r>
                <a:endParaRPr lang="fr-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9072"/>
        <c:crosses val="autoZero"/>
        <c:crossBetween val="midCat"/>
      </c:valAx>
      <c:valAx>
        <c:axId val="88898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Montants</a:t>
                </a:r>
                <a:r>
                  <a:rPr lang="fr-CA" baseline="0"/>
                  <a:t> ($)</a:t>
                </a:r>
                <a:endParaRPr lang="fr-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CA"/>
            </a:p>
          </c:txPr>
        </c:title>
        <c:numFmt formatCode="_ * #\ ##0_)\ &quot;$&quot;_ ;_ * \(#\ ##0\)\ &quot;$&quot;_ ;_ * &quot;-&quot;??_)\ &quot;$&quot;_ ;_ @_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8987992"/>
        <c:crosses val="autoZero"/>
        <c:crossBetween val="midCat"/>
      </c:valAx>
      <c:spPr>
        <a:noFill/>
        <a:ln>
          <a:noFill/>
        </a:ln>
        <a:effectLst/>
      </c:spPr>
    </c:plotArea>
    <c:legend>
      <c:legendPos val="r"/>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160480</xdr:colOff>
      <xdr:row>0</xdr:row>
      <xdr:rowOff>56364</xdr:rowOff>
    </xdr:from>
    <xdr:to>
      <xdr:col>3</xdr:col>
      <xdr:colOff>1926700</xdr:colOff>
      <xdr:row>1</xdr:row>
      <xdr:rowOff>54157</xdr:rowOff>
    </xdr:to>
    <xdr:pic>
      <xdr:nvPicPr>
        <xdr:cNvPr id="5" name="Picture 4">
          <a:extLst>
            <a:ext uri="{FF2B5EF4-FFF2-40B4-BE49-F238E27FC236}">
              <a16:creationId xmlns:a16="http://schemas.microsoft.com/office/drawing/2014/main" id="{158D94F3-3671-2D85-805C-CA5BE3E49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545" y="56364"/>
          <a:ext cx="2191781" cy="822906"/>
        </a:xfrm>
        <a:prstGeom prst="rect">
          <a:avLst/>
        </a:prstGeom>
      </xdr:spPr>
    </xdr:pic>
    <xdr:clientData/>
  </xdr:twoCellAnchor>
  <xdr:twoCellAnchor editAs="oneCell">
    <xdr:from>
      <xdr:col>1</xdr:col>
      <xdr:colOff>160480</xdr:colOff>
      <xdr:row>0</xdr:row>
      <xdr:rowOff>56364</xdr:rowOff>
    </xdr:from>
    <xdr:to>
      <xdr:col>3</xdr:col>
      <xdr:colOff>1926700</xdr:colOff>
      <xdr:row>1</xdr:row>
      <xdr:rowOff>54157</xdr:rowOff>
    </xdr:to>
    <xdr:pic>
      <xdr:nvPicPr>
        <xdr:cNvPr id="2" name="Picture 1">
          <a:extLst>
            <a:ext uri="{FF2B5EF4-FFF2-40B4-BE49-F238E27FC236}">
              <a16:creationId xmlns:a16="http://schemas.microsoft.com/office/drawing/2014/main" id="{4E6CAFFA-1377-470B-B62A-23A9BC21E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40" y="56364"/>
          <a:ext cx="2192940" cy="835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156210</xdr:colOff>
      <xdr:row>48</xdr:row>
      <xdr:rowOff>121920</xdr:rowOff>
    </xdr:from>
    <xdr:to>
      <xdr:col>5</xdr:col>
      <xdr:colOff>862965</xdr:colOff>
      <xdr:row>49</xdr:row>
      <xdr:rowOff>262890</xdr:rowOff>
    </xdr:to>
    <xdr:sp macro="" textlink="">
      <xdr:nvSpPr>
        <xdr:cNvPr id="3" name="Triangle isocèle 8">
          <a:extLst>
            <a:ext uri="{FF2B5EF4-FFF2-40B4-BE49-F238E27FC236}">
              <a16:creationId xmlns:a16="http://schemas.microsoft.com/office/drawing/2014/main" id="{0FAD51A2-2C17-4514-9225-05FF21C049E4}"/>
            </a:ext>
          </a:extLst>
        </xdr:cNvPr>
        <xdr:cNvSpPr/>
      </xdr:nvSpPr>
      <xdr:spPr>
        <a:xfrm flipV="1">
          <a:off x="3829050" y="6903720"/>
          <a:ext cx="706755" cy="3238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tIns="108000" rIns="144000" bIns="108000" rtlCol="0" anchor="ctr">
          <a:noAutofit/>
        </a:bodyPr>
        <a:lstStyle/>
        <a:p>
          <a:pPr algn="l">
            <a:spcBef>
              <a:spcPts val="600"/>
            </a:spcBef>
          </a:pPr>
          <a:endParaRPr lang="fr-CA" sz="1600" b="1" dirty="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0</xdr:colOff>
      <xdr:row>23</xdr:row>
      <xdr:rowOff>0</xdr:rowOff>
    </xdr:from>
    <xdr:ext cx="5492115" cy="1376680"/>
    <xdr:pic>
      <xdr:nvPicPr>
        <xdr:cNvPr id="5" name="Picture 4" descr="A table with numbers and letters&#10;&#10;AI-generated content may be incorrect.">
          <a:extLst>
            <a:ext uri="{FF2B5EF4-FFF2-40B4-BE49-F238E27FC236}">
              <a16:creationId xmlns:a16="http://schemas.microsoft.com/office/drawing/2014/main" id="{FB3ACEC4-411A-489B-B183-AD2D3B4C4196}"/>
            </a:ext>
          </a:extLst>
        </xdr:cNvPr>
        <xdr:cNvPicPr>
          <a:picLocks noChangeAspect="1"/>
        </xdr:cNvPicPr>
      </xdr:nvPicPr>
      <xdr:blipFill>
        <a:blip xmlns:r="http://schemas.openxmlformats.org/officeDocument/2006/relationships" r:embed="rId1"/>
        <a:stretch>
          <a:fillRect/>
        </a:stretch>
      </xdr:blipFill>
      <xdr:spPr>
        <a:xfrm>
          <a:off x="6248400" y="4206240"/>
          <a:ext cx="5492115" cy="1376680"/>
        </a:xfrm>
        <a:prstGeom prst="rect">
          <a:avLst/>
        </a:prstGeom>
      </xdr:spPr>
    </xdr:pic>
    <xdr:clientData/>
  </xdr:oneCellAnchor>
  <xdr:oneCellAnchor>
    <xdr:from>
      <xdr:col>10</xdr:col>
      <xdr:colOff>0</xdr:colOff>
      <xdr:row>31</xdr:row>
      <xdr:rowOff>0</xdr:rowOff>
    </xdr:from>
    <xdr:ext cx="3468370" cy="1466215"/>
    <xdr:pic>
      <xdr:nvPicPr>
        <xdr:cNvPr id="6" name="Picture 5" descr="A blue and white chart with white text&#10;&#10;AI-generated content may be incorrect.">
          <a:extLst>
            <a:ext uri="{FF2B5EF4-FFF2-40B4-BE49-F238E27FC236}">
              <a16:creationId xmlns:a16="http://schemas.microsoft.com/office/drawing/2014/main" id="{D9B35F72-E27B-4BC4-8570-54FCEE4B8191}"/>
            </a:ext>
          </a:extLst>
        </xdr:cNvPr>
        <xdr:cNvPicPr>
          <a:picLocks noChangeAspect="1"/>
        </xdr:cNvPicPr>
      </xdr:nvPicPr>
      <xdr:blipFill>
        <a:blip xmlns:r="http://schemas.openxmlformats.org/officeDocument/2006/relationships" r:embed="rId2"/>
        <a:stretch>
          <a:fillRect/>
        </a:stretch>
      </xdr:blipFill>
      <xdr:spPr>
        <a:xfrm>
          <a:off x="6248400" y="5669280"/>
          <a:ext cx="3468370" cy="1466215"/>
        </a:xfrm>
        <a:prstGeom prst="rect">
          <a:avLst/>
        </a:prstGeom>
      </xdr:spPr>
    </xdr:pic>
    <xdr:clientData/>
  </xdr:oneCellAnchor>
  <xdr:oneCellAnchor>
    <xdr:from>
      <xdr:col>10</xdr:col>
      <xdr:colOff>0</xdr:colOff>
      <xdr:row>39</xdr:row>
      <xdr:rowOff>0</xdr:rowOff>
    </xdr:from>
    <xdr:ext cx="3751580" cy="539750"/>
    <xdr:pic>
      <xdr:nvPicPr>
        <xdr:cNvPr id="7" name="Picture 6" descr="A close-up of a number&#10;&#10;AI-generated content may be incorrect.">
          <a:extLst>
            <a:ext uri="{FF2B5EF4-FFF2-40B4-BE49-F238E27FC236}">
              <a16:creationId xmlns:a16="http://schemas.microsoft.com/office/drawing/2014/main" id="{BFEFC47C-27F1-4573-81AE-5D14649E7537}"/>
            </a:ext>
          </a:extLst>
        </xdr:cNvPr>
        <xdr:cNvPicPr>
          <a:picLocks noChangeAspect="1"/>
        </xdr:cNvPicPr>
      </xdr:nvPicPr>
      <xdr:blipFill>
        <a:blip xmlns:r="http://schemas.openxmlformats.org/officeDocument/2006/relationships" r:embed="rId3"/>
        <a:stretch>
          <a:fillRect/>
        </a:stretch>
      </xdr:blipFill>
      <xdr:spPr>
        <a:xfrm>
          <a:off x="6248400" y="7132320"/>
          <a:ext cx="3751580" cy="539750"/>
        </a:xfrm>
        <a:prstGeom prst="rect">
          <a:avLst/>
        </a:prstGeom>
      </xdr:spPr>
    </xdr:pic>
    <xdr:clientData/>
  </xdr:oneCellAnchor>
  <xdr:oneCellAnchor>
    <xdr:from>
      <xdr:col>10</xdr:col>
      <xdr:colOff>0</xdr:colOff>
      <xdr:row>42</xdr:row>
      <xdr:rowOff>0</xdr:rowOff>
    </xdr:from>
    <xdr:ext cx="4322445" cy="1632585"/>
    <xdr:pic>
      <xdr:nvPicPr>
        <xdr:cNvPr id="8" name="Picture 7" descr="A screenshot of a calculator&#10;&#10;AI-generated content may be incorrect.">
          <a:extLst>
            <a:ext uri="{FF2B5EF4-FFF2-40B4-BE49-F238E27FC236}">
              <a16:creationId xmlns:a16="http://schemas.microsoft.com/office/drawing/2014/main" id="{7FF72CEE-7F38-42C5-9C46-EE33607C025A}"/>
            </a:ext>
          </a:extLst>
        </xdr:cNvPr>
        <xdr:cNvPicPr>
          <a:picLocks noChangeAspect="1"/>
        </xdr:cNvPicPr>
      </xdr:nvPicPr>
      <xdr:blipFill>
        <a:blip xmlns:r="http://schemas.openxmlformats.org/officeDocument/2006/relationships" r:embed="rId4"/>
        <a:stretch>
          <a:fillRect/>
        </a:stretch>
      </xdr:blipFill>
      <xdr:spPr>
        <a:xfrm>
          <a:off x="6248400" y="7680960"/>
          <a:ext cx="4322445" cy="1632585"/>
        </a:xfrm>
        <a:prstGeom prst="rect">
          <a:avLst/>
        </a:prstGeom>
      </xdr:spPr>
    </xdr:pic>
    <xdr:clientData/>
  </xdr:oneCellAnchor>
  <xdr:oneCellAnchor>
    <xdr:from>
      <xdr:col>10</xdr:col>
      <xdr:colOff>0</xdr:colOff>
      <xdr:row>51</xdr:row>
      <xdr:rowOff>0</xdr:rowOff>
    </xdr:from>
    <xdr:ext cx="5492115" cy="3859530"/>
    <xdr:pic>
      <xdr:nvPicPr>
        <xdr:cNvPr id="9" name="Picture 8" descr="A white paper with black text and black text&#10;&#10;AI-generated content may be incorrect.">
          <a:extLst>
            <a:ext uri="{FF2B5EF4-FFF2-40B4-BE49-F238E27FC236}">
              <a16:creationId xmlns:a16="http://schemas.microsoft.com/office/drawing/2014/main" id="{3325CCC1-B311-4829-960C-6C184E65AB58}"/>
            </a:ext>
          </a:extLst>
        </xdr:cNvPr>
        <xdr:cNvPicPr>
          <a:picLocks noChangeAspect="1"/>
        </xdr:cNvPicPr>
      </xdr:nvPicPr>
      <xdr:blipFill>
        <a:blip xmlns:r="http://schemas.openxmlformats.org/officeDocument/2006/relationships" r:embed="rId5"/>
        <a:stretch>
          <a:fillRect/>
        </a:stretch>
      </xdr:blipFill>
      <xdr:spPr>
        <a:xfrm>
          <a:off x="6248400" y="9326880"/>
          <a:ext cx="5492115" cy="3859530"/>
        </a:xfrm>
        <a:prstGeom prst="rect">
          <a:avLst/>
        </a:prstGeom>
      </xdr:spPr>
    </xdr:pic>
    <xdr:clientData/>
  </xdr:oneCellAnchor>
  <xdr:oneCellAnchor>
    <xdr:from>
      <xdr:col>15</xdr:col>
      <xdr:colOff>0</xdr:colOff>
      <xdr:row>24</xdr:row>
      <xdr:rowOff>0</xdr:rowOff>
    </xdr:from>
    <xdr:ext cx="5558790" cy="1922145"/>
    <xdr:pic>
      <xdr:nvPicPr>
        <xdr:cNvPr id="10" name="Picture 9" descr="A table with numbers and percentages&#10;&#10;AI-generated content may be incorrect.">
          <a:extLst>
            <a:ext uri="{FF2B5EF4-FFF2-40B4-BE49-F238E27FC236}">
              <a16:creationId xmlns:a16="http://schemas.microsoft.com/office/drawing/2014/main" id="{21F80B89-D51F-4C8C-B7B7-6FB8676815C8}"/>
            </a:ext>
          </a:extLst>
        </xdr:cNvPr>
        <xdr:cNvPicPr>
          <a:picLocks noChangeAspect="1"/>
        </xdr:cNvPicPr>
      </xdr:nvPicPr>
      <xdr:blipFill>
        <a:blip xmlns:r="http://schemas.openxmlformats.org/officeDocument/2006/relationships" r:embed="rId6"/>
        <a:stretch>
          <a:fillRect/>
        </a:stretch>
      </xdr:blipFill>
      <xdr:spPr>
        <a:xfrm>
          <a:off x="9372600" y="4389120"/>
          <a:ext cx="5558790" cy="1922145"/>
        </a:xfrm>
        <a:prstGeom prst="rect">
          <a:avLst/>
        </a:prstGeom>
      </xdr:spPr>
    </xdr:pic>
    <xdr:clientData/>
  </xdr:oneCellAnchor>
  <xdr:oneCellAnchor>
    <xdr:from>
      <xdr:col>15</xdr:col>
      <xdr:colOff>0</xdr:colOff>
      <xdr:row>35</xdr:row>
      <xdr:rowOff>0</xdr:rowOff>
    </xdr:from>
    <xdr:ext cx="4175760" cy="1394460"/>
    <xdr:pic>
      <xdr:nvPicPr>
        <xdr:cNvPr id="11" name="Picture 10" descr="A screenshot of a computer&#10;&#10;AI-generated content may be incorrect.">
          <a:extLst>
            <a:ext uri="{FF2B5EF4-FFF2-40B4-BE49-F238E27FC236}">
              <a16:creationId xmlns:a16="http://schemas.microsoft.com/office/drawing/2014/main" id="{915A2C06-02C9-4984-8DC9-576BD4A8E074}"/>
            </a:ext>
          </a:extLst>
        </xdr:cNvPr>
        <xdr:cNvPicPr>
          <a:picLocks noChangeAspect="1"/>
        </xdr:cNvPicPr>
      </xdr:nvPicPr>
      <xdr:blipFill>
        <a:blip xmlns:r="http://schemas.openxmlformats.org/officeDocument/2006/relationships" r:embed="rId7"/>
        <a:stretch>
          <a:fillRect/>
        </a:stretch>
      </xdr:blipFill>
      <xdr:spPr>
        <a:xfrm>
          <a:off x="9372600" y="6400800"/>
          <a:ext cx="4175760" cy="139446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489501</xdr:colOff>
      <xdr:row>188</xdr:row>
      <xdr:rowOff>165072</xdr:rowOff>
    </xdr:from>
    <xdr:to>
      <xdr:col>6</xdr:col>
      <xdr:colOff>198120</xdr:colOff>
      <xdr:row>219</xdr:row>
      <xdr:rowOff>106680</xdr:rowOff>
    </xdr:to>
    <xdr:graphicFrame macro="">
      <xdr:nvGraphicFramePr>
        <xdr:cNvPr id="2" name="Chart 1">
          <a:extLst>
            <a:ext uri="{FF2B5EF4-FFF2-40B4-BE49-F238E27FC236}">
              <a16:creationId xmlns:a16="http://schemas.microsoft.com/office/drawing/2014/main" id="{D8E4829E-65B9-41EB-8938-EB50FDFD6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182880</xdr:colOff>
      <xdr:row>0</xdr:row>
      <xdr:rowOff>171450</xdr:rowOff>
    </xdr:from>
    <xdr:to>
      <xdr:col>15</xdr:col>
      <xdr:colOff>76200</xdr:colOff>
      <xdr:row>21</xdr:row>
      <xdr:rowOff>160020</xdr:rowOff>
    </xdr:to>
    <xdr:graphicFrame macro="">
      <xdr:nvGraphicFramePr>
        <xdr:cNvPr id="2" name="Chart 1">
          <a:extLst>
            <a:ext uri="{FF2B5EF4-FFF2-40B4-BE49-F238E27FC236}">
              <a16:creationId xmlns:a16="http://schemas.microsoft.com/office/drawing/2014/main" id="{FA355ADA-E34B-78EC-75BF-203128BC6B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44450</xdr:colOff>
      <xdr:row>2</xdr:row>
      <xdr:rowOff>33337</xdr:rowOff>
    </xdr:from>
    <xdr:to>
      <xdr:col>27</xdr:col>
      <xdr:colOff>673100</xdr:colOff>
      <xdr:row>17</xdr:row>
      <xdr:rowOff>65087</xdr:rowOff>
    </xdr:to>
    <xdr:graphicFrame macro="">
      <xdr:nvGraphicFramePr>
        <xdr:cNvPr id="2" name="Graphique 1">
          <a:extLst>
            <a:ext uri="{FF2B5EF4-FFF2-40B4-BE49-F238E27FC236}">
              <a16:creationId xmlns:a16="http://schemas.microsoft.com/office/drawing/2014/main" id="{2852E1B6-32FA-A34C-58CE-B2BB4B64C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Donn&#23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0-2011\Rapport%20annuel\Chiffrier%20RA%202010-2011\SCGM-Donn&#233;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SCGM-PT-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Rapport%20annuel\Chiffrier%20pour%20tets%20a%20posterirori\SCGM-Donn&#233;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zmet.com\dfs\dfs\MTL\Usagers_06\na85017\Documents%20R&#233;seaux\VentesPar\na85017\2010-2011\chiffrier\SCGM-PT-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fs\MTL\Usagers_06\na85017\Documents%20R&#233;seaux\VentesPar\na85017\2011-2012\Chiffrier%20d&#233;pot%20R&#233;gie%20avec%20anciens%20cas%20type%20PE202et%20Pe210\SCGM-Donn&#233;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13.xls"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energir.sharepoint.com/sites/ENRG-Marketing-EfficaciteEnergetique-valuations/Documents%20partages/&#201;valuations/Suivi%20des%20recommandations/Simulation%20-%20Modalit&#233;%20d'aide%20financi&#232;re/A&#233;rotherme%20et%20Combo%20P.9/TCTR%20Combo%20P9%20-%20TEST.xlsx" TargetMode="External"/><Relationship Id="rId2" Type="http://schemas.microsoft.com/office/2019/04/relationships/externalLinkLongPath" Target="/sites/ENRG-Marketing-EfficaciteEnergetique-valuations/Documents%20partages/&#201;valuations/Suivi%20des%20recommandations/Simulation%20-%20Modalit&#233;%20d'aide%20financi&#232;re/A&#233;rotherme%20et%20Combo%20P.9/A&#233;rothermes/TCTR%20Combo%20P9%20-%20TEST.xlsx?04187475" TargetMode="External"/><Relationship Id="rId1" Type="http://schemas.openxmlformats.org/officeDocument/2006/relationships/externalLinkPath" Target="file:///\\04187475\TCTR%20Combo%20P9%20-%20TES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PT-4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zmet.com\dfs\Marketing\Marketing\Suivi_2017-2018\PGE&#201;_et_SPEDE\R&#233;gie\Rapport_annuel_2017\Fiche%20de%20programme%20RA%202017%20&#224;%20partir%20de%20CT2017V%20corrig&#23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zmet.com\dfs\MTL\Usagers_06\na85017\Documents%20R&#233;seaux\VentesPar\na85017\2014-2015\Chiffrier%20CT%202015\SCGM-Donn&#233;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AccèsIntangibles" refersTo="='Données cachées hé hé'!$S$70:$S$109"/>
      <definedName name="AccèsTangibles" refersTo="='Données cachées hé hé'!$S$10:$S$69"/>
      <definedName name="AnnéeDépart" refersTo="='Données générales'!$E$51"/>
      <definedName name="AnnéeSCGM" refersTo="='Données cachées hé hé'!$H$10:$K$57"/>
      <definedName name="Budgets" refersTo="='Budgets cachés'!$B$9:$U$108"/>
      <definedName name="BudgetsPICAn1" refersTo="='Répartition des budgets'!$E$130:$O$149"/>
      <definedName name="BudgetsPICAn2" refersTo="='Répartition des budgets'!$P$130:$W$149"/>
      <definedName name="BudgetsPICAn3" refersTo="='Répartition des budgets'!$Y$130:$AG$150"/>
      <definedName name="BudgetsPICPlan" refersTo="='Répartition des budgets'!$AH$130:$AM$150"/>
      <definedName name="BudgetsPIRAn1" refersTo="='Répartition des budgets'!$E$106:$O$126"/>
      <definedName name="BudgetsPIRAn2" refersTo="='Répartition des budgets'!$P$106:$X$126"/>
      <definedName name="BudgetsPIRAn3" refersTo="='Répartition des budgets'!$Y$106:$AG$126"/>
      <definedName name="BudgetsPIRPlan" refersTo="='Répartition des budgets'!$AH$106:$AM$126"/>
      <definedName name="BudgetsPTCAn1" refersTo="='Répartition des budgets'!$E$58:$O$78"/>
      <definedName name="BudgetsPTCAn2" refersTo="='Répartition des budgets'!$P$58:$X$78"/>
      <definedName name="BudgetsPTCAn3" refersTo="='Répartition des budgets'!$Y$58:$AG$78"/>
      <definedName name="BudgetsPTCPlan" refersTo="='Répartition des budgets'!$AH$58:$AM$78"/>
      <definedName name="BudgetsPTRAn1" refersTo="='Répartition des budgets'!$E$34:$O$54"/>
      <definedName name="BudgetsPTRAn2" refersTo="='Répartition des budgets'!$P$34:$X$54"/>
      <definedName name="BudgetsPTRAn3" refersTo="='Répartition des budgets'!$Y$34:$AG$54"/>
      <definedName name="BudgetsPTRPlan" refersTo="='Répartition des budgets'!$AH$34:$AM$54"/>
      <definedName name="BudgetsPTVAn1" refersTo="='Répartition des budgets'!$E$82:$O$102"/>
      <definedName name="BudgetsPTVAn2" refersTo="='Répartition des budgets'!$P$82:$X$102"/>
      <definedName name="BudgetsPTVAn3" refersTo="='Répartition des budgets'!$Y$82:$AG$102"/>
      <definedName name="BudgetsPTVPlan" refersTo="='Répartition des budgets'!$AH$82:$AM$102"/>
      <definedName name="BudgetsSupAdmAn1" refersTo="='Répartition des budgets'!$G$23:$O$30"/>
      <definedName name="BudgetsSupAdmAn2" refersTo="='Répartition des budgets'!$P$23:$X$30"/>
      <definedName name="BudgetsSupAdmAn3" refersTo="='Répartition des budgets'!$Y$23:$AG$30"/>
      <definedName name="ComposantesGES" refersTo="='Données générales'!$N$39:$Q$51"/>
      <definedName name="CoûtsCO2" refersTo="='Données générales'!$P$49:$Q$51"/>
      <definedName name="Ct_1" refersTo="='Données générales'!$P$49"/>
      <definedName name="Ct_2" refersTo="='Données générales'!$P$50"/>
      <definedName name="Ct_3" refersTo="='Données générales'!$P$51"/>
      <definedName name="ÉtudRechRéal" refersTo="='Activités de recherche'!$P$11"/>
      <definedName name="FichiersIntangCII" refersTo="#REF!"/>
      <definedName name="FichiersIntangRés" refersTo="#REF!"/>
      <definedName name="FichiersTangCII" refersTo="='Programmes tangibles'!$AH$24:$AH$43"/>
      <definedName name="FichiersTangRés" refersTo="='Programmes tangibles'!$I$24:$I$43"/>
      <definedName name="FichiersTangVGE" refersTo="='Programmes tangibles'!$BG$24:$BG$43"/>
      <definedName name="MoisAnnéeSCGM" refersTo="='Données cachées hé hé'!$D$9:$E$20"/>
      <definedName name="MoisComplété" refersTo="='Données générales'!$J$51"/>
      <definedName name="NbMois" refersTo="='Données cachées hé hé'!$E$26"/>
      <definedName name="NbProgrammes" refersTo="='Répartition des budgets'!$F$5"/>
      <definedName name="ProgIntangiblesCII" refersTo="='Programmes intangibles'!$AH$24:$AV$43"/>
      <definedName name="ProgIntangiblesRés" refersTo="='Programmes intangibles'!$I$24:$W$43"/>
      <definedName name="ProgTangiblesCII" refersTo="='Programmes tangibles'!$AH$24:$AV$43"/>
      <definedName name="ProgTangiblesRés" refersTo="='Programmes tangibles'!$I$24:$W$43"/>
      <definedName name="ProgTangiblesVGE" refersTo="='Programmes tangibles'!$BG$24:$BU$43"/>
      <definedName name="RevenusImpactTarif" refersTo="='Données générales'!$I$44"/>
      <definedName name="RevenusTotauxImpactTarif" refersTo="='Données générales'!$I$45"/>
      <definedName name="SupportAdministration" refersTo="='Répartition des budgets'!$E$23:$F$28"/>
      <definedName name="TotalRépartAn1" refersTo="='Répartition des budgets'!$O$29"/>
      <definedName name="TotalRépartAn2" refersTo="='Répartition des budgets'!$X$29"/>
      <definedName name="TotalRépartAn3" refersTo="='Répartition des budgets'!$AG$29"/>
      <definedName name="TotalSupAdmAN1" refersTo="='Répartition des budgets'!$O$30"/>
      <definedName name="TotalSupAdmAN2" refersTo="='Répartition des budgets'!$X$30"/>
      <definedName name="TotalSupAdmAN3" refersTo="='Répartition des budgets'!$AG$30"/>
      <definedName name="TotalSupAdmProg" refersTo="='Répartition des budgets'!$AM$30"/>
      <definedName name="TpClientèles" refersTo="='Données cachées hé hé'!$AG$12:$AI$14"/>
      <definedName name="VANSansSub" refersTo="#REF!"/>
      <definedName name="VersCourOutils" refersTo="='Données cachées hé hé'!$Z$14"/>
      <definedName name="VersCourPEE" refersTo="='Données cachées hé hé'!$Z$13"/>
      <definedName name="VolumeImpactTarif" refersTo="='Données générales'!$I$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Mise en page"/>
      <sheetName val="Contrôle Accès"/>
      <sheetName val="Répartition des budgets du plan"/>
      <sheetName val="Rapport suivi et implantation"/>
      <sheetName val="Réduction des externalités (kg)"/>
      <sheetName val="Réduction des externalités ($)"/>
      <sheetName val="Économies unitaires"/>
      <sheetName val="Feuille cachée!"/>
      <sheetName val="Tableaux de bord"/>
      <sheetName val="Récapitulatif financier"/>
      <sheetName val="Pertes revenus"/>
      <sheetName val="PRI"/>
      <sheetName val="Récompenses"/>
      <sheetName val="Récompense globale"/>
      <sheetName val="Figure II"/>
      <sheetName val="Impact sur revenus"/>
      <sheetName val="Comparatif de tests"/>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BudgetsSupAdmAn1" refersTo="='Répartition des budgets'!$G$23:$O$3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Ct_2" refersTo="='Données générales'!$P$50"/>
      <definedName name="ProgTangiblesRés" refersTo="='Programmes tangibles'!$I$24:$W$43"/>
    </defined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sheetData sheetId="1" refreshError="1"/>
      <sheetData sheetId="2" refreshError="1"/>
      <sheetData sheetId="3"/>
      <sheetData sheetId="4"/>
      <sheetData sheetId="5" refreshError="1"/>
      <sheetData sheetId="6"/>
      <sheetData sheetId="7"/>
      <sheetData sheetId="8"/>
      <sheetData sheetId="9"/>
      <sheetData sheetId="10"/>
      <sheetData sheetId="11" refreshError="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SCGM-Données"/>
    </sheetNames>
    <definedNames>
      <definedName name="ProgIntangiblesCII" refersTo="='Programmes intangibles'!$AH$24:$AV$43"/>
    </defined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compenses"/>
      <sheetName val="Résultat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CTR test PE212"/>
      <sheetName val="Combo P9"/>
      <sheetName val="CT2022 NC 2025"/>
      <sheetName val="PE233"/>
      <sheetName val="PE226"/>
      <sheetName val="PE215"/>
      <sheetName val="PE224"/>
      <sheetName val="TCTR sensibilité"/>
      <sheetName val="Coûts évités"/>
      <sheetName val="Paramètres économiq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nées cachées hi hi"/>
      <sheetName val="Mode d'emploi"/>
      <sheetName val="Mise en page"/>
      <sheetName val="Récompenses"/>
      <sheetName val="Données spécifiques"/>
      <sheetName val="Calculs tarifaires"/>
      <sheetName val="Pertes de revenus"/>
      <sheetName val="Études économiques"/>
      <sheetName val="Études économiques R"/>
      <sheetName val="Tests de rentabilité"/>
      <sheetName val="Tests de rentabilité R"/>
      <sheetName val="Tests comparés"/>
      <sheetName val="Bonus"/>
      <sheetName val="Bonus R"/>
      <sheetName val="Résulta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124"/>
      <sheetName val="NOTE"/>
      <sheetName val="Paramètre"/>
      <sheetName val="PE103"/>
      <sheetName val="PE106"/>
      <sheetName val="PE111"/>
      <sheetName val="PE113"/>
      <sheetName val="PE123"/>
      <sheetName val="PE126"/>
      <sheetName val="VALIDATION résidentiel"/>
      <sheetName val="PE202"/>
      <sheetName val="PE204"/>
      <sheetName val="PE207"/>
      <sheetName val="PE208"/>
      <sheetName val="PE210"/>
      <sheetName val="PE212"/>
      <sheetName val="PE215"/>
      <sheetName val="PE220"/>
      <sheetName val="PE224"/>
      <sheetName val="PE225"/>
      <sheetName val="PE226"/>
      <sheetName val="PE233"/>
      <sheetName val="PE234"/>
      <sheetName val="PE235"/>
      <sheetName val="PE236"/>
      <sheetName val="PE221"/>
      <sheetName val="VALIDATION CII"/>
      <sheetName val="PE211"/>
      <sheetName val="PE214"/>
      <sheetName val="PE218"/>
      <sheetName val="PE219"/>
      <sheetName val="VALIDATION vge"/>
      <sheetName val="PE217"/>
      <sheetName val="PE213"/>
      <sheetName val="Tableau 1"/>
      <sheetName val="Tableau 2"/>
      <sheetName val="Tableau 3"/>
      <sheetName val="Tableaux 4 et 5"/>
      <sheetName val="Tableau D RÉPART BUDGET"/>
      <sheetName val="Tableau 6"/>
      <sheetName val=" Tableau Annexe"/>
      <sheetName val="Tableau FCompar avec BNÉ"/>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Données cachées hé hé"/>
      <sheetName val="Mise en page"/>
      <sheetName val="Budgets cachés"/>
      <sheetName val="Données générales"/>
      <sheetName val="Programmes tangibles"/>
      <sheetName val="Programmes intangibles"/>
      <sheetName val="Activités de recherche"/>
      <sheetName val="Répartition des budgets"/>
      <sheetName val="Tarifs-Constantes"/>
      <sheetName val="Tarifs-Structures"/>
      <sheetName val="Feuil1"/>
      <sheetName val="Feuil2"/>
      <sheetName val="SCGM-Données"/>
    </sheetNames>
    <definedNames>
      <definedName name="TauxInflation" refersTo="='Données générales'!$E$2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Ye Bernard" id="{66AB2D2F-6E82-4B88-AB2F-C150ACFA3F3D}" userId="S::bernard.ye@energir.com::369c1fd1-0685-4ec5-b26e-f671dd7791c5"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connectionId="1" xr16:uid="{DDA555BF-8CEC-4207-AEA0-AAF8ABCED2AC}" autoFormatId="16" applyNumberFormats="0" applyBorderFormats="0" applyFontFormats="0" applyPatternFormats="0" applyAlignmentFormats="0" applyWidthHeightFormats="0">
  <queryTableRefresh nextId="6">
    <queryTableFields count="5">
      <queryTableField id="1" name="Période" tableColumnId="1"/>
      <queryTableField id="2" name="Prix référenceÉnergir($/GJ)" tableColumnId="2"/>
      <queryTableField id="3" name="Prix référenceÉnergir(¢/m³)" tableColumnId="3"/>
      <queryTableField id="4" name="Prix du marchéContrat 1 an($/GJ)" tableColumnId="4"/>
      <queryTableField id="5" name="Prix du marchéMensuel($/GJ)" tableColumnId="5"/>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28335F-F196-4381-B836-BB00B5613BDF}" name="Table69" displayName="Table69" ref="F17:G18" totalsRowShown="0">
  <autoFilter ref="F17:G18" xr:uid="{5599A369-52FF-4666-83B9-9D568882CC3B}"/>
  <tableColumns count="2">
    <tableColumn id="1" xr3:uid="{08D578E2-EBF2-4DBE-BF5D-7EC04D783C97}" name="$/m3" dataDxfId="37"/>
    <tableColumn id="2" xr3:uid="{96FA9E5A-9A7D-45E8-B94B-577945984BDA}" name="$/GJ"/>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FC6872-6B23-4AD5-A12D-816152B32886}" name="Table_1" displayName="Table_1" ref="A1:E21" tableType="queryTable" totalsRowShown="0">
  <autoFilter ref="A1:E21" xr:uid="{B3FC6872-6B23-4AD5-A12D-816152B32886}"/>
  <sortState xmlns:xlrd2="http://schemas.microsoft.com/office/spreadsheetml/2017/richdata2" ref="A2:E21">
    <sortCondition descending="1" ref="A1:A21"/>
  </sortState>
  <tableColumns count="5">
    <tableColumn id="1" xr3:uid="{8CF86186-71DC-4944-A76E-6326E4F09C46}" uniqueName="1" name="Période" queryTableFieldId="1" dataDxfId="0"/>
    <tableColumn id="2" xr3:uid="{2B3A41ED-1555-49E7-A6DB-71F47F35C8FF}" uniqueName="2" name="Prix référenceÉnergir($/GJ)" queryTableFieldId="2"/>
    <tableColumn id="3" xr3:uid="{E1AEDBA1-8F3B-4FB9-A3F8-8996CAAA4441}" uniqueName="3" name="Prix référenceÉnergir(¢/m³)" queryTableFieldId="3"/>
    <tableColumn id="4" xr3:uid="{0B35DBC2-3C38-4BB1-B973-2368A83CFB32}" uniqueName="4" name="Prix du marchéContrat 1 an($/GJ)" queryTableFieldId="4"/>
    <tableColumn id="5" xr3:uid="{6BBB6436-553B-4B3A-BF1A-D9EA6BF079AF}" uniqueName="5" name="Prix du marchéMensuel($/GJ)" queryTableFieldId="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D967DA-205C-405B-BEC3-8053687383A4}" name="Tableau4" displayName="Tableau4" ref="B5:AF187" totalsRowShown="0" headerRowDxfId="36" tableBorderDxfId="35">
  <autoFilter ref="B5:AF187" xr:uid="{70D967DA-205C-405B-BEC3-8053687383A4}"/>
  <sortState xmlns:xlrd2="http://schemas.microsoft.com/office/spreadsheetml/2017/richdata2" ref="B6:AF187">
    <sortCondition ref="B5:B187"/>
  </sortState>
  <tableColumns count="31">
    <tableColumn id="1" xr3:uid="{2C258046-DDF8-466F-BC25-25FB640895C4}" name="Année financière" dataDxfId="34"/>
    <tableColumn id="2" xr3:uid="{18B79D5B-89EC-48F0-BCB3-BB7BE7007C1D}" name="Numéro dossier" dataDxfId="33"/>
    <tableColumn id="3" xr3:uid="{7E99A588-91A1-467C-A189-BA6D7FE0BF49}" name="Nombres appareils installés" dataDxfId="32"/>
    <tableColumn id="4" xr3:uid="{A3AEB366-A000-49AF-8DD3-E36477D49049}" name="Capacité (BTU)" dataDxfId="31"/>
    <tableColumn id="33" xr3:uid="{E417865B-06FE-4781-B625-BA4BE9D51A42}" name="Économies par appareil (m3)" dataDxfId="30">
      <calculatedColumnFormula>Tableau4[[#This Row],[Economies totales (m3)]]/Tableau4[[#This Row],[Nombres appareils installés]]</calculatedColumnFormula>
    </tableColumn>
    <tableColumn id="5" xr3:uid="{CC640C6C-A304-411F-9F73-5852EA5E4237}" name="Economies totales (m3)" dataDxfId="29"/>
    <tableColumn id="6" xr3:uid="{4A79E429-E50E-424B-A8F1-C2A911B0139F}" name="Surcoût moyens de l'équipement ($)" dataDxfId="28">
      <calculatedColumnFormula>(0.00000003*E6^2 - 0.0001*E6 + 1533.4)</calculatedColumnFormula>
    </tableColumn>
    <tableColumn id="20" xr3:uid="{E76DC801-055A-455D-ACC5-67308FB697FB}" name="Surcoût moyen de l'installation ($)" dataDxfId="27"/>
    <tableColumn id="29" xr3:uid="{7E4BC708-0F28-41A0-BB59-88912329E580}" name="Surcoût par appareil ($)" dataDxfId="26">
      <calculatedColumnFormula>Tableau4[[#This Row],[Surcoût moyens de l''équipement ($)]]+Tableau4[[#This Row],[Surcoût moyen de l''installation ($)]]</calculatedColumnFormula>
    </tableColumn>
    <tableColumn id="28" xr3:uid="{EC351B52-5AB6-4540-8938-3D2DF80CA9C5}" name="Surcoût total ($)" dataDxfId="25">
      <calculatedColumnFormula>Tableau4[[#This Row],[Surcoût par appareil ($)]]*Tableau4[[#This Row],[Nombres appareils installés]]</calculatedColumnFormula>
    </tableColumn>
    <tableColumn id="7" xr3:uid="{E0E907DA-40DD-404D-806A-AE5AA792C038}" name="AF accordée ($)" dataDxfId="24"/>
    <tableColumn id="8" xr3:uid="{742CD7BB-6F35-4E22-B065-6B3EE39A00ED}" name="AF 0 ($)" dataDxfId="23">
      <calculatedColumnFormula>($M$4+$N$4*(E6/1000))*D6</calculatedColumnFormula>
    </tableColumn>
    <tableColumn id="21" xr3:uid="{367F61F3-58DC-47D9-9584-6229ECF1DEC0}" name="AF 0 par appareil ($)" dataDxfId="22">
      <calculatedColumnFormula>Tableau4[[#This Row],[AF 0 ($)]]/Tableau4[[#This Row],[Nombres appareils installés]]</calculatedColumnFormula>
    </tableColumn>
    <tableColumn id="9" xr3:uid="{98C378C3-A119-4BE7-A36D-A1E9F68F518B}" name="Couverture 0 (%)" dataDxfId="21">
      <calculatedColumnFormula>(Tableau4[[#This Row],[AF accordée ($)]])/($J$6*D6)</calculatedColumnFormula>
    </tableColumn>
    <tableColumn id="14" xr3:uid="{7900D830-FA56-4AED-87B0-25B91E60FD8F}" name="Couverture * nb appareils 0" dataDxfId="20">
      <calculatedColumnFormula>Tableau4[[#This Row],[Couverture 0 (%)]]*Tableau4[[#This Row],[Nombres appareils installés]]</calculatedColumnFormula>
    </tableColumn>
    <tableColumn id="10" xr3:uid="{969EE72C-10A2-4EF0-9FF5-FD00248BF2BE}" name="AF 1 ($)" dataDxfId="19">
      <calculatedColumnFormula>($Q$4+$R$4*(Tableau4[[#This Row],[Capacité (BTU)]]/1000))*Tableau4[[#This Row],[Nombres appareils installés]]</calculatedColumnFormula>
    </tableColumn>
    <tableColumn id="22" xr3:uid="{CB9D8784-63B1-4EF2-8BF0-178FFBAD89AD}" name="AF 1 par appareil ($)" dataDxfId="18">
      <calculatedColumnFormula>Tableau4[[#This Row],[AF 1 ($)]]/Tableau4[[#This Row],[Nombres appareils installés]]</calculatedColumnFormula>
    </tableColumn>
    <tableColumn id="11" xr3:uid="{38BCB967-7219-4F95-9134-BD9B74C7B2AB}" name="Couverture 1 (%)" dataDxfId="17">
      <calculatedColumnFormula>Tableau4[[#This Row],[AF 1 ($)]]/(J6*D6)</calculatedColumnFormula>
    </tableColumn>
    <tableColumn id="18" xr3:uid="{C9BA2FF2-96BA-4B29-BD57-0046C41F0758}" name="Couverture * nb appareils 1" dataDxfId="16">
      <calculatedColumnFormula>Tableau4[[#This Row],[Couverture 1 (%)]]*Tableau4[[#This Row],[Nombres appareils installés]]</calculatedColumnFormula>
    </tableColumn>
    <tableColumn id="12" xr3:uid="{6BAD1C9A-2920-4C6E-B55C-8F290F5A60A4}" name="AF 2 ($)" dataDxfId="15">
      <calculatedColumnFormula>($U$4+($V$4*(Tableau4[[#This Row],[Capacité (BTU)]]/1000)))*Tableau4[[#This Row],[Nombres appareils installés]]</calculatedColumnFormula>
    </tableColumn>
    <tableColumn id="23" xr3:uid="{96CBAFF9-4858-449B-9EF7-27506FB4A0AB}" name="AF 2 par appareil ($)" dataDxfId="14">
      <calculatedColumnFormula>Tableau4[[#This Row],[AF 2 ($)]]/Tableau4[[#This Row],[Nombres appareils installés]]</calculatedColumnFormula>
    </tableColumn>
    <tableColumn id="13" xr3:uid="{B6921385-9CB9-4724-98D1-EDA503555EA3}" name="Couverture 2 (%)" dataDxfId="13">
      <calculatedColumnFormula>Tableau4[[#This Row],[AF 2 par appareil ($)]]/Tableau4[[#This Row],[Surcoût par appareil ($)]]</calculatedColumnFormula>
    </tableColumn>
    <tableColumn id="24" xr3:uid="{63A84616-E7E8-400F-B446-9B4B4DF5A68A}" name="Couverture * nb appareils 2" dataDxfId="12">
      <calculatedColumnFormula>Tableau4[[#This Row],[Couverture 2 (%)]]*Tableau4[[#This Row],[Nombres appareils installés]]</calculatedColumnFormula>
    </tableColumn>
    <tableColumn id="30" xr3:uid="{84F95A76-9D61-4EEF-BA59-8D5BC97E6DCB}" name="AF 3 ($)" dataDxfId="11">
      <calculatedColumnFormula>($Y$4+$Z$4*(Tableau4[[#This Row],[Capacité (BTU)]]/1000))*Tableau4[[#This Row],[Nombres appareils installés]]</calculatedColumnFormula>
    </tableColumn>
    <tableColumn id="31" xr3:uid="{06A6173C-0C8D-471A-83F0-F2642299C02E}" name="AF 3 par appareil ($)" dataDxfId="10">
      <calculatedColumnFormula>Tableau4[[#This Row],[AF 3 ($)]]/Tableau4[[#This Row],[Nombres appareils installés]]</calculatedColumnFormula>
    </tableColumn>
    <tableColumn id="15" xr3:uid="{DF36779F-46E2-45D6-82E4-CABDB3D15103}" name="Couverture 3 (%)" dataDxfId="9">
      <calculatedColumnFormula>Tableau4[[#This Row],[AF 3 par appareil ($)]]/Tableau4[[#This Row],[Surcoût par appareil ($)]]</calculatedColumnFormula>
    </tableColumn>
    <tableColumn id="25" xr3:uid="{D627295C-2DAE-4F9E-BFCB-226B3FBD391E}" name="Couverture * nb appareils 3" dataDxfId="8">
      <calculatedColumnFormula>Tableau4[[#This Row],[Couverture 3 (%)]]*Tableau4[[#This Row],[Nombres appareils installés]]</calculatedColumnFormula>
    </tableColumn>
    <tableColumn id="16" xr3:uid="{A51A08FF-9A04-43A1-B859-2D2EAE801204}" name="AF 4 ($)" dataDxfId="7">
      <calculatedColumnFormula>($AC$4+$AD$4*(Tableau4[[#This Row],[Capacité (BTU)]]/1000))*Tableau4[[#This Row],[Nombres appareils installés]]</calculatedColumnFormula>
    </tableColumn>
    <tableColumn id="17" xr3:uid="{70F239F0-EEAD-4F8B-B5DE-6D18129FC3F7}" name="AF 4 par appareil  ($)" dataDxfId="6">
      <calculatedColumnFormula>Tableau4[[#This Row],[AF 4 ($)]]/Tableau4[[#This Row],[Nombres appareils installés]]</calculatedColumnFormula>
    </tableColumn>
    <tableColumn id="26" xr3:uid="{7798F8FE-6FB2-41E0-B301-813B310E63C1}" name="Couverture * nb appareils 4" dataDxfId="5">
      <calculatedColumnFormula>Tableau4[[#This Row],[Couverture 4 (%)]]*Tableau4[[#This Row],[Nombres appareils installés]]</calculatedColumnFormula>
    </tableColumn>
    <tableColumn id="19" xr3:uid="{773F8DDB-F2A7-419D-B616-67E9B454857F}" name="Couverture 4 (%)" dataDxfId="4">
      <calculatedColumnFormula>Tableau4[[#This Row],[AF 4 par appareil  ($)]]/Tableau4[[#This Row],[Surcoût par appareil ($)]]</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8A1326-680E-4733-8E28-B9ABB46CE976}" name="Table3" displayName="Table3" ref="B2:E10" totalsRowShown="0">
  <autoFilter ref="B2:E10" xr:uid="{078A1326-680E-4733-8E28-B9ABB46CE976}"/>
  <tableColumns count="4">
    <tableColumn id="1" xr3:uid="{321C93EB-B6DC-4D5D-9257-698733E291DF}" name="BTU/h"/>
    <tableColumn id="2" xr3:uid="{75CE12DC-DC42-4961-BEF2-C966A0DF00CE}" name="Économies réelles">
      <calculatedColumnFormula>0.0051*B3</calculatedColumnFormula>
    </tableColumn>
    <tableColumn id="3" xr3:uid="{05B66C4F-46B8-4752-A943-5A1D52BCD2C7}" name="Économies calculées"/>
    <tableColumn id="4" xr3:uid="{15EF2C40-2D6E-4A9C-8F50-69869A866544}" name="Erreur " dataDxfId="3">
      <calculatedColumnFormula>ABS(D3-C3)/C3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5-07-08T17:58:29.17" personId="{66AB2D2F-6E82-4B88-AB2F-C150ACFA3F3D}" id="{2D733443-3C14-4345-BEED-9617CEDFB48F}">
    <text>Provient d’une simulation antérieure dont les résultats se trouvent dans l’onglet Économies réelles</text>
  </threadedComment>
  <threadedComment ref="D2" dT="2025-07-08T17:57:06.28" personId="{66AB2D2F-6E82-4B88-AB2F-C150ACFA3F3D}" id="{7245E22F-E632-4D9D-8A18-99BCA2C3A008}">
    <text xml:space="preserve">Obtenu en remplacant les BTU dans l’outil de calcul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ir.com/fr/affaires/efficacite-energetique/programme-efficacite-energetique/aerother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drawing" Target="../drawings/drawing5.xml"/><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A429-E02F-4D91-A92B-255037A1E19F}">
  <sheetPr codeName="Sheet13">
    <tabColor theme="0"/>
  </sheetPr>
  <dimension ref="A1:VM1414"/>
  <sheetViews>
    <sheetView showGridLines="0" zoomScaleNormal="100" workbookViewId="0">
      <selection activeCell="D9" sqref="D9"/>
    </sheetView>
  </sheetViews>
  <sheetFormatPr defaultColWidth="11.44140625" defaultRowHeight="14.4" x14ac:dyDescent="0.3"/>
  <cols>
    <col min="1" max="3" width="3.109375" customWidth="1"/>
    <col min="4" max="4" width="119.5546875" customWidth="1"/>
    <col min="5" max="5" width="4" style="40" customWidth="1"/>
    <col min="6" max="6" width="3.88671875" style="40" customWidth="1"/>
    <col min="7" max="7" width="2.88671875" style="40" customWidth="1"/>
    <col min="8" max="8" width="3.109375" customWidth="1"/>
    <col min="9" max="9" width="49.44140625" style="39" customWidth="1"/>
    <col min="10" max="10" width="4" style="39" customWidth="1"/>
    <col min="11" max="11" width="47.5546875" style="39" customWidth="1"/>
    <col min="12" max="12" width="17" style="39" customWidth="1"/>
    <col min="13" max="30" width="27.6640625" style="39" customWidth="1"/>
    <col min="31" max="31" width="3.109375" style="39" customWidth="1"/>
    <col min="32" max="32" width="30" style="39" customWidth="1"/>
    <col min="33" max="585" width="11.44140625" style="39"/>
  </cols>
  <sheetData>
    <row r="1" spans="1:8" ht="66" customHeight="1" x14ac:dyDescent="0.3">
      <c r="E1" s="48"/>
      <c r="F1" s="34"/>
      <c r="G1" s="39"/>
      <c r="H1" s="39"/>
    </row>
    <row r="2" spans="1:8" ht="24.6" x14ac:dyDescent="0.4">
      <c r="C2" s="61" t="s">
        <v>0</v>
      </c>
      <c r="E2" s="48"/>
      <c r="F2" s="34"/>
      <c r="G2" s="39"/>
      <c r="H2" s="39"/>
    </row>
    <row r="3" spans="1:8" ht="21" x14ac:dyDescent="0.4">
      <c r="C3" s="58" t="s">
        <v>1</v>
      </c>
      <c r="D3" s="49"/>
      <c r="E3" s="48"/>
      <c r="F3" s="34"/>
      <c r="G3" s="39"/>
      <c r="H3" s="39"/>
    </row>
    <row r="4" spans="1:8" ht="18.600000000000001" customHeight="1" x14ac:dyDescent="0.3">
      <c r="D4" s="60"/>
      <c r="E4" s="60"/>
      <c r="F4" s="34"/>
      <c r="G4" s="39"/>
      <c r="H4" s="39"/>
    </row>
    <row r="5" spans="1:8" ht="72.599999999999994" x14ac:dyDescent="0.3">
      <c r="D5" s="62" t="s">
        <v>389</v>
      </c>
      <c r="E5" s="43"/>
      <c r="F5" s="34"/>
      <c r="G5" s="39"/>
      <c r="H5" s="39"/>
    </row>
    <row r="6" spans="1:8" ht="18.600000000000001" customHeight="1" x14ac:dyDescent="0.3">
      <c r="D6" s="59"/>
      <c r="E6" s="43"/>
      <c r="F6" s="34"/>
      <c r="G6" s="39"/>
      <c r="H6" s="39"/>
    </row>
    <row r="7" spans="1:8" s="214" customFormat="1" ht="18.600000000000001" customHeight="1" x14ac:dyDescent="0.3">
      <c r="A7" s="209"/>
      <c r="B7" s="209"/>
      <c r="C7" s="209"/>
      <c r="D7" s="209" t="s">
        <v>2</v>
      </c>
      <c r="E7" s="209"/>
      <c r="F7" s="209"/>
    </row>
    <row r="8" spans="1:8" ht="12" customHeight="1" x14ac:dyDescent="0.3">
      <c r="D8" s="59"/>
      <c r="E8" s="43"/>
      <c r="F8" s="34"/>
      <c r="G8" s="39"/>
      <c r="H8" s="39"/>
    </row>
    <row r="9" spans="1:8" ht="390.6" customHeight="1" x14ac:dyDescent="0.3">
      <c r="D9" s="62" t="s">
        <v>385</v>
      </c>
      <c r="E9" s="43"/>
      <c r="F9" s="34"/>
      <c r="G9" s="39"/>
      <c r="H9" s="39"/>
    </row>
    <row r="10" spans="1:8" ht="31.2" customHeight="1" x14ac:dyDescent="0.3">
      <c r="D10" s="59"/>
      <c r="E10" s="43"/>
      <c r="F10" s="34"/>
      <c r="G10" s="39"/>
      <c r="H10" s="39"/>
    </row>
    <row r="11" spans="1:8" ht="27.6" customHeight="1" x14ac:dyDescent="0.3">
      <c r="D11" s="99" t="s">
        <v>3</v>
      </c>
      <c r="E11" s="43"/>
      <c r="F11" s="34"/>
      <c r="G11" s="39"/>
      <c r="H11" s="39"/>
    </row>
    <row r="12" spans="1:8" ht="41.4" customHeight="1" x14ac:dyDescent="0.3">
      <c r="D12" s="100" t="s">
        <v>4</v>
      </c>
      <c r="E12" s="43"/>
      <c r="F12" s="34"/>
      <c r="G12" s="39"/>
      <c r="H12" s="39"/>
    </row>
    <row r="13" spans="1:8" ht="388.95" customHeight="1" x14ac:dyDescent="0.3">
      <c r="D13" s="62" t="s">
        <v>5</v>
      </c>
      <c r="E13" s="43"/>
      <c r="F13" s="34"/>
      <c r="G13" s="39"/>
      <c r="H13" s="39"/>
    </row>
    <row r="14" spans="1:8" x14ac:dyDescent="0.3">
      <c r="D14" s="101"/>
      <c r="E14" s="43"/>
      <c r="F14" s="34"/>
      <c r="G14" s="39"/>
      <c r="H14" s="39"/>
    </row>
    <row r="15" spans="1:8" ht="19.95" customHeight="1" x14ac:dyDescent="0.3">
      <c r="D15" s="59"/>
      <c r="E15" s="44"/>
      <c r="F15" s="34"/>
      <c r="G15" s="39"/>
      <c r="H15" s="39"/>
    </row>
    <row r="16" spans="1:8" ht="251.4" x14ac:dyDescent="0.3">
      <c r="D16" s="62" t="s">
        <v>386</v>
      </c>
      <c r="E16" s="43"/>
      <c r="F16" s="34"/>
      <c r="G16" s="39"/>
      <c r="H16" s="39"/>
    </row>
    <row r="17" spans="1:8" ht="16.95" customHeight="1" x14ac:dyDescent="0.3">
      <c r="D17" s="62"/>
      <c r="E17" s="43"/>
      <c r="F17" s="34"/>
      <c r="G17" s="39"/>
      <c r="H17" s="39"/>
    </row>
    <row r="18" spans="1:8" ht="38.4" customHeight="1" x14ac:dyDescent="0.3">
      <c r="D18" s="97" t="s">
        <v>387</v>
      </c>
      <c r="E18" s="43"/>
      <c r="F18" s="34"/>
      <c r="G18" s="39"/>
      <c r="H18" s="39"/>
    </row>
    <row r="19" spans="1:8" ht="19.95" customHeight="1" thickBot="1" x14ac:dyDescent="0.35">
      <c r="D19" s="62"/>
      <c r="E19" s="43"/>
      <c r="F19" s="34"/>
      <c r="G19" s="39"/>
      <c r="H19" s="39"/>
    </row>
    <row r="20" spans="1:8" ht="67.95" customHeight="1" thickBot="1" x14ac:dyDescent="0.35">
      <c r="D20" s="63" t="s">
        <v>6</v>
      </c>
      <c r="E20" s="43"/>
      <c r="F20" s="34"/>
      <c r="G20" s="39"/>
      <c r="H20" s="39"/>
    </row>
    <row r="21" spans="1:8" ht="19.2" customHeight="1" x14ac:dyDescent="0.3">
      <c r="D21" s="59"/>
      <c r="E21" s="43"/>
      <c r="F21" s="34"/>
      <c r="G21" s="39"/>
      <c r="H21" s="39"/>
    </row>
    <row r="22" spans="1:8" ht="16.95" customHeight="1" x14ac:dyDescent="0.3">
      <c r="D22" s="73" t="s">
        <v>7</v>
      </c>
      <c r="E22" s="43"/>
      <c r="F22" s="34"/>
      <c r="G22" s="39"/>
      <c r="H22" s="39"/>
    </row>
    <row r="23" spans="1:8" x14ac:dyDescent="0.3">
      <c r="D23" s="59"/>
      <c r="E23" s="43"/>
      <c r="F23" s="34"/>
      <c r="G23" s="39"/>
      <c r="H23" s="39"/>
    </row>
    <row r="24" spans="1:8" ht="7.5" customHeight="1" x14ac:dyDescent="0.3">
      <c r="B24" s="34"/>
      <c r="C24" s="34"/>
      <c r="D24" s="51"/>
      <c r="E24" s="43"/>
      <c r="F24" s="34"/>
      <c r="G24" s="39"/>
      <c r="H24" s="39"/>
    </row>
    <row r="25" spans="1:8" x14ac:dyDescent="0.3">
      <c r="A25" s="65"/>
      <c r="B25" s="65"/>
      <c r="C25" s="39"/>
      <c r="D25" s="39"/>
      <c r="E25" s="39"/>
      <c r="F25" s="39"/>
      <c r="G25" s="39"/>
      <c r="H25" s="39"/>
    </row>
    <row r="26" spans="1:8" s="39" customFormat="1" x14ac:dyDescent="0.3">
      <c r="A26" s="66"/>
      <c r="B26" s="67"/>
    </row>
    <row r="27" spans="1:8" s="39" customFormat="1" ht="7.5" customHeight="1" x14ac:dyDescent="0.3">
      <c r="A27" s="68"/>
      <c r="B27" s="67"/>
    </row>
    <row r="28" spans="1:8" s="39" customFormat="1" x14ac:dyDescent="0.3">
      <c r="A28" s="69"/>
      <c r="B28" s="67"/>
    </row>
    <row r="29" spans="1:8" s="39" customFormat="1" ht="7.5" customHeight="1" x14ac:dyDescent="0.3">
      <c r="A29" s="66"/>
      <c r="B29" s="67"/>
    </row>
    <row r="30" spans="1:8" s="39" customFormat="1" x14ac:dyDescent="0.3">
      <c r="A30" s="66"/>
      <c r="B30" s="67"/>
    </row>
    <row r="31" spans="1:8" s="39" customFormat="1" ht="7.5" customHeight="1" x14ac:dyDescent="0.3">
      <c r="A31" s="68"/>
      <c r="B31" s="67"/>
    </row>
    <row r="32" spans="1:8" s="39" customFormat="1" x14ac:dyDescent="0.3">
      <c r="A32" s="66"/>
      <c r="B32" s="67"/>
    </row>
    <row r="33" spans="1:12" s="39" customFormat="1" ht="7.5" customHeight="1" x14ac:dyDescent="0.3">
      <c r="A33" s="70"/>
      <c r="B33" s="67"/>
      <c r="D33" s="41"/>
    </row>
    <row r="34" spans="1:12" s="39" customFormat="1" x14ac:dyDescent="0.3">
      <c r="A34" s="66"/>
      <c r="B34" s="67"/>
    </row>
    <row r="35" spans="1:12" s="39" customFormat="1" ht="7.5" customHeight="1" x14ac:dyDescent="0.3">
      <c r="A35" s="70"/>
      <c r="B35" s="67"/>
      <c r="L35" s="41"/>
    </row>
    <row r="36" spans="1:12" s="39" customFormat="1" x14ac:dyDescent="0.3">
      <c r="A36" s="66"/>
      <c r="B36" s="67"/>
    </row>
    <row r="37" spans="1:12" s="39" customFormat="1" ht="7.5" customHeight="1" x14ac:dyDescent="0.3">
      <c r="A37" s="70"/>
      <c r="B37" s="67"/>
    </row>
    <row r="38" spans="1:12" s="39" customFormat="1" x14ac:dyDescent="0.3">
      <c r="A38" s="66"/>
      <c r="B38" s="67"/>
    </row>
    <row r="39" spans="1:12" s="39" customFormat="1" ht="7.5" customHeight="1" x14ac:dyDescent="0.3">
      <c r="A39" s="65"/>
      <c r="B39" s="65"/>
    </row>
    <row r="40" spans="1:12" s="39" customFormat="1" x14ac:dyDescent="0.3">
      <c r="B40" s="41"/>
    </row>
    <row r="41" spans="1:12" s="39" customFormat="1" ht="7.5" customHeight="1" x14ac:dyDescent="0.3">
      <c r="A41" s="64"/>
      <c r="B41" s="64"/>
    </row>
    <row r="42" spans="1:12" x14ac:dyDescent="0.3">
      <c r="A42" s="65"/>
      <c r="B42" s="65"/>
      <c r="C42" s="39"/>
      <c r="D42" s="39"/>
      <c r="E42" s="39"/>
      <c r="F42" s="39"/>
      <c r="G42" s="39"/>
      <c r="H42" s="39"/>
    </row>
    <row r="43" spans="1:12" s="39" customFormat="1" x14ac:dyDescent="0.3">
      <c r="A43" s="66"/>
      <c r="B43" s="67"/>
      <c r="E43" s="41"/>
    </row>
    <row r="44" spans="1:12" s="39" customFormat="1" ht="7.5" customHeight="1" x14ac:dyDescent="0.3">
      <c r="A44" s="68"/>
      <c r="B44" s="67"/>
    </row>
    <row r="45" spans="1:12" s="39" customFormat="1" x14ac:dyDescent="0.3">
      <c r="A45" s="66"/>
      <c r="B45" s="67"/>
    </row>
    <row r="46" spans="1:12" s="39" customFormat="1" ht="7.5" customHeight="1" x14ac:dyDescent="0.3">
      <c r="A46" s="66"/>
      <c r="B46" s="67"/>
    </row>
    <row r="47" spans="1:12" s="39" customFormat="1" x14ac:dyDescent="0.3">
      <c r="A47" s="66"/>
      <c r="B47" s="67"/>
    </row>
    <row r="48" spans="1:12" s="39" customFormat="1" ht="7.5" customHeight="1" x14ac:dyDescent="0.3">
      <c r="A48" s="68"/>
      <c r="B48" s="67"/>
    </row>
    <row r="49" spans="1:2" s="39" customFormat="1" x14ac:dyDescent="0.3">
      <c r="A49" s="66"/>
      <c r="B49" s="67"/>
    </row>
    <row r="50" spans="1:2" s="39" customFormat="1" ht="7.5" customHeight="1" x14ac:dyDescent="0.3">
      <c r="A50" s="70"/>
      <c r="B50" s="67"/>
    </row>
    <row r="51" spans="1:2" s="39" customFormat="1" x14ac:dyDescent="0.3">
      <c r="A51" s="66"/>
      <c r="B51" s="67"/>
    </row>
    <row r="52" spans="1:2" s="39" customFormat="1" ht="7.5" customHeight="1" x14ac:dyDescent="0.3">
      <c r="A52" s="70"/>
      <c r="B52" s="67"/>
    </row>
    <row r="53" spans="1:2" s="39" customFormat="1" x14ac:dyDescent="0.3">
      <c r="A53" s="66"/>
      <c r="B53" s="67"/>
    </row>
    <row r="54" spans="1:2" s="39" customFormat="1" ht="7.5" customHeight="1" x14ac:dyDescent="0.3">
      <c r="A54" s="70"/>
      <c r="B54" s="67"/>
    </row>
    <row r="55" spans="1:2" s="39" customFormat="1" x14ac:dyDescent="0.3">
      <c r="A55" s="66"/>
      <c r="B55" s="67"/>
    </row>
    <row r="56" spans="1:2" s="39" customFormat="1" ht="7.5" customHeight="1" x14ac:dyDescent="0.3">
      <c r="A56" s="65"/>
      <c r="B56" s="65"/>
    </row>
    <row r="57" spans="1:2" s="39" customFormat="1" x14ac:dyDescent="0.3">
      <c r="A57" s="71"/>
      <c r="B57" s="65"/>
    </row>
    <row r="58" spans="1:2" s="39" customFormat="1" ht="7.5" customHeight="1" x14ac:dyDescent="0.3">
      <c r="A58" s="72"/>
      <c r="B58" s="65"/>
    </row>
    <row r="59" spans="1:2" s="39" customFormat="1" x14ac:dyDescent="0.3">
      <c r="A59" s="72"/>
      <c r="B59" s="67"/>
    </row>
    <row r="60" spans="1:2" s="39" customFormat="1" x14ac:dyDescent="0.3">
      <c r="A60" s="72"/>
      <c r="B60" s="65"/>
    </row>
    <row r="61" spans="1:2" s="39" customFormat="1" x14ac:dyDescent="0.3">
      <c r="A61" s="71"/>
      <c r="B61" s="65"/>
    </row>
    <row r="62" spans="1:2" s="39" customFormat="1" x14ac:dyDescent="0.3"/>
    <row r="63" spans="1:2" s="39" customFormat="1" x14ac:dyDescent="0.3"/>
    <row r="64" spans="1:2" s="39" customFormat="1" x14ac:dyDescent="0.3"/>
    <row r="65" spans="5:7" s="39" customFormat="1" x14ac:dyDescent="0.3">
      <c r="E65" s="41"/>
      <c r="F65" s="41"/>
      <c r="G65" s="41"/>
    </row>
    <row r="66" spans="5:7" s="39" customFormat="1" x14ac:dyDescent="0.3">
      <c r="E66" s="41"/>
      <c r="F66" s="41"/>
      <c r="G66" s="41"/>
    </row>
    <row r="67" spans="5:7" s="39" customFormat="1" x14ac:dyDescent="0.3"/>
    <row r="68" spans="5:7" s="39" customFormat="1" x14ac:dyDescent="0.3"/>
    <row r="69" spans="5:7" s="39" customFormat="1" x14ac:dyDescent="0.3"/>
    <row r="70" spans="5:7" s="39" customFormat="1" x14ac:dyDescent="0.3"/>
    <row r="71" spans="5:7" s="39" customFormat="1" x14ac:dyDescent="0.3"/>
    <row r="72" spans="5:7" s="39" customFormat="1" x14ac:dyDescent="0.3"/>
    <row r="73" spans="5:7" s="39" customFormat="1" x14ac:dyDescent="0.3"/>
    <row r="74" spans="5:7" s="39" customFormat="1" x14ac:dyDescent="0.3"/>
    <row r="75" spans="5:7" s="39" customFormat="1" x14ac:dyDescent="0.3"/>
    <row r="76" spans="5:7" s="39" customFormat="1" x14ac:dyDescent="0.3"/>
    <row r="77" spans="5:7" s="39" customFormat="1" x14ac:dyDescent="0.3"/>
    <row r="78" spans="5:7" s="39" customFormat="1" x14ac:dyDescent="0.3"/>
    <row r="79" spans="5:7" s="39" customFormat="1" x14ac:dyDescent="0.3"/>
    <row r="80" spans="5:7" s="39" customFormat="1" x14ac:dyDescent="0.3"/>
    <row r="81" spans="5:7" s="39" customFormat="1" x14ac:dyDescent="0.3"/>
    <row r="82" spans="5:7" s="39" customFormat="1" x14ac:dyDescent="0.3"/>
    <row r="83" spans="5:7" s="39" customFormat="1" x14ac:dyDescent="0.3"/>
    <row r="84" spans="5:7" s="39" customFormat="1" x14ac:dyDescent="0.3">
      <c r="E84" s="41"/>
      <c r="F84" s="41"/>
      <c r="G84" s="41"/>
    </row>
    <row r="85" spans="5:7" s="39" customFormat="1" x14ac:dyDescent="0.3">
      <c r="E85" s="41"/>
      <c r="F85" s="41"/>
      <c r="G85" s="41"/>
    </row>
    <row r="86" spans="5:7" s="39" customFormat="1" x14ac:dyDescent="0.3">
      <c r="E86" s="41"/>
      <c r="F86" s="41"/>
      <c r="G86" s="41"/>
    </row>
    <row r="87" spans="5:7" s="39" customFormat="1" x14ac:dyDescent="0.3">
      <c r="E87" s="41"/>
      <c r="F87" s="41"/>
      <c r="G87" s="41"/>
    </row>
    <row r="88" spans="5:7" s="39" customFormat="1" x14ac:dyDescent="0.3">
      <c r="E88" s="41"/>
      <c r="F88" s="41"/>
      <c r="G88" s="41"/>
    </row>
    <row r="89" spans="5:7" s="39" customFormat="1" x14ac:dyDescent="0.3">
      <c r="E89" s="41"/>
      <c r="F89" s="41"/>
      <c r="G89" s="41"/>
    </row>
    <row r="90" spans="5:7" s="39" customFormat="1" x14ac:dyDescent="0.3">
      <c r="E90" s="41"/>
      <c r="F90" s="41"/>
      <c r="G90" s="41"/>
    </row>
    <row r="91" spans="5:7" s="39" customFormat="1" x14ac:dyDescent="0.3">
      <c r="E91" s="41"/>
      <c r="F91" s="41"/>
      <c r="G91" s="41"/>
    </row>
    <row r="92" spans="5:7" s="39" customFormat="1" x14ac:dyDescent="0.3">
      <c r="E92" s="41"/>
      <c r="F92" s="41"/>
      <c r="G92" s="41"/>
    </row>
    <row r="93" spans="5:7" s="39" customFormat="1" x14ac:dyDescent="0.3">
      <c r="E93" s="41"/>
      <c r="F93" s="41"/>
      <c r="G93" s="41"/>
    </row>
    <row r="94" spans="5:7" s="39" customFormat="1" x14ac:dyDescent="0.3">
      <c r="E94" s="41"/>
      <c r="F94" s="41"/>
      <c r="G94" s="41"/>
    </row>
    <row r="95" spans="5:7" s="39" customFormat="1" x14ac:dyDescent="0.3">
      <c r="E95" s="41"/>
      <c r="F95" s="41"/>
      <c r="G95" s="41"/>
    </row>
    <row r="96" spans="5:7" s="39" customFormat="1" x14ac:dyDescent="0.3">
      <c r="E96" s="41"/>
      <c r="F96" s="41"/>
      <c r="G96" s="41"/>
    </row>
    <row r="97" spans="5:7" s="39" customFormat="1" x14ac:dyDescent="0.3">
      <c r="E97" s="41"/>
      <c r="F97" s="41"/>
      <c r="G97" s="41"/>
    </row>
    <row r="98" spans="5:7" s="39" customFormat="1" x14ac:dyDescent="0.3">
      <c r="E98" s="41"/>
      <c r="F98" s="41"/>
      <c r="G98" s="41"/>
    </row>
    <row r="99" spans="5:7" s="39" customFormat="1" x14ac:dyDescent="0.3">
      <c r="E99" s="41"/>
      <c r="F99" s="41"/>
      <c r="G99" s="41"/>
    </row>
    <row r="100" spans="5:7" s="39" customFormat="1" x14ac:dyDescent="0.3">
      <c r="E100" s="41"/>
      <c r="F100" s="41"/>
      <c r="G100" s="41"/>
    </row>
    <row r="101" spans="5:7" s="39" customFormat="1" x14ac:dyDescent="0.3">
      <c r="E101" s="41"/>
      <c r="F101" s="41"/>
      <c r="G101" s="41"/>
    </row>
    <row r="102" spans="5:7" s="39" customFormat="1" x14ac:dyDescent="0.3">
      <c r="E102" s="41"/>
      <c r="F102" s="41"/>
      <c r="G102" s="41"/>
    </row>
    <row r="103" spans="5:7" s="39" customFormat="1" x14ac:dyDescent="0.3">
      <c r="E103" s="41"/>
      <c r="F103" s="41"/>
      <c r="G103" s="41"/>
    </row>
    <row r="104" spans="5:7" s="39" customFormat="1" x14ac:dyDescent="0.3">
      <c r="E104" s="41"/>
      <c r="F104" s="41"/>
      <c r="G104" s="41"/>
    </row>
    <row r="105" spans="5:7" s="39" customFormat="1" x14ac:dyDescent="0.3">
      <c r="E105" s="41"/>
      <c r="F105" s="41"/>
      <c r="G105" s="41"/>
    </row>
    <row r="106" spans="5:7" s="39" customFormat="1" x14ac:dyDescent="0.3">
      <c r="E106" s="41"/>
      <c r="F106" s="41"/>
      <c r="G106" s="41"/>
    </row>
    <row r="107" spans="5:7" s="39" customFormat="1" x14ac:dyDescent="0.3">
      <c r="E107" s="41"/>
      <c r="F107" s="41"/>
      <c r="G107" s="41"/>
    </row>
    <row r="108" spans="5:7" s="39" customFormat="1" x14ac:dyDescent="0.3">
      <c r="E108" s="41"/>
      <c r="F108" s="41"/>
      <c r="G108" s="41"/>
    </row>
    <row r="109" spans="5:7" s="39" customFormat="1" x14ac:dyDescent="0.3">
      <c r="E109" s="41"/>
      <c r="F109" s="41"/>
      <c r="G109" s="41"/>
    </row>
    <row r="110" spans="5:7" s="39" customFormat="1" x14ac:dyDescent="0.3">
      <c r="E110" s="41"/>
      <c r="F110" s="41"/>
      <c r="G110" s="41"/>
    </row>
    <row r="111" spans="5:7" s="39" customFormat="1" x14ac:dyDescent="0.3">
      <c r="E111" s="41"/>
      <c r="F111" s="41"/>
      <c r="G111" s="41"/>
    </row>
    <row r="112" spans="5:7" s="39" customFormat="1" x14ac:dyDescent="0.3">
      <c r="E112" s="41"/>
      <c r="F112" s="41"/>
      <c r="G112" s="41"/>
    </row>
    <row r="113" spans="5:7" s="39" customFormat="1" x14ac:dyDescent="0.3">
      <c r="E113" s="41"/>
      <c r="F113" s="41"/>
      <c r="G113" s="41"/>
    </row>
    <row r="114" spans="5:7" s="39" customFormat="1" x14ac:dyDescent="0.3">
      <c r="E114" s="41"/>
      <c r="F114" s="41"/>
      <c r="G114" s="41"/>
    </row>
    <row r="115" spans="5:7" s="39" customFormat="1" x14ac:dyDescent="0.3">
      <c r="E115" s="41"/>
      <c r="F115" s="41"/>
      <c r="G115" s="41"/>
    </row>
    <row r="116" spans="5:7" s="39" customFormat="1" x14ac:dyDescent="0.3">
      <c r="E116" s="41"/>
      <c r="F116" s="41"/>
      <c r="G116" s="41"/>
    </row>
    <row r="117" spans="5:7" s="39" customFormat="1" x14ac:dyDescent="0.3">
      <c r="E117" s="41"/>
      <c r="F117" s="41"/>
      <c r="G117" s="41"/>
    </row>
    <row r="118" spans="5:7" s="39" customFormat="1" x14ac:dyDescent="0.3">
      <c r="E118" s="41"/>
      <c r="F118" s="41"/>
      <c r="G118" s="41"/>
    </row>
    <row r="119" spans="5:7" s="39" customFormat="1" x14ac:dyDescent="0.3">
      <c r="E119" s="41"/>
      <c r="F119" s="41"/>
      <c r="G119" s="41"/>
    </row>
    <row r="120" spans="5:7" s="39" customFormat="1" x14ac:dyDescent="0.3">
      <c r="E120" s="41"/>
      <c r="F120" s="41"/>
      <c r="G120" s="41"/>
    </row>
    <row r="121" spans="5:7" s="39" customFormat="1" x14ac:dyDescent="0.3">
      <c r="E121" s="41"/>
      <c r="F121" s="41"/>
      <c r="G121" s="41"/>
    </row>
    <row r="122" spans="5:7" s="39" customFormat="1" x14ac:dyDescent="0.3">
      <c r="E122" s="41"/>
      <c r="F122" s="41"/>
      <c r="G122" s="41"/>
    </row>
    <row r="123" spans="5:7" s="39" customFormat="1" x14ac:dyDescent="0.3">
      <c r="E123" s="41"/>
      <c r="F123" s="41"/>
      <c r="G123" s="41"/>
    </row>
    <row r="124" spans="5:7" s="39" customFormat="1" x14ac:dyDescent="0.3">
      <c r="E124" s="41"/>
      <c r="F124" s="41"/>
      <c r="G124" s="41"/>
    </row>
    <row r="125" spans="5:7" s="39" customFormat="1" x14ac:dyDescent="0.3">
      <c r="E125" s="41"/>
      <c r="F125" s="41"/>
      <c r="G125" s="41"/>
    </row>
    <row r="126" spans="5:7" s="39" customFormat="1" x14ac:dyDescent="0.3">
      <c r="E126" s="41"/>
      <c r="F126" s="41"/>
      <c r="G126" s="41"/>
    </row>
    <row r="127" spans="5:7" s="39" customFormat="1" x14ac:dyDescent="0.3">
      <c r="E127" s="41"/>
      <c r="F127" s="41"/>
      <c r="G127" s="41"/>
    </row>
    <row r="128" spans="5:7" s="39" customFormat="1" x14ac:dyDescent="0.3">
      <c r="E128" s="41"/>
      <c r="F128" s="41"/>
      <c r="G128" s="41"/>
    </row>
    <row r="129" spans="5:7" s="39" customFormat="1" x14ac:dyDescent="0.3">
      <c r="E129" s="41"/>
      <c r="F129" s="41"/>
      <c r="G129" s="41"/>
    </row>
    <row r="130" spans="5:7" s="39" customFormat="1" x14ac:dyDescent="0.3">
      <c r="E130" s="41"/>
      <c r="F130" s="41"/>
      <c r="G130" s="41"/>
    </row>
    <row r="131" spans="5:7" s="39" customFormat="1" x14ac:dyDescent="0.3">
      <c r="E131" s="41"/>
      <c r="F131" s="41"/>
      <c r="G131" s="41"/>
    </row>
    <row r="132" spans="5:7" s="39" customFormat="1" x14ac:dyDescent="0.3">
      <c r="E132" s="41"/>
      <c r="F132" s="41"/>
      <c r="G132" s="41"/>
    </row>
    <row r="133" spans="5:7" s="39" customFormat="1" x14ac:dyDescent="0.3">
      <c r="E133" s="41"/>
      <c r="F133" s="41"/>
      <c r="G133" s="41"/>
    </row>
    <row r="134" spans="5:7" s="39" customFormat="1" x14ac:dyDescent="0.3">
      <c r="E134" s="41"/>
      <c r="F134" s="41"/>
      <c r="G134" s="41"/>
    </row>
    <row r="135" spans="5:7" s="39" customFormat="1" x14ac:dyDescent="0.3">
      <c r="E135" s="41"/>
      <c r="F135" s="41"/>
      <c r="G135" s="41"/>
    </row>
    <row r="136" spans="5:7" s="39" customFormat="1" x14ac:dyDescent="0.3">
      <c r="E136" s="41"/>
      <c r="F136" s="41"/>
      <c r="G136" s="41"/>
    </row>
    <row r="137" spans="5:7" s="39" customFormat="1" x14ac:dyDescent="0.3">
      <c r="E137" s="41"/>
      <c r="F137" s="41"/>
      <c r="G137" s="41"/>
    </row>
    <row r="138" spans="5:7" s="39" customFormat="1" x14ac:dyDescent="0.3">
      <c r="E138" s="41"/>
      <c r="F138" s="41"/>
      <c r="G138" s="41"/>
    </row>
    <row r="139" spans="5:7" s="39" customFormat="1" x14ac:dyDescent="0.3">
      <c r="E139" s="41"/>
      <c r="F139" s="41"/>
      <c r="G139" s="41"/>
    </row>
    <row r="140" spans="5:7" s="39" customFormat="1" x14ac:dyDescent="0.3">
      <c r="E140" s="41"/>
      <c r="F140" s="41"/>
      <c r="G140" s="41"/>
    </row>
    <row r="141" spans="5:7" s="39" customFormat="1" x14ac:dyDescent="0.3">
      <c r="E141" s="41"/>
      <c r="F141" s="41"/>
      <c r="G141" s="41"/>
    </row>
    <row r="142" spans="5:7" s="39" customFormat="1" x14ac:dyDescent="0.3">
      <c r="E142" s="41"/>
      <c r="F142" s="41"/>
      <c r="G142" s="41"/>
    </row>
    <row r="143" spans="5:7" s="39" customFormat="1" x14ac:dyDescent="0.3">
      <c r="E143" s="41"/>
      <c r="F143" s="41"/>
      <c r="G143" s="41"/>
    </row>
    <row r="144" spans="5:7" s="39" customFormat="1" x14ac:dyDescent="0.3">
      <c r="E144" s="41"/>
      <c r="F144" s="41"/>
      <c r="G144" s="41"/>
    </row>
    <row r="145" spans="5:7" s="39" customFormat="1" x14ac:dyDescent="0.3">
      <c r="E145" s="41"/>
      <c r="F145" s="41"/>
      <c r="G145" s="41"/>
    </row>
    <row r="146" spans="5:7" s="39" customFormat="1" x14ac:dyDescent="0.3">
      <c r="E146" s="41"/>
      <c r="F146" s="41"/>
      <c r="G146" s="41"/>
    </row>
    <row r="147" spans="5:7" s="39" customFormat="1" x14ac:dyDescent="0.3">
      <c r="E147" s="41"/>
      <c r="F147" s="41"/>
      <c r="G147" s="41"/>
    </row>
    <row r="148" spans="5:7" s="39" customFormat="1" x14ac:dyDescent="0.3">
      <c r="E148" s="41"/>
      <c r="F148" s="41"/>
      <c r="G148" s="41"/>
    </row>
    <row r="149" spans="5:7" s="39" customFormat="1" x14ac:dyDescent="0.3">
      <c r="E149" s="41"/>
      <c r="F149" s="41"/>
      <c r="G149" s="41"/>
    </row>
    <row r="150" spans="5:7" s="39" customFormat="1" x14ac:dyDescent="0.3">
      <c r="E150" s="41"/>
      <c r="F150" s="41"/>
      <c r="G150" s="41"/>
    </row>
    <row r="151" spans="5:7" s="39" customFormat="1" x14ac:dyDescent="0.3">
      <c r="E151" s="41"/>
      <c r="F151" s="41"/>
      <c r="G151" s="41"/>
    </row>
    <row r="152" spans="5:7" s="39" customFormat="1" x14ac:dyDescent="0.3">
      <c r="E152" s="41"/>
      <c r="F152" s="41"/>
      <c r="G152" s="41"/>
    </row>
    <row r="153" spans="5:7" s="39" customFormat="1" x14ac:dyDescent="0.3">
      <c r="E153" s="41"/>
      <c r="F153" s="41"/>
      <c r="G153" s="41"/>
    </row>
    <row r="154" spans="5:7" s="39" customFormat="1" x14ac:dyDescent="0.3">
      <c r="E154" s="41"/>
      <c r="F154" s="41"/>
      <c r="G154" s="41"/>
    </row>
    <row r="155" spans="5:7" s="39" customFormat="1" x14ac:dyDescent="0.3">
      <c r="E155" s="41"/>
      <c r="F155" s="41"/>
      <c r="G155" s="41"/>
    </row>
    <row r="156" spans="5:7" s="39" customFormat="1" x14ac:dyDescent="0.3">
      <c r="E156" s="41"/>
      <c r="F156" s="41"/>
      <c r="G156" s="41"/>
    </row>
    <row r="157" spans="5:7" s="39" customFormat="1" x14ac:dyDescent="0.3">
      <c r="E157" s="41"/>
      <c r="F157" s="41"/>
      <c r="G157" s="41"/>
    </row>
    <row r="158" spans="5:7" s="39" customFormat="1" x14ac:dyDescent="0.3">
      <c r="E158" s="41"/>
      <c r="F158" s="41"/>
      <c r="G158" s="41"/>
    </row>
    <row r="159" spans="5:7" s="39" customFormat="1" x14ac:dyDescent="0.3">
      <c r="E159" s="41"/>
      <c r="F159" s="41"/>
      <c r="G159" s="41"/>
    </row>
    <row r="160" spans="5:7" s="39" customFormat="1" x14ac:dyDescent="0.3">
      <c r="E160" s="41"/>
      <c r="F160" s="41"/>
      <c r="G160" s="41"/>
    </row>
    <row r="161" spans="5:7" s="39" customFormat="1" x14ac:dyDescent="0.3">
      <c r="E161" s="41"/>
      <c r="F161" s="41"/>
      <c r="G161" s="41"/>
    </row>
    <row r="162" spans="5:7" s="39" customFormat="1" x14ac:dyDescent="0.3">
      <c r="E162" s="41"/>
      <c r="F162" s="41"/>
      <c r="G162" s="41"/>
    </row>
    <row r="163" spans="5:7" s="39" customFormat="1" x14ac:dyDescent="0.3">
      <c r="E163" s="41"/>
      <c r="F163" s="41"/>
      <c r="G163" s="41"/>
    </row>
    <row r="164" spans="5:7" s="39" customFormat="1" x14ac:dyDescent="0.3">
      <c r="E164" s="41"/>
      <c r="F164" s="41"/>
      <c r="G164" s="41"/>
    </row>
    <row r="165" spans="5:7" s="39" customFormat="1" x14ac:dyDescent="0.3">
      <c r="E165" s="41"/>
      <c r="F165" s="41"/>
      <c r="G165" s="41"/>
    </row>
    <row r="166" spans="5:7" s="39" customFormat="1" x14ac:dyDescent="0.3">
      <c r="E166" s="41"/>
      <c r="F166" s="41"/>
      <c r="G166" s="41"/>
    </row>
    <row r="167" spans="5:7" s="39" customFormat="1" x14ac:dyDescent="0.3">
      <c r="E167" s="41"/>
      <c r="F167" s="41"/>
      <c r="G167" s="41"/>
    </row>
    <row r="168" spans="5:7" s="39" customFormat="1" x14ac:dyDescent="0.3">
      <c r="E168" s="41"/>
      <c r="F168" s="41"/>
      <c r="G168" s="41"/>
    </row>
    <row r="169" spans="5:7" s="39" customFormat="1" x14ac:dyDescent="0.3">
      <c r="E169" s="41"/>
      <c r="F169" s="41"/>
      <c r="G169" s="41"/>
    </row>
    <row r="170" spans="5:7" s="39" customFormat="1" x14ac:dyDescent="0.3">
      <c r="E170" s="41"/>
      <c r="F170" s="41"/>
      <c r="G170" s="41"/>
    </row>
    <row r="171" spans="5:7" s="39" customFormat="1" x14ac:dyDescent="0.3">
      <c r="E171" s="41"/>
      <c r="F171" s="41"/>
      <c r="G171" s="41"/>
    </row>
    <row r="172" spans="5:7" s="39" customFormat="1" x14ac:dyDescent="0.3">
      <c r="E172" s="41"/>
      <c r="F172" s="41"/>
      <c r="G172" s="41"/>
    </row>
    <row r="173" spans="5:7" s="39" customFormat="1" x14ac:dyDescent="0.3">
      <c r="E173" s="41"/>
      <c r="F173" s="41"/>
      <c r="G173" s="41"/>
    </row>
    <row r="174" spans="5:7" s="39" customFormat="1" x14ac:dyDescent="0.3">
      <c r="E174" s="41"/>
      <c r="F174" s="41"/>
      <c r="G174" s="41"/>
    </row>
    <row r="175" spans="5:7" s="39" customFormat="1" x14ac:dyDescent="0.3">
      <c r="E175" s="41"/>
      <c r="F175" s="41"/>
      <c r="G175" s="41"/>
    </row>
    <row r="176" spans="5:7" s="39" customFormat="1" x14ac:dyDescent="0.3">
      <c r="E176" s="41"/>
      <c r="F176" s="41"/>
      <c r="G176" s="41"/>
    </row>
    <row r="177" spans="5:7" s="39" customFormat="1" x14ac:dyDescent="0.3">
      <c r="E177" s="41"/>
      <c r="F177" s="41"/>
      <c r="G177" s="41"/>
    </row>
    <row r="178" spans="5:7" s="39" customFormat="1" x14ac:dyDescent="0.3">
      <c r="E178" s="41"/>
      <c r="F178" s="41"/>
      <c r="G178" s="41"/>
    </row>
    <row r="179" spans="5:7" s="39" customFormat="1" x14ac:dyDescent="0.3">
      <c r="E179" s="41"/>
      <c r="F179" s="41"/>
      <c r="G179" s="41"/>
    </row>
    <row r="180" spans="5:7" s="39" customFormat="1" x14ac:dyDescent="0.3">
      <c r="E180" s="41"/>
      <c r="F180" s="41"/>
      <c r="G180" s="41"/>
    </row>
    <row r="181" spans="5:7" s="39" customFormat="1" x14ac:dyDescent="0.3">
      <c r="E181" s="41"/>
      <c r="F181" s="41"/>
      <c r="G181" s="41"/>
    </row>
    <row r="182" spans="5:7" s="39" customFormat="1" x14ac:dyDescent="0.3">
      <c r="E182" s="41"/>
      <c r="F182" s="41"/>
      <c r="G182" s="41"/>
    </row>
    <row r="183" spans="5:7" s="39" customFormat="1" x14ac:dyDescent="0.3">
      <c r="E183" s="41"/>
      <c r="F183" s="41"/>
      <c r="G183" s="41"/>
    </row>
    <row r="184" spans="5:7" s="39" customFormat="1" x14ac:dyDescent="0.3">
      <c r="E184" s="41"/>
      <c r="F184" s="41"/>
      <c r="G184" s="41"/>
    </row>
    <row r="185" spans="5:7" s="39" customFormat="1" x14ac:dyDescent="0.3">
      <c r="E185" s="41"/>
      <c r="F185" s="41"/>
      <c r="G185" s="41"/>
    </row>
    <row r="186" spans="5:7" s="39" customFormat="1" x14ac:dyDescent="0.3">
      <c r="E186" s="41"/>
      <c r="F186" s="41"/>
      <c r="G186" s="41"/>
    </row>
    <row r="187" spans="5:7" s="39" customFormat="1" x14ac:dyDescent="0.3">
      <c r="E187" s="41"/>
      <c r="F187" s="41"/>
      <c r="G187" s="41"/>
    </row>
    <row r="188" spans="5:7" s="39" customFormat="1" x14ac:dyDescent="0.3">
      <c r="E188" s="41"/>
      <c r="F188" s="41"/>
      <c r="G188" s="41"/>
    </row>
    <row r="189" spans="5:7" s="39" customFormat="1" x14ac:dyDescent="0.3">
      <c r="E189" s="41"/>
      <c r="F189" s="41"/>
      <c r="G189" s="41"/>
    </row>
    <row r="190" spans="5:7" s="39" customFormat="1" x14ac:dyDescent="0.3">
      <c r="E190" s="41"/>
      <c r="F190" s="41"/>
      <c r="G190" s="41"/>
    </row>
    <row r="191" spans="5:7" s="39" customFormat="1" x14ac:dyDescent="0.3">
      <c r="E191" s="41"/>
      <c r="F191" s="41"/>
      <c r="G191" s="41"/>
    </row>
    <row r="192" spans="5:7" s="39" customFormat="1" x14ac:dyDescent="0.3">
      <c r="E192" s="41"/>
      <c r="F192" s="41"/>
      <c r="G192" s="41"/>
    </row>
    <row r="193" spans="5:7" s="39" customFormat="1" x14ac:dyDescent="0.3">
      <c r="E193" s="41"/>
      <c r="F193" s="41"/>
      <c r="G193" s="41"/>
    </row>
    <row r="194" spans="5:7" s="39" customFormat="1" x14ac:dyDescent="0.3">
      <c r="E194" s="41"/>
      <c r="F194" s="41"/>
      <c r="G194" s="41"/>
    </row>
    <row r="195" spans="5:7" s="39" customFormat="1" x14ac:dyDescent="0.3">
      <c r="E195" s="41"/>
      <c r="F195" s="41"/>
      <c r="G195" s="41"/>
    </row>
    <row r="196" spans="5:7" s="39" customFormat="1" x14ac:dyDescent="0.3">
      <c r="E196" s="41"/>
      <c r="F196" s="41"/>
      <c r="G196" s="41"/>
    </row>
    <row r="197" spans="5:7" s="39" customFormat="1" x14ac:dyDescent="0.3">
      <c r="E197" s="41"/>
      <c r="F197" s="41"/>
      <c r="G197" s="41"/>
    </row>
    <row r="198" spans="5:7" s="39" customFormat="1" x14ac:dyDescent="0.3">
      <c r="E198" s="41"/>
      <c r="F198" s="41"/>
      <c r="G198" s="41"/>
    </row>
    <row r="199" spans="5:7" s="39" customFormat="1" x14ac:dyDescent="0.3">
      <c r="E199" s="41"/>
      <c r="F199" s="41"/>
      <c r="G199" s="41"/>
    </row>
    <row r="200" spans="5:7" s="39" customFormat="1" x14ac:dyDescent="0.3">
      <c r="E200" s="41"/>
      <c r="F200" s="41"/>
      <c r="G200" s="41"/>
    </row>
    <row r="201" spans="5:7" s="39" customFormat="1" x14ac:dyDescent="0.3">
      <c r="E201" s="41"/>
      <c r="F201" s="41"/>
      <c r="G201" s="41"/>
    </row>
    <row r="202" spans="5:7" s="39" customFormat="1" x14ac:dyDescent="0.3">
      <c r="E202" s="41"/>
      <c r="F202" s="41"/>
      <c r="G202" s="41"/>
    </row>
    <row r="203" spans="5:7" s="39" customFormat="1" x14ac:dyDescent="0.3">
      <c r="E203" s="41"/>
      <c r="F203" s="41"/>
      <c r="G203" s="41"/>
    </row>
    <row r="204" spans="5:7" s="39" customFormat="1" x14ac:dyDescent="0.3">
      <c r="E204" s="41"/>
      <c r="F204" s="41"/>
      <c r="G204" s="41"/>
    </row>
    <row r="205" spans="5:7" s="39" customFormat="1" x14ac:dyDescent="0.3">
      <c r="E205" s="41"/>
      <c r="F205" s="41"/>
      <c r="G205" s="41"/>
    </row>
    <row r="206" spans="5:7" s="39" customFormat="1" x14ac:dyDescent="0.3">
      <c r="E206" s="41"/>
      <c r="F206" s="41"/>
      <c r="G206" s="41"/>
    </row>
    <row r="207" spans="5:7" s="39" customFormat="1" x14ac:dyDescent="0.3">
      <c r="E207" s="41"/>
      <c r="F207" s="41"/>
      <c r="G207" s="41"/>
    </row>
    <row r="208" spans="5:7" s="39" customFormat="1" x14ac:dyDescent="0.3">
      <c r="E208" s="41"/>
      <c r="F208" s="41"/>
      <c r="G208" s="41"/>
    </row>
    <row r="209" spans="5:7" s="39" customFormat="1" x14ac:dyDescent="0.3">
      <c r="E209" s="41"/>
      <c r="F209" s="41"/>
      <c r="G209" s="41"/>
    </row>
    <row r="210" spans="5:7" s="39" customFormat="1" x14ac:dyDescent="0.3">
      <c r="E210" s="41"/>
      <c r="F210" s="41"/>
      <c r="G210" s="41"/>
    </row>
    <row r="211" spans="5:7" s="39" customFormat="1" x14ac:dyDescent="0.3">
      <c r="E211" s="41"/>
      <c r="F211" s="41"/>
      <c r="G211" s="41"/>
    </row>
    <row r="212" spans="5:7" s="39" customFormat="1" x14ac:dyDescent="0.3">
      <c r="E212" s="41"/>
      <c r="F212" s="41"/>
      <c r="G212" s="41"/>
    </row>
    <row r="213" spans="5:7" s="39" customFormat="1" x14ac:dyDescent="0.3">
      <c r="E213" s="41"/>
      <c r="F213" s="41"/>
      <c r="G213" s="41"/>
    </row>
    <row r="214" spans="5:7" s="39" customFormat="1" x14ac:dyDescent="0.3">
      <c r="E214" s="41"/>
      <c r="F214" s="41"/>
      <c r="G214" s="41"/>
    </row>
    <row r="215" spans="5:7" s="39" customFormat="1" x14ac:dyDescent="0.3">
      <c r="E215" s="41"/>
      <c r="F215" s="41"/>
      <c r="G215" s="41"/>
    </row>
    <row r="216" spans="5:7" s="39" customFormat="1" x14ac:dyDescent="0.3">
      <c r="E216" s="41"/>
      <c r="F216" s="41"/>
      <c r="G216" s="41"/>
    </row>
    <row r="217" spans="5:7" s="39" customFormat="1" x14ac:dyDescent="0.3">
      <c r="E217" s="41"/>
      <c r="F217" s="41"/>
      <c r="G217" s="41"/>
    </row>
    <row r="218" spans="5:7" s="39" customFormat="1" x14ac:dyDescent="0.3">
      <c r="E218" s="41"/>
      <c r="F218" s="41"/>
      <c r="G218" s="41"/>
    </row>
    <row r="219" spans="5:7" s="39" customFormat="1" x14ac:dyDescent="0.3">
      <c r="E219" s="41"/>
      <c r="F219" s="41"/>
      <c r="G219" s="41"/>
    </row>
    <row r="220" spans="5:7" s="39" customFormat="1" x14ac:dyDescent="0.3">
      <c r="E220" s="41"/>
      <c r="F220" s="41"/>
      <c r="G220" s="41"/>
    </row>
    <row r="221" spans="5:7" s="39" customFormat="1" x14ac:dyDescent="0.3">
      <c r="E221" s="41"/>
      <c r="F221" s="41"/>
      <c r="G221" s="41"/>
    </row>
    <row r="222" spans="5:7" s="39" customFormat="1" x14ac:dyDescent="0.3">
      <c r="E222" s="41"/>
      <c r="F222" s="41"/>
      <c r="G222" s="41"/>
    </row>
    <row r="223" spans="5:7" s="39" customFormat="1" x14ac:dyDescent="0.3">
      <c r="E223" s="41"/>
      <c r="F223" s="41"/>
      <c r="G223" s="41"/>
    </row>
    <row r="224" spans="5:7" s="39" customFormat="1" x14ac:dyDescent="0.3">
      <c r="E224" s="41"/>
      <c r="F224" s="41"/>
      <c r="G224" s="41"/>
    </row>
    <row r="225" spans="5:7" s="39" customFormat="1" x14ac:dyDescent="0.3">
      <c r="E225" s="41"/>
      <c r="F225" s="41"/>
      <c r="G225" s="41"/>
    </row>
    <row r="226" spans="5:7" s="39" customFormat="1" x14ac:dyDescent="0.3">
      <c r="E226" s="41"/>
      <c r="F226" s="41"/>
      <c r="G226" s="41"/>
    </row>
    <row r="227" spans="5:7" s="39" customFormat="1" x14ac:dyDescent="0.3">
      <c r="E227" s="41"/>
      <c r="F227" s="41"/>
      <c r="G227" s="41"/>
    </row>
    <row r="228" spans="5:7" s="39" customFormat="1" x14ac:dyDescent="0.3">
      <c r="E228" s="41"/>
      <c r="F228" s="41"/>
      <c r="G228" s="41"/>
    </row>
    <row r="229" spans="5:7" s="39" customFormat="1" x14ac:dyDescent="0.3">
      <c r="E229" s="41"/>
      <c r="F229" s="41"/>
      <c r="G229" s="41"/>
    </row>
    <row r="230" spans="5:7" s="39" customFormat="1" x14ac:dyDescent="0.3">
      <c r="E230" s="41"/>
      <c r="F230" s="41"/>
      <c r="G230" s="41"/>
    </row>
    <row r="231" spans="5:7" s="39" customFormat="1" x14ac:dyDescent="0.3">
      <c r="E231" s="41"/>
      <c r="F231" s="41"/>
      <c r="G231" s="41"/>
    </row>
    <row r="232" spans="5:7" s="39" customFormat="1" x14ac:dyDescent="0.3">
      <c r="E232" s="41"/>
      <c r="F232" s="41"/>
      <c r="G232" s="41"/>
    </row>
    <row r="233" spans="5:7" s="39" customFormat="1" x14ac:dyDescent="0.3">
      <c r="E233" s="41"/>
      <c r="F233" s="41"/>
      <c r="G233" s="41"/>
    </row>
    <row r="234" spans="5:7" s="39" customFormat="1" x14ac:dyDescent="0.3">
      <c r="E234" s="41"/>
      <c r="F234" s="41"/>
      <c r="G234" s="41"/>
    </row>
    <row r="235" spans="5:7" s="39" customFormat="1" x14ac:dyDescent="0.3">
      <c r="E235" s="41"/>
      <c r="F235" s="41"/>
      <c r="G235" s="41"/>
    </row>
    <row r="236" spans="5:7" s="39" customFormat="1" x14ac:dyDescent="0.3">
      <c r="E236" s="41"/>
      <c r="F236" s="41"/>
      <c r="G236" s="41"/>
    </row>
    <row r="237" spans="5:7" s="39" customFormat="1" x14ac:dyDescent="0.3">
      <c r="E237" s="41"/>
      <c r="F237" s="41"/>
      <c r="G237" s="41"/>
    </row>
    <row r="238" spans="5:7" s="39" customFormat="1" x14ac:dyDescent="0.3">
      <c r="E238" s="41"/>
      <c r="F238" s="41"/>
      <c r="G238" s="41"/>
    </row>
    <row r="239" spans="5:7" s="39" customFormat="1" x14ac:dyDescent="0.3">
      <c r="E239" s="41"/>
      <c r="F239" s="41"/>
      <c r="G239" s="41"/>
    </row>
    <row r="240" spans="5:7" s="39" customFormat="1" x14ac:dyDescent="0.3">
      <c r="E240" s="41"/>
      <c r="F240" s="41"/>
      <c r="G240" s="41"/>
    </row>
    <row r="241" spans="5:7" s="39" customFormat="1" x14ac:dyDescent="0.3">
      <c r="E241" s="41"/>
      <c r="F241" s="41"/>
      <c r="G241" s="41"/>
    </row>
    <row r="242" spans="5:7" s="39" customFormat="1" x14ac:dyDescent="0.3">
      <c r="E242" s="41"/>
      <c r="F242" s="41"/>
      <c r="G242" s="41"/>
    </row>
    <row r="243" spans="5:7" s="39" customFormat="1" x14ac:dyDescent="0.3">
      <c r="E243" s="41"/>
      <c r="F243" s="41"/>
      <c r="G243" s="41"/>
    </row>
    <row r="244" spans="5:7" s="39" customFormat="1" x14ac:dyDescent="0.3">
      <c r="E244" s="41"/>
      <c r="F244" s="41"/>
      <c r="G244" s="41"/>
    </row>
    <row r="245" spans="5:7" s="39" customFormat="1" x14ac:dyDescent="0.3">
      <c r="E245" s="41"/>
      <c r="F245" s="41"/>
      <c r="G245" s="41"/>
    </row>
    <row r="246" spans="5:7" s="39" customFormat="1" x14ac:dyDescent="0.3">
      <c r="E246" s="41"/>
      <c r="F246" s="41"/>
      <c r="G246" s="41"/>
    </row>
    <row r="247" spans="5:7" s="39" customFormat="1" x14ac:dyDescent="0.3">
      <c r="E247" s="41"/>
      <c r="F247" s="41"/>
      <c r="G247" s="41"/>
    </row>
    <row r="248" spans="5:7" s="39" customFormat="1" x14ac:dyDescent="0.3">
      <c r="E248" s="41"/>
      <c r="F248" s="41"/>
      <c r="G248" s="41"/>
    </row>
    <row r="249" spans="5:7" s="39" customFormat="1" x14ac:dyDescent="0.3">
      <c r="E249" s="41"/>
      <c r="F249" s="41"/>
      <c r="G249" s="41"/>
    </row>
    <row r="250" spans="5:7" s="39" customFormat="1" x14ac:dyDescent="0.3">
      <c r="E250" s="41"/>
      <c r="F250" s="41"/>
      <c r="G250" s="41"/>
    </row>
    <row r="251" spans="5:7" s="39" customFormat="1" x14ac:dyDescent="0.3">
      <c r="E251" s="41"/>
      <c r="F251" s="41"/>
      <c r="G251" s="41"/>
    </row>
    <row r="252" spans="5:7" s="39" customFormat="1" x14ac:dyDescent="0.3">
      <c r="E252" s="41"/>
      <c r="F252" s="41"/>
      <c r="G252" s="41"/>
    </row>
    <row r="253" spans="5:7" s="39" customFormat="1" x14ac:dyDescent="0.3">
      <c r="E253" s="41"/>
      <c r="F253" s="41"/>
      <c r="G253" s="41"/>
    </row>
    <row r="254" spans="5:7" s="39" customFormat="1" x14ac:dyDescent="0.3">
      <c r="E254" s="41"/>
      <c r="F254" s="41"/>
      <c r="G254" s="41"/>
    </row>
    <row r="255" spans="5:7" s="39" customFormat="1" x14ac:dyDescent="0.3">
      <c r="E255" s="41"/>
      <c r="F255" s="41"/>
      <c r="G255" s="41"/>
    </row>
    <row r="256" spans="5:7" s="39" customFormat="1" x14ac:dyDescent="0.3">
      <c r="E256" s="41"/>
      <c r="F256" s="41"/>
      <c r="G256" s="41"/>
    </row>
    <row r="257" spans="5:7" s="39" customFormat="1" x14ac:dyDescent="0.3">
      <c r="E257" s="41"/>
      <c r="F257" s="41"/>
      <c r="G257" s="41"/>
    </row>
    <row r="258" spans="5:7" s="39" customFormat="1" x14ac:dyDescent="0.3">
      <c r="E258" s="41"/>
      <c r="F258" s="41"/>
      <c r="G258" s="41"/>
    </row>
    <row r="259" spans="5:7" s="39" customFormat="1" x14ac:dyDescent="0.3">
      <c r="E259" s="41"/>
      <c r="F259" s="41"/>
      <c r="G259" s="41"/>
    </row>
    <row r="260" spans="5:7" s="39" customFormat="1" x14ac:dyDescent="0.3">
      <c r="E260" s="41"/>
      <c r="F260" s="41"/>
      <c r="G260" s="41"/>
    </row>
    <row r="261" spans="5:7" s="39" customFormat="1" x14ac:dyDescent="0.3">
      <c r="E261" s="41"/>
      <c r="F261" s="41"/>
      <c r="G261" s="41"/>
    </row>
    <row r="262" spans="5:7" s="39" customFormat="1" x14ac:dyDescent="0.3">
      <c r="E262" s="41"/>
      <c r="F262" s="41"/>
      <c r="G262" s="41"/>
    </row>
    <row r="263" spans="5:7" s="39" customFormat="1" x14ac:dyDescent="0.3">
      <c r="E263" s="41"/>
      <c r="F263" s="41"/>
      <c r="G263" s="41"/>
    </row>
    <row r="264" spans="5:7" s="39" customFormat="1" x14ac:dyDescent="0.3">
      <c r="E264" s="41"/>
      <c r="F264" s="41"/>
      <c r="G264" s="41"/>
    </row>
    <row r="265" spans="5:7" s="39" customFormat="1" x14ac:dyDescent="0.3">
      <c r="E265" s="41"/>
      <c r="F265" s="41"/>
      <c r="G265" s="41"/>
    </row>
    <row r="266" spans="5:7" s="39" customFormat="1" x14ac:dyDescent="0.3">
      <c r="E266" s="41"/>
      <c r="F266" s="41"/>
      <c r="G266" s="41"/>
    </row>
    <row r="267" spans="5:7" s="39" customFormat="1" x14ac:dyDescent="0.3">
      <c r="E267" s="41"/>
      <c r="F267" s="41"/>
      <c r="G267" s="41"/>
    </row>
    <row r="268" spans="5:7" s="39" customFormat="1" x14ac:dyDescent="0.3">
      <c r="E268" s="41"/>
      <c r="F268" s="41"/>
      <c r="G268" s="41"/>
    </row>
    <row r="269" spans="5:7" s="39" customFormat="1" x14ac:dyDescent="0.3">
      <c r="E269" s="41"/>
      <c r="F269" s="41"/>
      <c r="G269" s="41"/>
    </row>
    <row r="270" spans="5:7" s="39" customFormat="1" x14ac:dyDescent="0.3">
      <c r="E270" s="41"/>
      <c r="F270" s="41"/>
      <c r="G270" s="41"/>
    </row>
    <row r="271" spans="5:7" s="39" customFormat="1" x14ac:dyDescent="0.3">
      <c r="E271" s="41"/>
      <c r="F271" s="41"/>
      <c r="G271" s="41"/>
    </row>
    <row r="272" spans="5:7" s="39" customFormat="1" x14ac:dyDescent="0.3">
      <c r="E272" s="41"/>
      <c r="F272" s="41"/>
      <c r="G272" s="41"/>
    </row>
    <row r="273" spans="5:7" s="39" customFormat="1" x14ac:dyDescent="0.3">
      <c r="E273" s="41"/>
      <c r="F273" s="41"/>
      <c r="G273" s="41"/>
    </row>
    <row r="274" spans="5:7" s="39" customFormat="1" x14ac:dyDescent="0.3">
      <c r="E274" s="41"/>
      <c r="F274" s="41"/>
      <c r="G274" s="41"/>
    </row>
    <row r="275" spans="5:7" s="39" customFormat="1" x14ac:dyDescent="0.3">
      <c r="E275" s="41"/>
      <c r="F275" s="41"/>
      <c r="G275" s="41"/>
    </row>
    <row r="276" spans="5:7" s="39" customFormat="1" x14ac:dyDescent="0.3">
      <c r="E276" s="41"/>
      <c r="F276" s="41"/>
      <c r="G276" s="41"/>
    </row>
    <row r="277" spans="5:7" s="39" customFormat="1" x14ac:dyDescent="0.3">
      <c r="E277" s="41"/>
      <c r="F277" s="41"/>
      <c r="G277" s="41"/>
    </row>
    <row r="278" spans="5:7" s="39" customFormat="1" x14ac:dyDescent="0.3">
      <c r="E278" s="41"/>
      <c r="F278" s="41"/>
      <c r="G278" s="41"/>
    </row>
    <row r="279" spans="5:7" s="39" customFormat="1" x14ac:dyDescent="0.3">
      <c r="E279" s="41"/>
      <c r="F279" s="41"/>
      <c r="G279" s="41"/>
    </row>
    <row r="280" spans="5:7" s="39" customFormat="1" x14ac:dyDescent="0.3">
      <c r="E280" s="41"/>
      <c r="F280" s="41"/>
      <c r="G280" s="41"/>
    </row>
    <row r="281" spans="5:7" s="39" customFormat="1" x14ac:dyDescent="0.3">
      <c r="E281" s="41"/>
      <c r="F281" s="41"/>
      <c r="G281" s="41"/>
    </row>
    <row r="282" spans="5:7" s="39" customFormat="1" x14ac:dyDescent="0.3">
      <c r="E282" s="41"/>
      <c r="F282" s="41"/>
      <c r="G282" s="41"/>
    </row>
    <row r="283" spans="5:7" s="39" customFormat="1" x14ac:dyDescent="0.3">
      <c r="E283" s="41"/>
      <c r="F283" s="41"/>
      <c r="G283" s="41"/>
    </row>
    <row r="284" spans="5:7" s="39" customFormat="1" x14ac:dyDescent="0.3">
      <c r="E284" s="41"/>
      <c r="F284" s="41"/>
      <c r="G284" s="41"/>
    </row>
    <row r="285" spans="5:7" s="39" customFormat="1" x14ac:dyDescent="0.3">
      <c r="E285" s="41"/>
      <c r="F285" s="41"/>
      <c r="G285" s="41"/>
    </row>
    <row r="286" spans="5:7" s="39" customFormat="1" x14ac:dyDescent="0.3">
      <c r="E286" s="41"/>
      <c r="F286" s="41"/>
      <c r="G286" s="41"/>
    </row>
    <row r="287" spans="5:7" s="39" customFormat="1" x14ac:dyDescent="0.3">
      <c r="E287" s="41"/>
      <c r="F287" s="41"/>
      <c r="G287" s="41"/>
    </row>
    <row r="288" spans="5:7" s="39" customFormat="1" x14ac:dyDescent="0.3">
      <c r="E288" s="41"/>
      <c r="F288" s="41"/>
      <c r="G288" s="41"/>
    </row>
    <row r="289" spans="5:7" s="39" customFormat="1" x14ac:dyDescent="0.3">
      <c r="E289" s="41"/>
      <c r="F289" s="41"/>
      <c r="G289" s="41"/>
    </row>
    <row r="290" spans="5:7" s="39" customFormat="1" x14ac:dyDescent="0.3">
      <c r="E290" s="41"/>
      <c r="F290" s="41"/>
      <c r="G290" s="41"/>
    </row>
    <row r="291" spans="5:7" s="39" customFormat="1" x14ac:dyDescent="0.3">
      <c r="E291" s="41"/>
      <c r="F291" s="41"/>
      <c r="G291" s="41"/>
    </row>
    <row r="292" spans="5:7" s="39" customFormat="1" x14ac:dyDescent="0.3">
      <c r="E292" s="41"/>
      <c r="F292" s="41"/>
      <c r="G292" s="41"/>
    </row>
    <row r="293" spans="5:7" s="39" customFormat="1" x14ac:dyDescent="0.3">
      <c r="E293" s="41"/>
      <c r="F293" s="41"/>
      <c r="G293" s="41"/>
    </row>
    <row r="294" spans="5:7" s="39" customFormat="1" x14ac:dyDescent="0.3">
      <c r="E294" s="41"/>
      <c r="F294" s="41"/>
      <c r="G294" s="41"/>
    </row>
    <row r="295" spans="5:7" s="39" customFormat="1" x14ac:dyDescent="0.3">
      <c r="E295" s="41"/>
      <c r="F295" s="41"/>
      <c r="G295" s="41"/>
    </row>
    <row r="296" spans="5:7" s="39" customFormat="1" x14ac:dyDescent="0.3">
      <c r="E296" s="41"/>
      <c r="F296" s="41"/>
      <c r="G296" s="41"/>
    </row>
    <row r="297" spans="5:7" s="39" customFormat="1" x14ac:dyDescent="0.3">
      <c r="E297" s="41"/>
      <c r="F297" s="41"/>
      <c r="G297" s="41"/>
    </row>
    <row r="298" spans="5:7" s="39" customFormat="1" x14ac:dyDescent="0.3">
      <c r="E298" s="41"/>
      <c r="F298" s="41"/>
      <c r="G298" s="41"/>
    </row>
    <row r="299" spans="5:7" s="39" customFormat="1" x14ac:dyDescent="0.3">
      <c r="E299" s="41"/>
      <c r="F299" s="41"/>
      <c r="G299" s="41"/>
    </row>
    <row r="300" spans="5:7" s="39" customFormat="1" x14ac:dyDescent="0.3">
      <c r="E300" s="41"/>
      <c r="F300" s="41"/>
      <c r="G300" s="41"/>
    </row>
    <row r="301" spans="5:7" s="39" customFormat="1" x14ac:dyDescent="0.3">
      <c r="E301" s="41"/>
      <c r="F301" s="41"/>
      <c r="G301" s="41"/>
    </row>
    <row r="302" spans="5:7" s="39" customFormat="1" x14ac:dyDescent="0.3">
      <c r="E302" s="41"/>
      <c r="F302" s="41"/>
      <c r="G302" s="41"/>
    </row>
    <row r="303" spans="5:7" s="39" customFormat="1" x14ac:dyDescent="0.3">
      <c r="E303" s="41"/>
      <c r="F303" s="41"/>
      <c r="G303" s="41"/>
    </row>
    <row r="304" spans="5:7" s="39" customFormat="1" x14ac:dyDescent="0.3">
      <c r="E304" s="41"/>
      <c r="F304" s="41"/>
      <c r="G304" s="41"/>
    </row>
    <row r="305" spans="5:7" s="39" customFormat="1" x14ac:dyDescent="0.3">
      <c r="E305" s="41"/>
      <c r="F305" s="41"/>
      <c r="G305" s="41"/>
    </row>
    <row r="306" spans="5:7" s="39" customFormat="1" x14ac:dyDescent="0.3">
      <c r="E306" s="41"/>
      <c r="F306" s="41"/>
      <c r="G306" s="41"/>
    </row>
    <row r="307" spans="5:7" s="39" customFormat="1" x14ac:dyDescent="0.3">
      <c r="E307" s="41"/>
      <c r="F307" s="41"/>
      <c r="G307" s="41"/>
    </row>
    <row r="308" spans="5:7" s="39" customFormat="1" x14ac:dyDescent="0.3">
      <c r="E308" s="41"/>
      <c r="F308" s="41"/>
      <c r="G308" s="41"/>
    </row>
    <row r="309" spans="5:7" s="39" customFormat="1" x14ac:dyDescent="0.3">
      <c r="E309" s="41"/>
      <c r="F309" s="41"/>
      <c r="G309" s="41"/>
    </row>
    <row r="310" spans="5:7" s="39" customFormat="1" x14ac:dyDescent="0.3">
      <c r="E310" s="41"/>
      <c r="F310" s="41"/>
      <c r="G310" s="41"/>
    </row>
    <row r="311" spans="5:7" s="39" customFormat="1" x14ac:dyDescent="0.3">
      <c r="E311" s="41"/>
      <c r="F311" s="41"/>
      <c r="G311" s="41"/>
    </row>
    <row r="312" spans="5:7" s="39" customFormat="1" x14ac:dyDescent="0.3">
      <c r="E312" s="41"/>
      <c r="F312" s="41"/>
      <c r="G312" s="41"/>
    </row>
    <row r="313" spans="5:7" s="39" customFormat="1" x14ac:dyDescent="0.3">
      <c r="E313" s="41"/>
      <c r="F313" s="41"/>
      <c r="G313" s="41"/>
    </row>
    <row r="314" spans="5:7" s="39" customFormat="1" x14ac:dyDescent="0.3">
      <c r="E314" s="41"/>
      <c r="F314" s="41"/>
      <c r="G314" s="41"/>
    </row>
    <row r="315" spans="5:7" s="39" customFormat="1" x14ac:dyDescent="0.3">
      <c r="E315" s="41"/>
      <c r="F315" s="41"/>
      <c r="G315" s="41"/>
    </row>
    <row r="316" spans="5:7" s="39" customFormat="1" x14ac:dyDescent="0.3">
      <c r="E316" s="41"/>
      <c r="F316" s="41"/>
      <c r="G316" s="41"/>
    </row>
    <row r="317" spans="5:7" s="39" customFormat="1" x14ac:dyDescent="0.3">
      <c r="E317" s="41"/>
      <c r="F317" s="41"/>
      <c r="G317" s="41"/>
    </row>
    <row r="318" spans="5:7" s="39" customFormat="1" x14ac:dyDescent="0.3">
      <c r="E318" s="41"/>
      <c r="F318" s="41"/>
      <c r="G318" s="41"/>
    </row>
    <row r="319" spans="5:7" s="39" customFormat="1" x14ac:dyDescent="0.3">
      <c r="E319" s="41"/>
      <c r="F319" s="41"/>
      <c r="G319" s="41"/>
    </row>
    <row r="320" spans="5:7" s="39" customFormat="1" x14ac:dyDescent="0.3">
      <c r="E320" s="41"/>
      <c r="F320" s="41"/>
      <c r="G320" s="41"/>
    </row>
    <row r="321" spans="5:7" s="39" customFormat="1" x14ac:dyDescent="0.3">
      <c r="E321" s="41"/>
      <c r="F321" s="41"/>
      <c r="G321" s="41"/>
    </row>
    <row r="322" spans="5:7" s="39" customFormat="1" x14ac:dyDescent="0.3">
      <c r="E322" s="41"/>
      <c r="F322" s="41"/>
      <c r="G322" s="41"/>
    </row>
    <row r="323" spans="5:7" s="39" customFormat="1" x14ac:dyDescent="0.3">
      <c r="E323" s="41"/>
      <c r="F323" s="41"/>
      <c r="G323" s="41"/>
    </row>
    <row r="324" spans="5:7" s="39" customFormat="1" x14ac:dyDescent="0.3">
      <c r="E324" s="41"/>
      <c r="F324" s="41"/>
      <c r="G324" s="41"/>
    </row>
    <row r="325" spans="5:7" s="39" customFormat="1" x14ac:dyDescent="0.3">
      <c r="E325" s="41"/>
      <c r="F325" s="41"/>
      <c r="G325" s="41"/>
    </row>
    <row r="326" spans="5:7" s="39" customFormat="1" x14ac:dyDescent="0.3">
      <c r="E326" s="41"/>
      <c r="F326" s="41"/>
      <c r="G326" s="41"/>
    </row>
    <row r="327" spans="5:7" s="39" customFormat="1" x14ac:dyDescent="0.3">
      <c r="E327" s="41"/>
      <c r="F327" s="41"/>
      <c r="G327" s="41"/>
    </row>
    <row r="328" spans="5:7" s="39" customFormat="1" x14ac:dyDescent="0.3">
      <c r="E328" s="41"/>
      <c r="F328" s="41"/>
      <c r="G328" s="41"/>
    </row>
    <row r="329" spans="5:7" s="39" customFormat="1" x14ac:dyDescent="0.3">
      <c r="E329" s="41"/>
      <c r="F329" s="41"/>
      <c r="G329" s="41"/>
    </row>
    <row r="330" spans="5:7" s="39" customFormat="1" x14ac:dyDescent="0.3">
      <c r="E330" s="41"/>
      <c r="F330" s="41"/>
      <c r="G330" s="41"/>
    </row>
    <row r="331" spans="5:7" s="39" customFormat="1" x14ac:dyDescent="0.3">
      <c r="E331" s="41"/>
      <c r="F331" s="41"/>
      <c r="G331" s="41"/>
    </row>
    <row r="332" spans="5:7" s="39" customFormat="1" x14ac:dyDescent="0.3">
      <c r="E332" s="41"/>
      <c r="F332" s="41"/>
      <c r="G332" s="41"/>
    </row>
    <row r="333" spans="5:7" s="39" customFormat="1" x14ac:dyDescent="0.3">
      <c r="E333" s="41"/>
      <c r="F333" s="41"/>
      <c r="G333" s="41"/>
    </row>
    <row r="334" spans="5:7" s="39" customFormat="1" x14ac:dyDescent="0.3">
      <c r="E334" s="41"/>
      <c r="F334" s="41"/>
      <c r="G334" s="41"/>
    </row>
    <row r="335" spans="5:7" s="39" customFormat="1" x14ac:dyDescent="0.3">
      <c r="E335" s="41"/>
      <c r="F335" s="41"/>
      <c r="G335" s="41"/>
    </row>
    <row r="336" spans="5:7" s="39" customFormat="1" x14ac:dyDescent="0.3">
      <c r="E336" s="41"/>
      <c r="F336" s="41"/>
      <c r="G336" s="41"/>
    </row>
    <row r="337" spans="5:7" s="39" customFormat="1" x14ac:dyDescent="0.3">
      <c r="E337" s="41"/>
      <c r="F337" s="41"/>
      <c r="G337" s="41"/>
    </row>
    <row r="338" spans="5:7" s="39" customFormat="1" x14ac:dyDescent="0.3">
      <c r="E338" s="41"/>
      <c r="F338" s="41"/>
      <c r="G338" s="41"/>
    </row>
    <row r="339" spans="5:7" s="39" customFormat="1" x14ac:dyDescent="0.3">
      <c r="E339" s="41"/>
      <c r="F339" s="41"/>
      <c r="G339" s="41"/>
    </row>
    <row r="340" spans="5:7" s="39" customFormat="1" x14ac:dyDescent="0.3">
      <c r="E340" s="41"/>
      <c r="F340" s="41"/>
      <c r="G340" s="41"/>
    </row>
    <row r="341" spans="5:7" s="39" customFormat="1" x14ac:dyDescent="0.3">
      <c r="E341" s="41"/>
      <c r="F341" s="41"/>
      <c r="G341" s="41"/>
    </row>
    <row r="342" spans="5:7" s="39" customFormat="1" x14ac:dyDescent="0.3">
      <c r="E342" s="41"/>
      <c r="F342" s="41"/>
      <c r="G342" s="41"/>
    </row>
    <row r="343" spans="5:7" s="39" customFormat="1" x14ac:dyDescent="0.3">
      <c r="E343" s="41"/>
      <c r="F343" s="41"/>
      <c r="G343" s="41"/>
    </row>
    <row r="344" spans="5:7" s="39" customFormat="1" x14ac:dyDescent="0.3">
      <c r="E344" s="41"/>
      <c r="F344" s="41"/>
      <c r="G344" s="41"/>
    </row>
    <row r="345" spans="5:7" s="39" customFormat="1" x14ac:dyDescent="0.3">
      <c r="E345" s="41"/>
      <c r="F345" s="41"/>
      <c r="G345" s="41"/>
    </row>
    <row r="346" spans="5:7" s="39" customFormat="1" x14ac:dyDescent="0.3">
      <c r="E346" s="41"/>
      <c r="F346" s="41"/>
      <c r="G346" s="41"/>
    </row>
    <row r="347" spans="5:7" s="39" customFormat="1" x14ac:dyDescent="0.3">
      <c r="E347" s="41"/>
      <c r="F347" s="41"/>
      <c r="G347" s="41"/>
    </row>
    <row r="348" spans="5:7" s="39" customFormat="1" x14ac:dyDescent="0.3">
      <c r="E348" s="41"/>
      <c r="F348" s="41"/>
      <c r="G348" s="41"/>
    </row>
    <row r="349" spans="5:7" s="39" customFormat="1" x14ac:dyDescent="0.3">
      <c r="E349" s="41"/>
      <c r="F349" s="41"/>
      <c r="G349" s="41"/>
    </row>
    <row r="350" spans="5:7" s="39" customFormat="1" x14ac:dyDescent="0.3">
      <c r="E350" s="41"/>
      <c r="F350" s="41"/>
      <c r="G350" s="41"/>
    </row>
    <row r="351" spans="5:7" s="39" customFormat="1" x14ac:dyDescent="0.3">
      <c r="E351" s="41"/>
      <c r="F351" s="41"/>
      <c r="G351" s="41"/>
    </row>
    <row r="352" spans="5:7" s="39" customFormat="1" x14ac:dyDescent="0.3">
      <c r="E352" s="41"/>
      <c r="F352" s="41"/>
      <c r="G352" s="41"/>
    </row>
    <row r="353" spans="5:7" s="39" customFormat="1" x14ac:dyDescent="0.3">
      <c r="E353" s="41"/>
      <c r="F353" s="41"/>
      <c r="G353" s="41"/>
    </row>
    <row r="354" spans="5:7" s="39" customFormat="1" x14ac:dyDescent="0.3">
      <c r="E354" s="41"/>
      <c r="F354" s="41"/>
      <c r="G354" s="41"/>
    </row>
    <row r="355" spans="5:7" s="39" customFormat="1" x14ac:dyDescent="0.3">
      <c r="E355" s="41"/>
      <c r="F355" s="41"/>
      <c r="G355" s="41"/>
    </row>
    <row r="356" spans="5:7" s="39" customFormat="1" x14ac:dyDescent="0.3">
      <c r="E356" s="41"/>
      <c r="F356" s="41"/>
      <c r="G356" s="41"/>
    </row>
    <row r="357" spans="5:7" s="39" customFormat="1" x14ac:dyDescent="0.3">
      <c r="E357" s="41"/>
      <c r="F357" s="41"/>
      <c r="G357" s="41"/>
    </row>
    <row r="358" spans="5:7" s="39" customFormat="1" x14ac:dyDescent="0.3">
      <c r="E358" s="41"/>
      <c r="F358" s="41"/>
      <c r="G358" s="41"/>
    </row>
    <row r="359" spans="5:7" s="39" customFormat="1" x14ac:dyDescent="0.3">
      <c r="E359" s="41"/>
      <c r="F359" s="41"/>
      <c r="G359" s="41"/>
    </row>
    <row r="360" spans="5:7" s="39" customFormat="1" x14ac:dyDescent="0.3">
      <c r="E360" s="41"/>
      <c r="F360" s="41"/>
      <c r="G360" s="41"/>
    </row>
    <row r="361" spans="5:7" s="39" customFormat="1" x14ac:dyDescent="0.3">
      <c r="E361" s="41"/>
      <c r="F361" s="41"/>
      <c r="G361" s="41"/>
    </row>
    <row r="362" spans="5:7" s="39" customFormat="1" x14ac:dyDescent="0.3">
      <c r="E362" s="41"/>
      <c r="F362" s="41"/>
      <c r="G362" s="41"/>
    </row>
    <row r="363" spans="5:7" s="39" customFormat="1" x14ac:dyDescent="0.3">
      <c r="E363" s="41"/>
      <c r="F363" s="41"/>
      <c r="G363" s="41"/>
    </row>
    <row r="364" spans="5:7" s="39" customFormat="1" x14ac:dyDescent="0.3">
      <c r="E364" s="41"/>
      <c r="F364" s="41"/>
      <c r="G364" s="41"/>
    </row>
    <row r="365" spans="5:7" s="39" customFormat="1" x14ac:dyDescent="0.3">
      <c r="E365" s="41"/>
      <c r="F365" s="41"/>
      <c r="G365" s="41"/>
    </row>
    <row r="366" spans="5:7" s="39" customFormat="1" x14ac:dyDescent="0.3">
      <c r="E366" s="41"/>
      <c r="F366" s="41"/>
      <c r="G366" s="41"/>
    </row>
    <row r="367" spans="5:7" s="39" customFormat="1" x14ac:dyDescent="0.3">
      <c r="E367" s="41"/>
      <c r="F367" s="41"/>
      <c r="G367" s="41"/>
    </row>
    <row r="368" spans="5:7" s="39" customFormat="1" x14ac:dyDescent="0.3">
      <c r="E368" s="41"/>
      <c r="F368" s="41"/>
      <c r="G368" s="41"/>
    </row>
    <row r="369" spans="5:7" s="39" customFormat="1" x14ac:dyDescent="0.3">
      <c r="E369" s="41"/>
      <c r="F369" s="41"/>
      <c r="G369" s="41"/>
    </row>
    <row r="370" spans="5:7" s="39" customFormat="1" x14ac:dyDescent="0.3">
      <c r="E370" s="41"/>
      <c r="F370" s="41"/>
      <c r="G370" s="41"/>
    </row>
    <row r="371" spans="5:7" s="39" customFormat="1" x14ac:dyDescent="0.3">
      <c r="E371" s="41"/>
      <c r="F371" s="41"/>
      <c r="G371" s="41"/>
    </row>
    <row r="372" spans="5:7" s="39" customFormat="1" x14ac:dyDescent="0.3">
      <c r="E372" s="41"/>
      <c r="F372" s="41"/>
      <c r="G372" s="41"/>
    </row>
    <row r="373" spans="5:7" s="39" customFormat="1" x14ac:dyDescent="0.3">
      <c r="E373" s="41"/>
      <c r="F373" s="41"/>
      <c r="G373" s="41"/>
    </row>
    <row r="374" spans="5:7" s="39" customFormat="1" x14ac:dyDescent="0.3">
      <c r="E374" s="41"/>
      <c r="F374" s="41"/>
      <c r="G374" s="41"/>
    </row>
    <row r="375" spans="5:7" s="39" customFormat="1" x14ac:dyDescent="0.3">
      <c r="E375" s="41"/>
      <c r="F375" s="41"/>
      <c r="G375" s="41"/>
    </row>
    <row r="376" spans="5:7" s="39" customFormat="1" x14ac:dyDescent="0.3">
      <c r="E376" s="41"/>
      <c r="F376" s="41"/>
      <c r="G376" s="41"/>
    </row>
    <row r="377" spans="5:7" s="39" customFormat="1" x14ac:dyDescent="0.3">
      <c r="E377" s="41"/>
      <c r="F377" s="41"/>
      <c r="G377" s="41"/>
    </row>
    <row r="378" spans="5:7" s="39" customFormat="1" x14ac:dyDescent="0.3">
      <c r="E378" s="41"/>
      <c r="F378" s="41"/>
      <c r="G378" s="41"/>
    </row>
    <row r="379" spans="5:7" s="39" customFormat="1" x14ac:dyDescent="0.3">
      <c r="E379" s="41"/>
      <c r="F379" s="41"/>
      <c r="G379" s="41"/>
    </row>
    <row r="380" spans="5:7" s="39" customFormat="1" x14ac:dyDescent="0.3">
      <c r="E380" s="41"/>
      <c r="F380" s="41"/>
      <c r="G380" s="41"/>
    </row>
    <row r="381" spans="5:7" s="39" customFormat="1" x14ac:dyDescent="0.3">
      <c r="E381" s="41"/>
      <c r="F381" s="41"/>
      <c r="G381" s="41"/>
    </row>
    <row r="382" spans="5:7" s="39" customFormat="1" x14ac:dyDescent="0.3">
      <c r="E382" s="41"/>
      <c r="F382" s="41"/>
      <c r="G382" s="41"/>
    </row>
    <row r="383" spans="5:7" s="39" customFormat="1" x14ac:dyDescent="0.3">
      <c r="E383" s="41"/>
      <c r="F383" s="41"/>
      <c r="G383" s="41"/>
    </row>
    <row r="384" spans="5:7" s="39" customFormat="1" x14ac:dyDescent="0.3">
      <c r="E384" s="41"/>
      <c r="F384" s="41"/>
      <c r="G384" s="41"/>
    </row>
    <row r="385" spans="5:7" s="39" customFormat="1" x14ac:dyDescent="0.3">
      <c r="E385" s="41"/>
      <c r="F385" s="41"/>
      <c r="G385" s="41"/>
    </row>
    <row r="386" spans="5:7" s="39" customFormat="1" x14ac:dyDescent="0.3">
      <c r="E386" s="41"/>
      <c r="F386" s="41"/>
      <c r="G386" s="41"/>
    </row>
    <row r="387" spans="5:7" s="39" customFormat="1" x14ac:dyDescent="0.3">
      <c r="E387" s="41"/>
      <c r="F387" s="41"/>
      <c r="G387" s="41"/>
    </row>
    <row r="388" spans="5:7" s="39" customFormat="1" x14ac:dyDescent="0.3">
      <c r="E388" s="41"/>
      <c r="F388" s="41"/>
      <c r="G388" s="41"/>
    </row>
    <row r="389" spans="5:7" s="39" customFormat="1" x14ac:dyDescent="0.3">
      <c r="E389" s="41"/>
      <c r="F389" s="41"/>
      <c r="G389" s="41"/>
    </row>
    <row r="390" spans="5:7" s="39" customFormat="1" x14ac:dyDescent="0.3">
      <c r="E390" s="41"/>
      <c r="F390" s="41"/>
      <c r="G390" s="41"/>
    </row>
    <row r="391" spans="5:7" s="39" customFormat="1" x14ac:dyDescent="0.3">
      <c r="E391" s="41"/>
      <c r="F391" s="41"/>
      <c r="G391" s="41"/>
    </row>
    <row r="392" spans="5:7" s="39" customFormat="1" x14ac:dyDescent="0.3">
      <c r="E392" s="41"/>
      <c r="F392" s="41"/>
      <c r="G392" s="41"/>
    </row>
    <row r="393" spans="5:7" s="39" customFormat="1" x14ac:dyDescent="0.3">
      <c r="E393" s="41"/>
      <c r="F393" s="41"/>
      <c r="G393" s="41"/>
    </row>
    <row r="394" spans="5:7" s="39" customFormat="1" x14ac:dyDescent="0.3">
      <c r="E394" s="41"/>
      <c r="F394" s="41"/>
      <c r="G394" s="41"/>
    </row>
    <row r="395" spans="5:7" s="39" customFormat="1" x14ac:dyDescent="0.3">
      <c r="E395" s="41"/>
      <c r="F395" s="41"/>
      <c r="G395" s="41"/>
    </row>
    <row r="396" spans="5:7" s="39" customFormat="1" x14ac:dyDescent="0.3">
      <c r="E396" s="41"/>
      <c r="F396" s="41"/>
      <c r="G396" s="41"/>
    </row>
    <row r="397" spans="5:7" s="39" customFormat="1" x14ac:dyDescent="0.3">
      <c r="E397" s="41"/>
      <c r="F397" s="41"/>
      <c r="G397" s="41"/>
    </row>
    <row r="398" spans="5:7" s="39" customFormat="1" x14ac:dyDescent="0.3">
      <c r="E398" s="41"/>
      <c r="F398" s="41"/>
      <c r="G398" s="41"/>
    </row>
    <row r="399" spans="5:7" s="39" customFormat="1" x14ac:dyDescent="0.3">
      <c r="E399" s="41"/>
      <c r="F399" s="41"/>
      <c r="G399" s="41"/>
    </row>
    <row r="400" spans="5:7" s="39" customFormat="1" x14ac:dyDescent="0.3">
      <c r="E400" s="41"/>
      <c r="F400" s="41"/>
      <c r="G400" s="41"/>
    </row>
    <row r="401" spans="5:7" s="39" customFormat="1" x14ac:dyDescent="0.3">
      <c r="E401" s="41"/>
      <c r="F401" s="41"/>
      <c r="G401" s="41"/>
    </row>
    <row r="402" spans="5:7" s="39" customFormat="1" x14ac:dyDescent="0.3">
      <c r="E402" s="41"/>
      <c r="F402" s="41"/>
      <c r="G402" s="41"/>
    </row>
    <row r="403" spans="5:7" s="39" customFormat="1" x14ac:dyDescent="0.3">
      <c r="E403" s="41"/>
      <c r="F403" s="41"/>
      <c r="G403" s="41"/>
    </row>
    <row r="404" spans="5:7" s="39" customFormat="1" x14ac:dyDescent="0.3">
      <c r="E404" s="41"/>
      <c r="F404" s="41"/>
      <c r="G404" s="41"/>
    </row>
    <row r="405" spans="5:7" s="39" customFormat="1" x14ac:dyDescent="0.3">
      <c r="E405" s="41"/>
      <c r="F405" s="41"/>
      <c r="G405" s="41"/>
    </row>
    <row r="406" spans="5:7" s="39" customFormat="1" x14ac:dyDescent="0.3">
      <c r="E406" s="41"/>
      <c r="F406" s="41"/>
      <c r="G406" s="41"/>
    </row>
    <row r="407" spans="5:7" s="39" customFormat="1" x14ac:dyDescent="0.3">
      <c r="E407" s="41"/>
      <c r="F407" s="41"/>
      <c r="G407" s="41"/>
    </row>
    <row r="408" spans="5:7" s="39" customFormat="1" x14ac:dyDescent="0.3">
      <c r="E408" s="41"/>
      <c r="F408" s="41"/>
      <c r="G408" s="41"/>
    </row>
    <row r="409" spans="5:7" s="39" customFormat="1" x14ac:dyDescent="0.3">
      <c r="E409" s="41"/>
      <c r="F409" s="41"/>
      <c r="G409" s="41"/>
    </row>
    <row r="410" spans="5:7" s="39" customFormat="1" x14ac:dyDescent="0.3">
      <c r="E410" s="41"/>
      <c r="F410" s="41"/>
      <c r="G410" s="41"/>
    </row>
    <row r="411" spans="5:7" s="39" customFormat="1" x14ac:dyDescent="0.3">
      <c r="E411" s="41"/>
      <c r="F411" s="41"/>
      <c r="G411" s="41"/>
    </row>
    <row r="412" spans="5:7" s="39" customFormat="1" x14ac:dyDescent="0.3">
      <c r="E412" s="41"/>
      <c r="F412" s="41"/>
      <c r="G412" s="41"/>
    </row>
    <row r="413" spans="5:7" s="39" customFormat="1" x14ac:dyDescent="0.3">
      <c r="E413" s="41"/>
      <c r="F413" s="41"/>
      <c r="G413" s="41"/>
    </row>
    <row r="414" spans="5:7" s="39" customFormat="1" x14ac:dyDescent="0.3">
      <c r="E414" s="41"/>
      <c r="F414" s="41"/>
      <c r="G414" s="41"/>
    </row>
    <row r="415" spans="5:7" s="39" customFormat="1" x14ac:dyDescent="0.3">
      <c r="E415" s="41"/>
      <c r="F415" s="41"/>
      <c r="G415" s="41"/>
    </row>
    <row r="416" spans="5:7" s="39" customFormat="1" x14ac:dyDescent="0.3">
      <c r="E416" s="41"/>
      <c r="F416" s="41"/>
      <c r="G416" s="41"/>
    </row>
    <row r="417" spans="5:7" s="39" customFormat="1" x14ac:dyDescent="0.3">
      <c r="E417" s="41"/>
      <c r="F417" s="41"/>
      <c r="G417" s="41"/>
    </row>
    <row r="418" spans="5:7" s="39" customFormat="1" x14ac:dyDescent="0.3">
      <c r="E418" s="41"/>
      <c r="F418" s="41"/>
      <c r="G418" s="41"/>
    </row>
    <row r="419" spans="5:7" s="39" customFormat="1" x14ac:dyDescent="0.3">
      <c r="E419" s="41"/>
      <c r="F419" s="41"/>
      <c r="G419" s="41"/>
    </row>
    <row r="420" spans="5:7" s="39" customFormat="1" x14ac:dyDescent="0.3">
      <c r="E420" s="41"/>
      <c r="F420" s="41"/>
      <c r="G420" s="41"/>
    </row>
    <row r="421" spans="5:7" s="39" customFormat="1" x14ac:dyDescent="0.3">
      <c r="E421" s="41"/>
      <c r="F421" s="41"/>
      <c r="G421" s="41"/>
    </row>
    <row r="422" spans="5:7" s="39" customFormat="1" x14ac:dyDescent="0.3">
      <c r="E422" s="41"/>
      <c r="F422" s="41"/>
      <c r="G422" s="41"/>
    </row>
    <row r="423" spans="5:7" s="39" customFormat="1" x14ac:dyDescent="0.3">
      <c r="E423" s="41"/>
      <c r="F423" s="41"/>
      <c r="G423" s="41"/>
    </row>
    <row r="424" spans="5:7" s="39" customFormat="1" x14ac:dyDescent="0.3">
      <c r="E424" s="41"/>
      <c r="F424" s="41"/>
      <c r="G424" s="41"/>
    </row>
    <row r="425" spans="5:7" s="39" customFormat="1" x14ac:dyDescent="0.3">
      <c r="E425" s="41"/>
      <c r="F425" s="41"/>
      <c r="G425" s="41"/>
    </row>
    <row r="426" spans="5:7" s="39" customFormat="1" x14ac:dyDescent="0.3">
      <c r="E426" s="41"/>
      <c r="F426" s="41"/>
      <c r="G426" s="41"/>
    </row>
    <row r="427" spans="5:7" s="39" customFormat="1" x14ac:dyDescent="0.3">
      <c r="E427" s="41"/>
      <c r="F427" s="41"/>
      <c r="G427" s="41"/>
    </row>
    <row r="428" spans="5:7" s="39" customFormat="1" x14ac:dyDescent="0.3">
      <c r="E428" s="41"/>
      <c r="F428" s="41"/>
      <c r="G428" s="41"/>
    </row>
    <row r="429" spans="5:7" s="39" customFormat="1" x14ac:dyDescent="0.3">
      <c r="E429" s="41"/>
      <c r="F429" s="41"/>
      <c r="G429" s="41"/>
    </row>
    <row r="430" spans="5:7" s="39" customFormat="1" x14ac:dyDescent="0.3">
      <c r="E430" s="41"/>
      <c r="F430" s="41"/>
      <c r="G430" s="41"/>
    </row>
    <row r="431" spans="5:7" s="39" customFormat="1" x14ac:dyDescent="0.3">
      <c r="E431" s="41"/>
      <c r="F431" s="41"/>
      <c r="G431" s="41"/>
    </row>
    <row r="432" spans="5:7" s="39" customFormat="1" x14ac:dyDescent="0.3">
      <c r="E432" s="41"/>
      <c r="F432" s="41"/>
      <c r="G432" s="41"/>
    </row>
    <row r="433" spans="5:7" s="39" customFormat="1" x14ac:dyDescent="0.3">
      <c r="E433" s="41"/>
      <c r="F433" s="41"/>
      <c r="G433" s="41"/>
    </row>
    <row r="434" spans="5:7" s="39" customFormat="1" x14ac:dyDescent="0.3">
      <c r="E434" s="41"/>
      <c r="F434" s="41"/>
      <c r="G434" s="41"/>
    </row>
    <row r="435" spans="5:7" s="39" customFormat="1" x14ac:dyDescent="0.3">
      <c r="E435" s="41"/>
      <c r="F435" s="41"/>
      <c r="G435" s="41"/>
    </row>
    <row r="436" spans="5:7" s="39" customFormat="1" x14ac:dyDescent="0.3">
      <c r="E436" s="41"/>
      <c r="F436" s="41"/>
      <c r="G436" s="41"/>
    </row>
    <row r="437" spans="5:7" s="39" customFormat="1" x14ac:dyDescent="0.3">
      <c r="E437" s="41"/>
      <c r="F437" s="41"/>
      <c r="G437" s="41"/>
    </row>
    <row r="438" spans="5:7" s="39" customFormat="1" x14ac:dyDescent="0.3">
      <c r="E438" s="41"/>
      <c r="F438" s="41"/>
      <c r="G438" s="41"/>
    </row>
    <row r="439" spans="5:7" s="39" customFormat="1" x14ac:dyDescent="0.3">
      <c r="E439" s="41"/>
      <c r="F439" s="41"/>
      <c r="G439" s="41"/>
    </row>
    <row r="440" spans="5:7" s="39" customFormat="1" x14ac:dyDescent="0.3">
      <c r="E440" s="41"/>
      <c r="F440" s="41"/>
      <c r="G440" s="41"/>
    </row>
    <row r="441" spans="5:7" s="39" customFormat="1" x14ac:dyDescent="0.3">
      <c r="E441" s="41"/>
      <c r="F441" s="41"/>
      <c r="G441" s="41"/>
    </row>
    <row r="442" spans="5:7" s="39" customFormat="1" x14ac:dyDescent="0.3">
      <c r="E442" s="41"/>
      <c r="F442" s="41"/>
      <c r="G442" s="41"/>
    </row>
    <row r="443" spans="5:7" s="39" customFormat="1" x14ac:dyDescent="0.3">
      <c r="E443" s="41"/>
      <c r="F443" s="41"/>
      <c r="G443" s="41"/>
    </row>
    <row r="444" spans="5:7" s="39" customFormat="1" x14ac:dyDescent="0.3">
      <c r="E444" s="41"/>
      <c r="F444" s="41"/>
      <c r="G444" s="41"/>
    </row>
    <row r="445" spans="5:7" s="39" customFormat="1" x14ac:dyDescent="0.3">
      <c r="E445" s="41"/>
      <c r="F445" s="41"/>
      <c r="G445" s="41"/>
    </row>
    <row r="446" spans="5:7" s="39" customFormat="1" x14ac:dyDescent="0.3">
      <c r="E446" s="41"/>
      <c r="F446" s="41"/>
      <c r="G446" s="41"/>
    </row>
    <row r="447" spans="5:7" s="39" customFormat="1" x14ac:dyDescent="0.3">
      <c r="E447" s="41"/>
      <c r="F447" s="41"/>
      <c r="G447" s="41"/>
    </row>
    <row r="448" spans="5:7" s="39" customFormat="1" x14ac:dyDescent="0.3">
      <c r="E448" s="41"/>
      <c r="F448" s="41"/>
      <c r="G448" s="41"/>
    </row>
    <row r="449" spans="5:7" s="39" customFormat="1" x14ac:dyDescent="0.3">
      <c r="E449" s="41"/>
      <c r="F449" s="41"/>
      <c r="G449" s="41"/>
    </row>
    <row r="450" spans="5:7" s="39" customFormat="1" x14ac:dyDescent="0.3">
      <c r="E450" s="41"/>
      <c r="F450" s="41"/>
      <c r="G450" s="41"/>
    </row>
    <row r="451" spans="5:7" s="39" customFormat="1" x14ac:dyDescent="0.3">
      <c r="E451" s="41"/>
      <c r="F451" s="41"/>
      <c r="G451" s="41"/>
    </row>
    <row r="452" spans="5:7" s="39" customFormat="1" x14ac:dyDescent="0.3">
      <c r="E452" s="41"/>
      <c r="F452" s="41"/>
      <c r="G452" s="41"/>
    </row>
    <row r="453" spans="5:7" s="39" customFormat="1" x14ac:dyDescent="0.3">
      <c r="E453" s="41"/>
      <c r="F453" s="41"/>
      <c r="G453" s="41"/>
    </row>
    <row r="454" spans="5:7" s="39" customFormat="1" x14ac:dyDescent="0.3">
      <c r="E454" s="41"/>
      <c r="F454" s="41"/>
      <c r="G454" s="41"/>
    </row>
    <row r="455" spans="5:7" s="39" customFormat="1" x14ac:dyDescent="0.3">
      <c r="E455" s="41"/>
      <c r="F455" s="41"/>
      <c r="G455" s="41"/>
    </row>
    <row r="456" spans="5:7" s="39" customFormat="1" x14ac:dyDescent="0.3">
      <c r="E456" s="41"/>
      <c r="F456" s="41"/>
      <c r="G456" s="41"/>
    </row>
    <row r="457" spans="5:7" s="39" customFormat="1" x14ac:dyDescent="0.3">
      <c r="E457" s="41"/>
      <c r="F457" s="41"/>
      <c r="G457" s="41"/>
    </row>
    <row r="458" spans="5:7" s="39" customFormat="1" x14ac:dyDescent="0.3">
      <c r="E458" s="41"/>
      <c r="F458" s="41"/>
      <c r="G458" s="41"/>
    </row>
    <row r="459" spans="5:7" s="39" customFormat="1" x14ac:dyDescent="0.3">
      <c r="E459" s="41"/>
      <c r="F459" s="41"/>
      <c r="G459" s="41"/>
    </row>
    <row r="460" spans="5:7" s="39" customFormat="1" x14ac:dyDescent="0.3">
      <c r="E460" s="41"/>
      <c r="F460" s="41"/>
      <c r="G460" s="41"/>
    </row>
    <row r="461" spans="5:7" s="39" customFormat="1" x14ac:dyDescent="0.3">
      <c r="E461" s="41"/>
      <c r="F461" s="41"/>
      <c r="G461" s="41"/>
    </row>
    <row r="462" spans="5:7" s="39" customFormat="1" x14ac:dyDescent="0.3">
      <c r="E462" s="41"/>
      <c r="F462" s="41"/>
      <c r="G462" s="41"/>
    </row>
    <row r="463" spans="5:7" s="39" customFormat="1" x14ac:dyDescent="0.3">
      <c r="E463" s="41"/>
      <c r="F463" s="41"/>
      <c r="G463" s="41"/>
    </row>
    <row r="464" spans="5:7" s="39" customFormat="1" x14ac:dyDescent="0.3">
      <c r="E464" s="41"/>
      <c r="F464" s="41"/>
      <c r="G464" s="41"/>
    </row>
    <row r="465" spans="5:7" s="39" customFormat="1" x14ac:dyDescent="0.3">
      <c r="E465" s="41"/>
      <c r="F465" s="41"/>
      <c r="G465" s="41"/>
    </row>
    <row r="466" spans="5:7" s="39" customFormat="1" x14ac:dyDescent="0.3">
      <c r="E466" s="41"/>
      <c r="F466" s="41"/>
      <c r="G466" s="41"/>
    </row>
    <row r="467" spans="5:7" s="39" customFormat="1" x14ac:dyDescent="0.3">
      <c r="E467" s="41"/>
      <c r="F467" s="41"/>
      <c r="G467" s="41"/>
    </row>
    <row r="468" spans="5:7" s="39" customFormat="1" x14ac:dyDescent="0.3">
      <c r="E468" s="41"/>
      <c r="F468" s="41"/>
      <c r="G468" s="41"/>
    </row>
    <row r="469" spans="5:7" s="39" customFormat="1" x14ac:dyDescent="0.3">
      <c r="E469" s="41"/>
      <c r="F469" s="41"/>
      <c r="G469" s="41"/>
    </row>
    <row r="470" spans="5:7" s="39" customFormat="1" x14ac:dyDescent="0.3">
      <c r="E470" s="41"/>
      <c r="F470" s="41"/>
      <c r="G470" s="41"/>
    </row>
    <row r="471" spans="5:7" s="39" customFormat="1" x14ac:dyDescent="0.3">
      <c r="E471" s="41"/>
      <c r="F471" s="41"/>
      <c r="G471" s="41"/>
    </row>
    <row r="472" spans="5:7" s="39" customFormat="1" x14ac:dyDescent="0.3">
      <c r="E472" s="41"/>
      <c r="F472" s="41"/>
      <c r="G472" s="41"/>
    </row>
    <row r="473" spans="5:7" s="39" customFormat="1" x14ac:dyDescent="0.3">
      <c r="E473" s="41"/>
      <c r="F473" s="41"/>
      <c r="G473" s="41"/>
    </row>
    <row r="474" spans="5:7" s="39" customFormat="1" x14ac:dyDescent="0.3">
      <c r="E474" s="41"/>
      <c r="F474" s="41"/>
      <c r="G474" s="41"/>
    </row>
    <row r="475" spans="5:7" s="39" customFormat="1" x14ac:dyDescent="0.3">
      <c r="E475" s="41"/>
      <c r="F475" s="41"/>
      <c r="G475" s="41"/>
    </row>
    <row r="476" spans="5:7" s="39" customFormat="1" x14ac:dyDescent="0.3">
      <c r="E476" s="41"/>
      <c r="F476" s="41"/>
      <c r="G476" s="41"/>
    </row>
    <row r="477" spans="5:7" s="39" customFormat="1" x14ac:dyDescent="0.3">
      <c r="E477" s="41"/>
      <c r="F477" s="41"/>
      <c r="G477" s="41"/>
    </row>
    <row r="478" spans="5:7" s="39" customFormat="1" x14ac:dyDescent="0.3">
      <c r="E478" s="41"/>
      <c r="F478" s="41"/>
      <c r="G478" s="41"/>
    </row>
    <row r="479" spans="5:7" s="39" customFormat="1" x14ac:dyDescent="0.3">
      <c r="E479" s="41"/>
      <c r="F479" s="41"/>
      <c r="G479" s="41"/>
    </row>
    <row r="480" spans="5:7" s="39" customFormat="1" x14ac:dyDescent="0.3">
      <c r="E480" s="41"/>
      <c r="F480" s="41"/>
      <c r="G480" s="41"/>
    </row>
    <row r="481" spans="5:7" s="39" customFormat="1" x14ac:dyDescent="0.3">
      <c r="E481" s="41"/>
      <c r="F481" s="41"/>
      <c r="G481" s="41"/>
    </row>
    <row r="482" spans="5:7" s="39" customFormat="1" x14ac:dyDescent="0.3">
      <c r="E482" s="41"/>
      <c r="F482" s="41"/>
      <c r="G482" s="41"/>
    </row>
    <row r="483" spans="5:7" s="39" customFormat="1" x14ac:dyDescent="0.3">
      <c r="E483" s="41"/>
      <c r="F483" s="41"/>
      <c r="G483" s="41"/>
    </row>
    <row r="484" spans="5:7" s="39" customFormat="1" x14ac:dyDescent="0.3">
      <c r="E484" s="41"/>
      <c r="F484" s="41"/>
      <c r="G484" s="41"/>
    </row>
    <row r="485" spans="5:7" s="39" customFormat="1" x14ac:dyDescent="0.3">
      <c r="E485" s="41"/>
      <c r="F485" s="41"/>
      <c r="G485" s="41"/>
    </row>
    <row r="486" spans="5:7" s="39" customFormat="1" x14ac:dyDescent="0.3">
      <c r="E486" s="41"/>
      <c r="F486" s="41"/>
      <c r="G486" s="41"/>
    </row>
    <row r="487" spans="5:7" s="39" customFormat="1" x14ac:dyDescent="0.3">
      <c r="E487" s="41"/>
      <c r="F487" s="41"/>
      <c r="G487" s="41"/>
    </row>
    <row r="488" spans="5:7" s="39" customFormat="1" x14ac:dyDescent="0.3">
      <c r="E488" s="41"/>
      <c r="F488" s="41"/>
      <c r="G488" s="41"/>
    </row>
    <row r="489" spans="5:7" s="39" customFormat="1" x14ac:dyDescent="0.3">
      <c r="E489" s="41"/>
      <c r="F489" s="41"/>
      <c r="G489" s="41"/>
    </row>
    <row r="490" spans="5:7" s="39" customFormat="1" x14ac:dyDescent="0.3">
      <c r="E490" s="41"/>
      <c r="F490" s="41"/>
      <c r="G490" s="41"/>
    </row>
    <row r="491" spans="5:7" s="39" customFormat="1" x14ac:dyDescent="0.3">
      <c r="E491" s="41"/>
      <c r="F491" s="41"/>
      <c r="G491" s="41"/>
    </row>
    <row r="492" spans="5:7" s="39" customFormat="1" x14ac:dyDescent="0.3">
      <c r="E492" s="41"/>
      <c r="F492" s="41"/>
      <c r="G492" s="41"/>
    </row>
    <row r="493" spans="5:7" s="39" customFormat="1" x14ac:dyDescent="0.3">
      <c r="E493" s="41"/>
      <c r="F493" s="41"/>
      <c r="G493" s="41"/>
    </row>
    <row r="494" spans="5:7" s="39" customFormat="1" x14ac:dyDescent="0.3">
      <c r="E494" s="41"/>
      <c r="F494" s="41"/>
      <c r="G494" s="41"/>
    </row>
    <row r="495" spans="5:7" s="39" customFormat="1" x14ac:dyDescent="0.3">
      <c r="E495" s="41"/>
      <c r="F495" s="41"/>
      <c r="G495" s="41"/>
    </row>
    <row r="496" spans="5:7" s="39" customFormat="1" x14ac:dyDescent="0.3">
      <c r="E496" s="41"/>
      <c r="F496" s="41"/>
      <c r="G496" s="41"/>
    </row>
    <row r="497" spans="5:7" s="39" customFormat="1" x14ac:dyDescent="0.3">
      <c r="E497" s="41"/>
      <c r="F497" s="41"/>
      <c r="G497" s="41"/>
    </row>
    <row r="498" spans="5:7" s="39" customFormat="1" x14ac:dyDescent="0.3">
      <c r="E498" s="41"/>
      <c r="F498" s="41"/>
      <c r="G498" s="41"/>
    </row>
    <row r="499" spans="5:7" s="39" customFormat="1" x14ac:dyDescent="0.3">
      <c r="E499" s="41"/>
      <c r="F499" s="41"/>
      <c r="G499" s="41"/>
    </row>
    <row r="500" spans="5:7" s="39" customFormat="1" x14ac:dyDescent="0.3">
      <c r="E500" s="41"/>
      <c r="F500" s="41"/>
      <c r="G500" s="41"/>
    </row>
    <row r="501" spans="5:7" s="39" customFormat="1" x14ac:dyDescent="0.3">
      <c r="E501" s="41"/>
      <c r="F501" s="41"/>
      <c r="G501" s="41"/>
    </row>
    <row r="502" spans="5:7" s="39" customFormat="1" x14ac:dyDescent="0.3">
      <c r="E502" s="41"/>
      <c r="F502" s="41"/>
      <c r="G502" s="41"/>
    </row>
    <row r="503" spans="5:7" s="39" customFormat="1" x14ac:dyDescent="0.3">
      <c r="E503" s="41"/>
      <c r="F503" s="41"/>
      <c r="G503" s="41"/>
    </row>
    <row r="504" spans="5:7" s="39" customFormat="1" x14ac:dyDescent="0.3">
      <c r="E504" s="41"/>
      <c r="F504" s="41"/>
      <c r="G504" s="41"/>
    </row>
    <row r="505" spans="5:7" s="39" customFormat="1" x14ac:dyDescent="0.3">
      <c r="E505" s="41"/>
      <c r="F505" s="41"/>
      <c r="G505" s="41"/>
    </row>
    <row r="506" spans="5:7" s="39" customFormat="1" x14ac:dyDescent="0.3">
      <c r="E506" s="41"/>
      <c r="F506" s="41"/>
      <c r="G506" s="41"/>
    </row>
    <row r="507" spans="5:7" s="39" customFormat="1" x14ac:dyDescent="0.3">
      <c r="E507" s="41"/>
      <c r="F507" s="41"/>
      <c r="G507" s="41"/>
    </row>
    <row r="508" spans="5:7" s="39" customFormat="1" x14ac:dyDescent="0.3">
      <c r="E508" s="41"/>
      <c r="F508" s="41"/>
      <c r="G508" s="41"/>
    </row>
    <row r="509" spans="5:7" s="39" customFormat="1" x14ac:dyDescent="0.3">
      <c r="E509" s="41"/>
      <c r="F509" s="41"/>
      <c r="G509" s="41"/>
    </row>
    <row r="510" spans="5:7" s="39" customFormat="1" x14ac:dyDescent="0.3">
      <c r="E510" s="41"/>
      <c r="F510" s="41"/>
      <c r="G510" s="41"/>
    </row>
    <row r="511" spans="5:7" s="39" customFormat="1" x14ac:dyDescent="0.3">
      <c r="E511" s="41"/>
      <c r="F511" s="41"/>
      <c r="G511" s="41"/>
    </row>
    <row r="512" spans="5:7" s="39" customFormat="1" x14ac:dyDescent="0.3">
      <c r="E512" s="41"/>
      <c r="F512" s="41"/>
      <c r="G512" s="41"/>
    </row>
    <row r="513" spans="5:7" s="39" customFormat="1" x14ac:dyDescent="0.3">
      <c r="E513" s="41"/>
      <c r="F513" s="41"/>
      <c r="G513" s="41"/>
    </row>
    <row r="514" spans="5:7" s="39" customFormat="1" x14ac:dyDescent="0.3">
      <c r="E514" s="41"/>
      <c r="F514" s="41"/>
      <c r="G514" s="41"/>
    </row>
    <row r="515" spans="5:7" s="39" customFormat="1" x14ac:dyDescent="0.3">
      <c r="E515" s="41"/>
      <c r="F515" s="41"/>
      <c r="G515" s="41"/>
    </row>
    <row r="516" spans="5:7" s="39" customFormat="1" x14ac:dyDescent="0.3">
      <c r="E516" s="41"/>
      <c r="F516" s="41"/>
      <c r="G516" s="41"/>
    </row>
    <row r="517" spans="5:7" s="39" customFormat="1" x14ac:dyDescent="0.3">
      <c r="E517" s="41"/>
      <c r="F517" s="41"/>
      <c r="G517" s="41"/>
    </row>
    <row r="518" spans="5:7" s="39" customFormat="1" x14ac:dyDescent="0.3">
      <c r="E518" s="41"/>
      <c r="F518" s="41"/>
      <c r="G518" s="41"/>
    </row>
    <row r="519" spans="5:7" s="39" customFormat="1" x14ac:dyDescent="0.3">
      <c r="E519" s="41"/>
      <c r="F519" s="41"/>
      <c r="G519" s="41"/>
    </row>
    <row r="520" spans="5:7" s="39" customFormat="1" x14ac:dyDescent="0.3">
      <c r="E520" s="41"/>
      <c r="F520" s="41"/>
      <c r="G520" s="41"/>
    </row>
    <row r="521" spans="5:7" s="39" customFormat="1" x14ac:dyDescent="0.3">
      <c r="E521" s="41"/>
      <c r="F521" s="41"/>
      <c r="G521" s="41"/>
    </row>
    <row r="522" spans="5:7" s="39" customFormat="1" x14ac:dyDescent="0.3">
      <c r="E522" s="41"/>
      <c r="F522" s="41"/>
      <c r="G522" s="41"/>
    </row>
    <row r="523" spans="5:7" s="39" customFormat="1" x14ac:dyDescent="0.3">
      <c r="E523" s="41"/>
      <c r="F523" s="41"/>
      <c r="G523" s="41"/>
    </row>
    <row r="524" spans="5:7" s="39" customFormat="1" x14ac:dyDescent="0.3">
      <c r="E524" s="41"/>
      <c r="F524" s="41"/>
      <c r="G524" s="41"/>
    </row>
    <row r="525" spans="5:7" s="39" customFormat="1" x14ac:dyDescent="0.3">
      <c r="E525" s="41"/>
      <c r="F525" s="41"/>
      <c r="G525" s="41"/>
    </row>
    <row r="526" spans="5:7" s="39" customFormat="1" x14ac:dyDescent="0.3">
      <c r="E526" s="41"/>
      <c r="F526" s="41"/>
      <c r="G526" s="41"/>
    </row>
    <row r="527" spans="5:7" s="39" customFormat="1" x14ac:dyDescent="0.3">
      <c r="E527" s="41"/>
      <c r="F527" s="41"/>
      <c r="G527" s="41"/>
    </row>
    <row r="528" spans="5:7" s="39" customFormat="1" x14ac:dyDescent="0.3">
      <c r="E528" s="41"/>
      <c r="F528" s="41"/>
      <c r="G528" s="41"/>
    </row>
    <row r="529" spans="5:7" s="39" customFormat="1" x14ac:dyDescent="0.3">
      <c r="E529" s="41"/>
      <c r="F529" s="41"/>
      <c r="G529" s="41"/>
    </row>
    <row r="530" spans="5:7" s="39" customFormat="1" x14ac:dyDescent="0.3">
      <c r="E530" s="41"/>
      <c r="F530" s="41"/>
      <c r="G530" s="41"/>
    </row>
    <row r="531" spans="5:7" s="39" customFormat="1" x14ac:dyDescent="0.3">
      <c r="E531" s="41"/>
      <c r="F531" s="41"/>
      <c r="G531" s="41"/>
    </row>
    <row r="532" spans="5:7" s="39" customFormat="1" x14ac:dyDescent="0.3">
      <c r="E532" s="41"/>
      <c r="F532" s="41"/>
      <c r="G532" s="41"/>
    </row>
    <row r="533" spans="5:7" s="39" customFormat="1" x14ac:dyDescent="0.3">
      <c r="E533" s="41"/>
      <c r="F533" s="41"/>
      <c r="G533" s="41"/>
    </row>
    <row r="534" spans="5:7" s="39" customFormat="1" x14ac:dyDescent="0.3">
      <c r="E534" s="41"/>
      <c r="F534" s="41"/>
      <c r="G534" s="41"/>
    </row>
    <row r="535" spans="5:7" s="39" customFormat="1" x14ac:dyDescent="0.3">
      <c r="E535" s="41"/>
      <c r="F535" s="41"/>
      <c r="G535" s="41"/>
    </row>
    <row r="536" spans="5:7" s="39" customFormat="1" x14ac:dyDescent="0.3">
      <c r="E536" s="41"/>
      <c r="F536" s="41"/>
      <c r="G536" s="41"/>
    </row>
    <row r="537" spans="5:7" s="39" customFormat="1" x14ac:dyDescent="0.3">
      <c r="E537" s="41"/>
      <c r="F537" s="41"/>
      <c r="G537" s="41"/>
    </row>
    <row r="538" spans="5:7" s="39" customFormat="1" x14ac:dyDescent="0.3">
      <c r="E538" s="41"/>
      <c r="F538" s="41"/>
      <c r="G538" s="41"/>
    </row>
    <row r="539" spans="5:7" s="39" customFormat="1" x14ac:dyDescent="0.3">
      <c r="E539" s="41"/>
      <c r="F539" s="41"/>
      <c r="G539" s="41"/>
    </row>
    <row r="540" spans="5:7" s="39" customFormat="1" x14ac:dyDescent="0.3">
      <c r="E540" s="41"/>
      <c r="F540" s="41"/>
      <c r="G540" s="41"/>
    </row>
    <row r="541" spans="5:7" s="39" customFormat="1" x14ac:dyDescent="0.3">
      <c r="E541" s="41"/>
      <c r="F541" s="41"/>
      <c r="G541" s="41"/>
    </row>
    <row r="542" spans="5:7" s="39" customFormat="1" x14ac:dyDescent="0.3">
      <c r="E542" s="41"/>
      <c r="F542" s="41"/>
      <c r="G542" s="41"/>
    </row>
    <row r="543" spans="5:7" s="39" customFormat="1" x14ac:dyDescent="0.3">
      <c r="E543" s="41"/>
      <c r="F543" s="41"/>
      <c r="G543" s="41"/>
    </row>
    <row r="544" spans="5:7" s="39" customFormat="1" x14ac:dyDescent="0.3">
      <c r="E544" s="41"/>
      <c r="F544" s="41"/>
      <c r="G544" s="41"/>
    </row>
    <row r="545" spans="5:7" s="39" customFormat="1" x14ac:dyDescent="0.3">
      <c r="E545" s="41"/>
      <c r="F545" s="41"/>
      <c r="G545" s="41"/>
    </row>
    <row r="546" spans="5:7" s="39" customFormat="1" x14ac:dyDescent="0.3">
      <c r="E546" s="41"/>
      <c r="F546" s="41"/>
      <c r="G546" s="41"/>
    </row>
    <row r="547" spans="5:7" s="39" customFormat="1" x14ac:dyDescent="0.3">
      <c r="E547" s="41"/>
      <c r="F547" s="41"/>
      <c r="G547" s="41"/>
    </row>
    <row r="548" spans="5:7" s="39" customFormat="1" x14ac:dyDescent="0.3">
      <c r="E548" s="41"/>
      <c r="F548" s="41"/>
      <c r="G548" s="41"/>
    </row>
    <row r="549" spans="5:7" s="39" customFormat="1" x14ac:dyDescent="0.3">
      <c r="E549" s="41"/>
      <c r="F549" s="41"/>
      <c r="G549" s="41"/>
    </row>
    <row r="550" spans="5:7" s="39" customFormat="1" x14ac:dyDescent="0.3">
      <c r="E550" s="41"/>
      <c r="F550" s="41"/>
      <c r="G550" s="41"/>
    </row>
    <row r="551" spans="5:7" s="39" customFormat="1" x14ac:dyDescent="0.3">
      <c r="E551" s="41"/>
      <c r="F551" s="41"/>
      <c r="G551" s="41"/>
    </row>
    <row r="552" spans="5:7" s="39" customFormat="1" x14ac:dyDescent="0.3">
      <c r="E552" s="41"/>
      <c r="F552" s="41"/>
      <c r="G552" s="41"/>
    </row>
    <row r="553" spans="5:7" s="39" customFormat="1" x14ac:dyDescent="0.3">
      <c r="E553" s="41"/>
      <c r="F553" s="41"/>
      <c r="G553" s="41"/>
    </row>
    <row r="554" spans="5:7" s="39" customFormat="1" x14ac:dyDescent="0.3">
      <c r="E554" s="41"/>
      <c r="F554" s="41"/>
      <c r="G554" s="41"/>
    </row>
    <row r="555" spans="5:7" s="39" customFormat="1" x14ac:dyDescent="0.3">
      <c r="E555" s="41"/>
      <c r="F555" s="41"/>
      <c r="G555" s="41"/>
    </row>
    <row r="556" spans="5:7" s="39" customFormat="1" x14ac:dyDescent="0.3">
      <c r="E556" s="41"/>
      <c r="F556" s="41"/>
      <c r="G556" s="41"/>
    </row>
    <row r="557" spans="5:7" s="39" customFormat="1" x14ac:dyDescent="0.3">
      <c r="E557" s="41"/>
      <c r="F557" s="41"/>
      <c r="G557" s="41"/>
    </row>
    <row r="558" spans="5:7" s="39" customFormat="1" x14ac:dyDescent="0.3">
      <c r="E558" s="41"/>
      <c r="F558" s="41"/>
      <c r="G558" s="41"/>
    </row>
    <row r="559" spans="5:7" s="39" customFormat="1" x14ac:dyDescent="0.3">
      <c r="E559" s="41"/>
      <c r="F559" s="41"/>
      <c r="G559" s="41"/>
    </row>
    <row r="560" spans="5:7" s="39" customFormat="1" x14ac:dyDescent="0.3">
      <c r="E560" s="41"/>
      <c r="F560" s="41"/>
      <c r="G560" s="41"/>
    </row>
    <row r="561" spans="5:7" s="39" customFormat="1" x14ac:dyDescent="0.3">
      <c r="E561" s="41"/>
      <c r="F561" s="41"/>
      <c r="G561" s="41"/>
    </row>
    <row r="562" spans="5:7" s="39" customFormat="1" x14ac:dyDescent="0.3">
      <c r="E562" s="41"/>
      <c r="F562" s="41"/>
      <c r="G562" s="41"/>
    </row>
    <row r="563" spans="5:7" s="39" customFormat="1" x14ac:dyDescent="0.3">
      <c r="E563" s="41"/>
      <c r="F563" s="41"/>
      <c r="G563" s="41"/>
    </row>
    <row r="564" spans="5:7" s="39" customFormat="1" x14ac:dyDescent="0.3">
      <c r="E564" s="41"/>
      <c r="F564" s="41"/>
      <c r="G564" s="41"/>
    </row>
    <row r="565" spans="5:7" s="39" customFormat="1" x14ac:dyDescent="0.3">
      <c r="E565" s="41"/>
      <c r="F565" s="41"/>
      <c r="G565" s="41"/>
    </row>
    <row r="566" spans="5:7" s="39" customFormat="1" x14ac:dyDescent="0.3">
      <c r="E566" s="41"/>
      <c r="F566" s="41"/>
      <c r="G566" s="41"/>
    </row>
    <row r="567" spans="5:7" s="39" customFormat="1" x14ac:dyDescent="0.3">
      <c r="E567" s="41"/>
      <c r="F567" s="41"/>
      <c r="G567" s="41"/>
    </row>
    <row r="568" spans="5:7" s="39" customFormat="1" x14ac:dyDescent="0.3">
      <c r="E568" s="41"/>
      <c r="F568" s="41"/>
      <c r="G568" s="41"/>
    </row>
    <row r="569" spans="5:7" s="39" customFormat="1" x14ac:dyDescent="0.3">
      <c r="E569" s="41"/>
      <c r="F569" s="41"/>
      <c r="G569" s="41"/>
    </row>
    <row r="570" spans="5:7" s="39" customFormat="1" x14ac:dyDescent="0.3">
      <c r="E570" s="41"/>
      <c r="F570" s="41"/>
      <c r="G570" s="41"/>
    </row>
    <row r="571" spans="5:7" s="39" customFormat="1" x14ac:dyDescent="0.3">
      <c r="E571" s="41"/>
      <c r="F571" s="41"/>
      <c r="G571" s="41"/>
    </row>
    <row r="572" spans="5:7" s="39" customFormat="1" x14ac:dyDescent="0.3">
      <c r="E572" s="41"/>
      <c r="F572" s="41"/>
      <c r="G572" s="41"/>
    </row>
    <row r="573" spans="5:7" s="39" customFormat="1" x14ac:dyDescent="0.3">
      <c r="E573" s="41"/>
      <c r="F573" s="41"/>
      <c r="G573" s="41"/>
    </row>
    <row r="574" spans="5:7" s="39" customFormat="1" x14ac:dyDescent="0.3">
      <c r="E574" s="41"/>
      <c r="F574" s="41"/>
      <c r="G574" s="41"/>
    </row>
    <row r="575" spans="5:7" s="39" customFormat="1" x14ac:dyDescent="0.3">
      <c r="E575" s="41"/>
      <c r="F575" s="41"/>
      <c r="G575" s="41"/>
    </row>
    <row r="576" spans="5:7" s="39" customFormat="1" x14ac:dyDescent="0.3">
      <c r="E576" s="41"/>
      <c r="F576" s="41"/>
      <c r="G576" s="41"/>
    </row>
    <row r="577" spans="5:7" s="39" customFormat="1" x14ac:dyDescent="0.3">
      <c r="E577" s="41"/>
      <c r="F577" s="41"/>
      <c r="G577" s="41"/>
    </row>
    <row r="578" spans="5:7" s="39" customFormat="1" x14ac:dyDescent="0.3">
      <c r="E578" s="41"/>
      <c r="F578" s="41"/>
      <c r="G578" s="41"/>
    </row>
    <row r="579" spans="5:7" s="39" customFormat="1" x14ac:dyDescent="0.3">
      <c r="E579" s="41"/>
      <c r="F579" s="41"/>
      <c r="G579" s="41"/>
    </row>
    <row r="580" spans="5:7" s="39" customFormat="1" x14ac:dyDescent="0.3">
      <c r="E580" s="41"/>
      <c r="F580" s="41"/>
      <c r="G580" s="41"/>
    </row>
    <row r="581" spans="5:7" s="39" customFormat="1" x14ac:dyDescent="0.3">
      <c r="E581" s="41"/>
      <c r="F581" s="41"/>
      <c r="G581" s="41"/>
    </row>
    <row r="582" spans="5:7" s="39" customFormat="1" x14ac:dyDescent="0.3">
      <c r="E582" s="41"/>
      <c r="F582" s="41"/>
      <c r="G582" s="41"/>
    </row>
    <row r="583" spans="5:7" s="39" customFormat="1" x14ac:dyDescent="0.3">
      <c r="E583" s="41"/>
      <c r="F583" s="41"/>
      <c r="G583" s="41"/>
    </row>
    <row r="584" spans="5:7" s="39" customFormat="1" x14ac:dyDescent="0.3">
      <c r="E584" s="41"/>
      <c r="F584" s="41"/>
      <c r="G584" s="41"/>
    </row>
    <row r="585" spans="5:7" s="39" customFormat="1" x14ac:dyDescent="0.3">
      <c r="E585" s="41"/>
      <c r="F585" s="41"/>
      <c r="G585" s="41"/>
    </row>
    <row r="586" spans="5:7" s="39" customFormat="1" x14ac:dyDescent="0.3">
      <c r="E586" s="41"/>
      <c r="F586" s="41"/>
      <c r="G586" s="41"/>
    </row>
    <row r="587" spans="5:7" s="39" customFormat="1" x14ac:dyDescent="0.3">
      <c r="E587" s="41"/>
      <c r="F587" s="41"/>
      <c r="G587" s="41"/>
    </row>
    <row r="588" spans="5:7" s="39" customFormat="1" x14ac:dyDescent="0.3">
      <c r="E588" s="41"/>
      <c r="F588" s="41"/>
      <c r="G588" s="41"/>
    </row>
    <row r="589" spans="5:7" s="39" customFormat="1" x14ac:dyDescent="0.3">
      <c r="E589" s="41"/>
      <c r="F589" s="41"/>
      <c r="G589" s="41"/>
    </row>
    <row r="590" spans="5:7" s="39" customFormat="1" x14ac:dyDescent="0.3">
      <c r="E590" s="41"/>
      <c r="F590" s="41"/>
      <c r="G590" s="41"/>
    </row>
    <row r="591" spans="5:7" s="39" customFormat="1" x14ac:dyDescent="0.3">
      <c r="E591" s="41"/>
      <c r="F591" s="41"/>
      <c r="G591" s="41"/>
    </row>
    <row r="592" spans="5:7" s="39" customFormat="1" x14ac:dyDescent="0.3">
      <c r="E592" s="41"/>
      <c r="F592" s="41"/>
      <c r="G592" s="41"/>
    </row>
    <row r="593" spans="5:7" s="39" customFormat="1" x14ac:dyDescent="0.3">
      <c r="E593" s="41"/>
      <c r="F593" s="41"/>
      <c r="G593" s="41"/>
    </row>
    <row r="594" spans="5:7" s="39" customFormat="1" x14ac:dyDescent="0.3">
      <c r="E594" s="41"/>
      <c r="F594" s="41"/>
      <c r="G594" s="41"/>
    </row>
    <row r="595" spans="5:7" s="39" customFormat="1" x14ac:dyDescent="0.3">
      <c r="E595" s="41"/>
      <c r="F595" s="41"/>
      <c r="G595" s="41"/>
    </row>
    <row r="596" spans="5:7" s="39" customFormat="1" x14ac:dyDescent="0.3">
      <c r="E596" s="41"/>
      <c r="F596" s="41"/>
      <c r="G596" s="41"/>
    </row>
    <row r="597" spans="5:7" s="39" customFormat="1" x14ac:dyDescent="0.3">
      <c r="E597" s="41"/>
      <c r="F597" s="41"/>
      <c r="G597" s="41"/>
    </row>
    <row r="598" spans="5:7" s="39" customFormat="1" x14ac:dyDescent="0.3">
      <c r="E598" s="41"/>
      <c r="F598" s="41"/>
      <c r="G598" s="41"/>
    </row>
    <row r="599" spans="5:7" s="39" customFormat="1" x14ac:dyDescent="0.3">
      <c r="E599" s="41"/>
      <c r="F599" s="41"/>
      <c r="G599" s="41"/>
    </row>
    <row r="600" spans="5:7" s="39" customFormat="1" x14ac:dyDescent="0.3">
      <c r="E600" s="41"/>
      <c r="F600" s="41"/>
      <c r="G600" s="41"/>
    </row>
    <row r="601" spans="5:7" s="39" customFormat="1" x14ac:dyDescent="0.3">
      <c r="E601" s="41"/>
      <c r="F601" s="41"/>
      <c r="G601" s="41"/>
    </row>
    <row r="602" spans="5:7" s="39" customFormat="1" x14ac:dyDescent="0.3">
      <c r="E602" s="41"/>
      <c r="F602" s="41"/>
      <c r="G602" s="41"/>
    </row>
    <row r="603" spans="5:7" s="39" customFormat="1" x14ac:dyDescent="0.3">
      <c r="E603" s="41"/>
      <c r="F603" s="41"/>
      <c r="G603" s="41"/>
    </row>
    <row r="604" spans="5:7" s="39" customFormat="1" x14ac:dyDescent="0.3">
      <c r="E604" s="41"/>
      <c r="F604" s="41"/>
      <c r="G604" s="41"/>
    </row>
    <row r="605" spans="5:7" s="39" customFormat="1" x14ac:dyDescent="0.3">
      <c r="E605" s="41"/>
      <c r="F605" s="41"/>
      <c r="G605" s="41"/>
    </row>
    <row r="606" spans="5:7" s="39" customFormat="1" x14ac:dyDescent="0.3">
      <c r="E606" s="41"/>
      <c r="F606" s="41"/>
      <c r="G606" s="41"/>
    </row>
    <row r="607" spans="5:7" s="39" customFormat="1" x14ac:dyDescent="0.3">
      <c r="E607" s="41"/>
      <c r="F607" s="41"/>
      <c r="G607" s="41"/>
    </row>
    <row r="608" spans="5:7" s="39" customFormat="1" x14ac:dyDescent="0.3">
      <c r="E608" s="41"/>
      <c r="F608" s="41"/>
      <c r="G608" s="41"/>
    </row>
    <row r="609" spans="5:7" s="39" customFormat="1" x14ac:dyDescent="0.3">
      <c r="E609" s="41"/>
      <c r="F609" s="41"/>
      <c r="G609" s="41"/>
    </row>
    <row r="610" spans="5:7" s="39" customFormat="1" x14ac:dyDescent="0.3">
      <c r="E610" s="41"/>
      <c r="F610" s="41"/>
      <c r="G610" s="41"/>
    </row>
    <row r="611" spans="5:7" s="39" customFormat="1" x14ac:dyDescent="0.3">
      <c r="E611" s="41"/>
      <c r="F611" s="41"/>
      <c r="G611" s="41"/>
    </row>
    <row r="612" spans="5:7" s="39" customFormat="1" x14ac:dyDescent="0.3">
      <c r="E612" s="41"/>
      <c r="F612" s="41"/>
      <c r="G612" s="41"/>
    </row>
    <row r="613" spans="5:7" s="39" customFormat="1" x14ac:dyDescent="0.3">
      <c r="E613" s="41"/>
      <c r="F613" s="41"/>
      <c r="G613" s="41"/>
    </row>
    <row r="614" spans="5:7" s="39" customFormat="1" x14ac:dyDescent="0.3">
      <c r="E614" s="41"/>
      <c r="F614" s="41"/>
      <c r="G614" s="41"/>
    </row>
    <row r="615" spans="5:7" s="39" customFormat="1" x14ac:dyDescent="0.3">
      <c r="E615" s="41"/>
      <c r="F615" s="41"/>
      <c r="G615" s="41"/>
    </row>
    <row r="616" spans="5:7" s="39" customFormat="1" x14ac:dyDescent="0.3">
      <c r="E616" s="41"/>
      <c r="F616" s="41"/>
      <c r="G616" s="41"/>
    </row>
    <row r="617" spans="5:7" s="39" customFormat="1" x14ac:dyDescent="0.3">
      <c r="E617" s="41"/>
      <c r="F617" s="41"/>
      <c r="G617" s="41"/>
    </row>
    <row r="618" spans="5:7" s="39" customFormat="1" x14ac:dyDescent="0.3">
      <c r="E618" s="41"/>
      <c r="F618" s="41"/>
      <c r="G618" s="41"/>
    </row>
    <row r="619" spans="5:7" s="39" customFormat="1" x14ac:dyDescent="0.3">
      <c r="E619" s="41"/>
      <c r="F619" s="41"/>
      <c r="G619" s="41"/>
    </row>
    <row r="620" spans="5:7" s="39" customFormat="1" x14ac:dyDescent="0.3">
      <c r="E620" s="41"/>
      <c r="F620" s="41"/>
      <c r="G620" s="41"/>
    </row>
    <row r="621" spans="5:7" s="39" customFormat="1" x14ac:dyDescent="0.3">
      <c r="E621" s="41"/>
      <c r="F621" s="41"/>
      <c r="G621" s="41"/>
    </row>
    <row r="622" spans="5:7" s="39" customFormat="1" x14ac:dyDescent="0.3">
      <c r="E622" s="41"/>
      <c r="F622" s="41"/>
      <c r="G622" s="41"/>
    </row>
    <row r="623" spans="5:7" s="39" customFormat="1" x14ac:dyDescent="0.3">
      <c r="E623" s="41"/>
      <c r="F623" s="41"/>
      <c r="G623" s="41"/>
    </row>
    <row r="624" spans="5:7" s="39" customFormat="1" x14ac:dyDescent="0.3">
      <c r="E624" s="41"/>
      <c r="F624" s="41"/>
      <c r="G624" s="41"/>
    </row>
    <row r="625" spans="5:7" s="39" customFormat="1" x14ac:dyDescent="0.3">
      <c r="E625" s="41"/>
      <c r="F625" s="41"/>
      <c r="G625" s="41"/>
    </row>
    <row r="626" spans="5:7" s="39" customFormat="1" x14ac:dyDescent="0.3">
      <c r="E626" s="41"/>
      <c r="F626" s="41"/>
      <c r="G626" s="41"/>
    </row>
    <row r="627" spans="5:7" s="39" customFormat="1" x14ac:dyDescent="0.3">
      <c r="E627" s="41"/>
      <c r="F627" s="41"/>
      <c r="G627" s="41"/>
    </row>
    <row r="628" spans="5:7" s="39" customFormat="1" x14ac:dyDescent="0.3">
      <c r="E628" s="41"/>
      <c r="F628" s="41"/>
      <c r="G628" s="41"/>
    </row>
    <row r="629" spans="5:7" s="39" customFormat="1" x14ac:dyDescent="0.3">
      <c r="E629" s="41"/>
      <c r="F629" s="41"/>
      <c r="G629" s="41"/>
    </row>
    <row r="630" spans="5:7" s="39" customFormat="1" x14ac:dyDescent="0.3">
      <c r="E630" s="41"/>
      <c r="F630" s="41"/>
      <c r="G630" s="41"/>
    </row>
    <row r="631" spans="5:7" s="39" customFormat="1" x14ac:dyDescent="0.3">
      <c r="E631" s="41"/>
      <c r="F631" s="41"/>
      <c r="G631" s="41"/>
    </row>
    <row r="632" spans="5:7" s="39" customFormat="1" x14ac:dyDescent="0.3">
      <c r="E632" s="41"/>
      <c r="F632" s="41"/>
      <c r="G632" s="41"/>
    </row>
    <row r="633" spans="5:7" s="39" customFormat="1" x14ac:dyDescent="0.3">
      <c r="E633" s="41"/>
      <c r="F633" s="41"/>
      <c r="G633" s="41"/>
    </row>
    <row r="634" spans="5:7" s="39" customFormat="1" x14ac:dyDescent="0.3">
      <c r="E634" s="41"/>
      <c r="F634" s="41"/>
      <c r="G634" s="41"/>
    </row>
    <row r="635" spans="5:7" s="39" customFormat="1" x14ac:dyDescent="0.3">
      <c r="E635" s="41"/>
      <c r="F635" s="41"/>
      <c r="G635" s="41"/>
    </row>
    <row r="636" spans="5:7" s="39" customFormat="1" x14ac:dyDescent="0.3">
      <c r="E636" s="41"/>
      <c r="F636" s="41"/>
      <c r="G636" s="41"/>
    </row>
    <row r="637" spans="5:7" s="39" customFormat="1" x14ac:dyDescent="0.3">
      <c r="E637" s="41"/>
      <c r="F637" s="41"/>
      <c r="G637" s="41"/>
    </row>
    <row r="638" spans="5:7" s="39" customFormat="1" x14ac:dyDescent="0.3">
      <c r="E638" s="41"/>
      <c r="F638" s="41"/>
      <c r="G638" s="41"/>
    </row>
    <row r="639" spans="5:7" s="39" customFormat="1" x14ac:dyDescent="0.3">
      <c r="E639" s="41"/>
      <c r="F639" s="41"/>
      <c r="G639" s="41"/>
    </row>
    <row r="640" spans="5:7" s="39" customFormat="1" x14ac:dyDescent="0.3">
      <c r="E640" s="41"/>
      <c r="F640" s="41"/>
      <c r="G640" s="41"/>
    </row>
    <row r="641" spans="5:7" s="39" customFormat="1" x14ac:dyDescent="0.3">
      <c r="E641" s="41"/>
      <c r="F641" s="41"/>
      <c r="G641" s="41"/>
    </row>
    <row r="642" spans="5:7" s="39" customFormat="1" x14ac:dyDescent="0.3">
      <c r="E642" s="41"/>
      <c r="F642" s="41"/>
      <c r="G642" s="41"/>
    </row>
    <row r="643" spans="5:7" s="39" customFormat="1" x14ac:dyDescent="0.3">
      <c r="E643" s="41"/>
      <c r="F643" s="41"/>
      <c r="G643" s="41"/>
    </row>
    <row r="644" spans="5:7" s="39" customFormat="1" x14ac:dyDescent="0.3">
      <c r="E644" s="41"/>
      <c r="F644" s="41"/>
      <c r="G644" s="41"/>
    </row>
    <row r="645" spans="5:7" s="39" customFormat="1" x14ac:dyDescent="0.3">
      <c r="E645" s="41"/>
      <c r="F645" s="41"/>
      <c r="G645" s="41"/>
    </row>
    <row r="646" spans="5:7" s="39" customFormat="1" x14ac:dyDescent="0.3">
      <c r="E646" s="41"/>
      <c r="F646" s="41"/>
      <c r="G646" s="41"/>
    </row>
    <row r="647" spans="5:7" s="39" customFormat="1" x14ac:dyDescent="0.3">
      <c r="E647" s="41"/>
      <c r="F647" s="41"/>
      <c r="G647" s="41"/>
    </row>
    <row r="648" spans="5:7" s="39" customFormat="1" x14ac:dyDescent="0.3">
      <c r="E648" s="41"/>
      <c r="F648" s="41"/>
      <c r="G648" s="41"/>
    </row>
    <row r="649" spans="5:7" s="39" customFormat="1" x14ac:dyDescent="0.3">
      <c r="E649" s="41"/>
      <c r="F649" s="41"/>
      <c r="G649" s="41"/>
    </row>
    <row r="650" spans="5:7" s="39" customFormat="1" x14ac:dyDescent="0.3">
      <c r="E650" s="41"/>
      <c r="F650" s="41"/>
      <c r="G650" s="41"/>
    </row>
    <row r="651" spans="5:7" s="39" customFormat="1" x14ac:dyDescent="0.3">
      <c r="E651" s="41"/>
      <c r="F651" s="41"/>
      <c r="G651" s="41"/>
    </row>
    <row r="652" spans="5:7" s="39" customFormat="1" x14ac:dyDescent="0.3">
      <c r="E652" s="41"/>
      <c r="F652" s="41"/>
      <c r="G652" s="41"/>
    </row>
    <row r="653" spans="5:7" s="39" customFormat="1" x14ac:dyDescent="0.3">
      <c r="E653" s="41"/>
      <c r="F653" s="41"/>
      <c r="G653" s="41"/>
    </row>
    <row r="654" spans="5:7" s="39" customFormat="1" x14ac:dyDescent="0.3">
      <c r="E654" s="41"/>
      <c r="F654" s="41"/>
      <c r="G654" s="41"/>
    </row>
    <row r="655" spans="5:7" s="39" customFormat="1" x14ac:dyDescent="0.3">
      <c r="E655" s="41"/>
      <c r="F655" s="41"/>
      <c r="G655" s="41"/>
    </row>
    <row r="656" spans="5:7" s="39" customFormat="1" x14ac:dyDescent="0.3">
      <c r="E656" s="41"/>
      <c r="F656" s="41"/>
      <c r="G656" s="41"/>
    </row>
    <row r="657" spans="5:7" s="39" customFormat="1" x14ac:dyDescent="0.3">
      <c r="E657" s="41"/>
      <c r="F657" s="41"/>
      <c r="G657" s="41"/>
    </row>
    <row r="658" spans="5:7" s="39" customFormat="1" x14ac:dyDescent="0.3">
      <c r="E658" s="41"/>
      <c r="F658" s="41"/>
      <c r="G658" s="41"/>
    </row>
    <row r="659" spans="5:7" s="39" customFormat="1" x14ac:dyDescent="0.3">
      <c r="E659" s="41"/>
      <c r="F659" s="41"/>
      <c r="G659" s="41"/>
    </row>
    <row r="660" spans="5:7" s="39" customFormat="1" x14ac:dyDescent="0.3">
      <c r="E660" s="41"/>
      <c r="F660" s="41"/>
      <c r="G660" s="41"/>
    </row>
    <row r="661" spans="5:7" s="39" customFormat="1" x14ac:dyDescent="0.3">
      <c r="E661" s="41"/>
      <c r="F661" s="41"/>
      <c r="G661" s="41"/>
    </row>
    <row r="662" spans="5:7" s="39" customFormat="1" x14ac:dyDescent="0.3">
      <c r="E662" s="41"/>
      <c r="F662" s="41"/>
      <c r="G662" s="41"/>
    </row>
    <row r="663" spans="5:7" s="39" customFormat="1" x14ac:dyDescent="0.3">
      <c r="E663" s="41"/>
      <c r="F663" s="41"/>
      <c r="G663" s="41"/>
    </row>
    <row r="664" spans="5:7" s="39" customFormat="1" x14ac:dyDescent="0.3">
      <c r="E664" s="41"/>
      <c r="F664" s="41"/>
      <c r="G664" s="41"/>
    </row>
    <row r="665" spans="5:7" s="39" customFormat="1" x14ac:dyDescent="0.3">
      <c r="E665" s="41"/>
      <c r="F665" s="41"/>
      <c r="G665" s="41"/>
    </row>
    <row r="666" spans="5:7" s="39" customFormat="1" x14ac:dyDescent="0.3">
      <c r="E666" s="41"/>
      <c r="F666" s="41"/>
      <c r="G666" s="41"/>
    </row>
    <row r="667" spans="5:7" s="39" customFormat="1" x14ac:dyDescent="0.3">
      <c r="E667" s="41"/>
      <c r="F667" s="41"/>
      <c r="G667" s="41"/>
    </row>
    <row r="668" spans="5:7" s="39" customFormat="1" x14ac:dyDescent="0.3">
      <c r="E668" s="41"/>
      <c r="F668" s="41"/>
      <c r="G668" s="41"/>
    </row>
    <row r="669" spans="5:7" s="39" customFormat="1" x14ac:dyDescent="0.3">
      <c r="E669" s="41"/>
      <c r="F669" s="41"/>
      <c r="G669" s="41"/>
    </row>
    <row r="670" spans="5:7" s="39" customFormat="1" x14ac:dyDescent="0.3">
      <c r="E670" s="41"/>
      <c r="F670" s="41"/>
      <c r="G670" s="41"/>
    </row>
    <row r="671" spans="5:7" s="39" customFormat="1" x14ac:dyDescent="0.3">
      <c r="E671" s="41"/>
      <c r="F671" s="41"/>
      <c r="G671" s="41"/>
    </row>
    <row r="672" spans="5:7" s="39" customFormat="1" x14ac:dyDescent="0.3">
      <c r="E672" s="41"/>
      <c r="F672" s="41"/>
      <c r="G672" s="41"/>
    </row>
    <row r="673" spans="5:7" s="39" customFormat="1" x14ac:dyDescent="0.3">
      <c r="E673" s="41"/>
      <c r="F673" s="41"/>
      <c r="G673" s="41"/>
    </row>
    <row r="674" spans="5:7" s="39" customFormat="1" x14ac:dyDescent="0.3">
      <c r="E674" s="41"/>
      <c r="F674" s="41"/>
      <c r="G674" s="41"/>
    </row>
    <row r="675" spans="5:7" s="39" customFormat="1" x14ac:dyDescent="0.3">
      <c r="E675" s="41"/>
      <c r="F675" s="41"/>
      <c r="G675" s="41"/>
    </row>
    <row r="676" spans="5:7" s="39" customFormat="1" x14ac:dyDescent="0.3">
      <c r="E676" s="41"/>
      <c r="F676" s="41"/>
      <c r="G676" s="41"/>
    </row>
    <row r="677" spans="5:7" s="39" customFormat="1" x14ac:dyDescent="0.3">
      <c r="E677" s="41"/>
      <c r="F677" s="41"/>
      <c r="G677" s="41"/>
    </row>
    <row r="678" spans="5:7" s="39" customFormat="1" x14ac:dyDescent="0.3">
      <c r="E678" s="41"/>
      <c r="F678" s="41"/>
      <c r="G678" s="41"/>
    </row>
    <row r="679" spans="5:7" s="39" customFormat="1" x14ac:dyDescent="0.3">
      <c r="E679" s="41"/>
      <c r="F679" s="41"/>
      <c r="G679" s="41"/>
    </row>
    <row r="680" spans="5:7" s="39" customFormat="1" x14ac:dyDescent="0.3">
      <c r="E680" s="41"/>
      <c r="F680" s="41"/>
      <c r="G680" s="41"/>
    </row>
    <row r="681" spans="5:7" s="39" customFormat="1" x14ac:dyDescent="0.3">
      <c r="E681" s="41"/>
      <c r="F681" s="41"/>
      <c r="G681" s="41"/>
    </row>
    <row r="682" spans="5:7" s="39" customFormat="1" x14ac:dyDescent="0.3">
      <c r="E682" s="41"/>
      <c r="F682" s="41"/>
      <c r="G682" s="41"/>
    </row>
    <row r="683" spans="5:7" s="39" customFormat="1" x14ac:dyDescent="0.3">
      <c r="E683" s="41"/>
      <c r="F683" s="41"/>
      <c r="G683" s="41"/>
    </row>
    <row r="684" spans="5:7" s="39" customFormat="1" x14ac:dyDescent="0.3">
      <c r="E684" s="41"/>
      <c r="F684" s="41"/>
      <c r="G684" s="41"/>
    </row>
    <row r="685" spans="5:7" s="39" customFormat="1" x14ac:dyDescent="0.3">
      <c r="E685" s="41"/>
      <c r="F685" s="41"/>
      <c r="G685" s="41"/>
    </row>
    <row r="686" spans="5:7" s="39" customFormat="1" x14ac:dyDescent="0.3">
      <c r="E686" s="41"/>
      <c r="F686" s="41"/>
      <c r="G686" s="41"/>
    </row>
    <row r="687" spans="5:7" s="39" customFormat="1" x14ac:dyDescent="0.3">
      <c r="E687" s="41"/>
      <c r="F687" s="41"/>
      <c r="G687" s="41"/>
    </row>
    <row r="688" spans="5:7" s="39" customFormat="1" x14ac:dyDescent="0.3">
      <c r="E688" s="41"/>
      <c r="F688" s="41"/>
      <c r="G688" s="41"/>
    </row>
    <row r="689" spans="5:7" s="39" customFormat="1" x14ac:dyDescent="0.3">
      <c r="E689" s="41"/>
      <c r="F689" s="41"/>
      <c r="G689" s="41"/>
    </row>
    <row r="690" spans="5:7" s="39" customFormat="1" x14ac:dyDescent="0.3">
      <c r="E690" s="41"/>
      <c r="F690" s="41"/>
      <c r="G690" s="41"/>
    </row>
    <row r="691" spans="5:7" s="39" customFormat="1" x14ac:dyDescent="0.3">
      <c r="E691" s="41"/>
      <c r="F691" s="41"/>
      <c r="G691" s="41"/>
    </row>
    <row r="692" spans="5:7" s="39" customFormat="1" x14ac:dyDescent="0.3">
      <c r="E692" s="41"/>
      <c r="F692" s="41"/>
      <c r="G692" s="41"/>
    </row>
    <row r="693" spans="5:7" s="39" customFormat="1" x14ac:dyDescent="0.3">
      <c r="E693" s="41"/>
      <c r="F693" s="41"/>
      <c r="G693" s="41"/>
    </row>
    <row r="694" spans="5:7" s="39" customFormat="1" x14ac:dyDescent="0.3">
      <c r="E694" s="41"/>
      <c r="F694" s="41"/>
      <c r="G694" s="41"/>
    </row>
    <row r="695" spans="5:7" s="39" customFormat="1" x14ac:dyDescent="0.3">
      <c r="E695" s="41"/>
      <c r="F695" s="41"/>
      <c r="G695" s="41"/>
    </row>
    <row r="696" spans="5:7" s="39" customFormat="1" x14ac:dyDescent="0.3">
      <c r="E696" s="41"/>
      <c r="F696" s="41"/>
      <c r="G696" s="41"/>
    </row>
    <row r="697" spans="5:7" s="39" customFormat="1" x14ac:dyDescent="0.3">
      <c r="E697" s="41"/>
      <c r="F697" s="41"/>
      <c r="G697" s="41"/>
    </row>
    <row r="698" spans="5:7" s="39" customFormat="1" x14ac:dyDescent="0.3">
      <c r="E698" s="41"/>
      <c r="F698" s="41"/>
      <c r="G698" s="41"/>
    </row>
    <row r="699" spans="5:7" s="39" customFormat="1" x14ac:dyDescent="0.3">
      <c r="E699" s="41"/>
      <c r="F699" s="41"/>
      <c r="G699" s="41"/>
    </row>
    <row r="700" spans="5:7" s="39" customFormat="1" x14ac:dyDescent="0.3">
      <c r="E700" s="41"/>
      <c r="F700" s="41"/>
      <c r="G700" s="41"/>
    </row>
    <row r="701" spans="5:7" s="39" customFormat="1" x14ac:dyDescent="0.3">
      <c r="E701" s="41"/>
      <c r="F701" s="41"/>
      <c r="G701" s="41"/>
    </row>
    <row r="702" spans="5:7" s="39" customFormat="1" x14ac:dyDescent="0.3">
      <c r="E702" s="41"/>
      <c r="F702" s="41"/>
      <c r="G702" s="41"/>
    </row>
    <row r="703" spans="5:7" s="39" customFormat="1" x14ac:dyDescent="0.3">
      <c r="E703" s="41"/>
      <c r="F703" s="41"/>
      <c r="G703" s="41"/>
    </row>
    <row r="704" spans="5:7" s="39" customFormat="1" x14ac:dyDescent="0.3">
      <c r="E704" s="41"/>
      <c r="F704" s="41"/>
      <c r="G704" s="41"/>
    </row>
    <row r="705" spans="5:7" s="39" customFormat="1" x14ac:dyDescent="0.3">
      <c r="E705" s="41"/>
      <c r="F705" s="41"/>
      <c r="G705" s="41"/>
    </row>
    <row r="706" spans="5:7" s="39" customFormat="1" x14ac:dyDescent="0.3">
      <c r="E706" s="41"/>
      <c r="F706" s="41"/>
      <c r="G706" s="41"/>
    </row>
    <row r="707" spans="5:7" s="39" customFormat="1" x14ac:dyDescent="0.3">
      <c r="E707" s="41"/>
      <c r="F707" s="41"/>
      <c r="G707" s="41"/>
    </row>
    <row r="708" spans="5:7" s="39" customFormat="1" x14ac:dyDescent="0.3">
      <c r="E708" s="41"/>
      <c r="F708" s="41"/>
      <c r="G708" s="41"/>
    </row>
    <row r="709" spans="5:7" s="39" customFormat="1" x14ac:dyDescent="0.3">
      <c r="E709" s="41"/>
      <c r="F709" s="41"/>
      <c r="G709" s="41"/>
    </row>
    <row r="710" spans="5:7" s="39" customFormat="1" x14ac:dyDescent="0.3">
      <c r="E710" s="41"/>
      <c r="F710" s="41"/>
      <c r="G710" s="41"/>
    </row>
    <row r="711" spans="5:7" s="39" customFormat="1" x14ac:dyDescent="0.3">
      <c r="E711" s="41"/>
      <c r="F711" s="41"/>
      <c r="G711" s="41"/>
    </row>
    <row r="712" spans="5:7" s="39" customFormat="1" x14ac:dyDescent="0.3">
      <c r="E712" s="41"/>
      <c r="F712" s="41"/>
      <c r="G712" s="41"/>
    </row>
    <row r="713" spans="5:7" s="39" customFormat="1" x14ac:dyDescent="0.3">
      <c r="E713" s="41"/>
      <c r="F713" s="41"/>
      <c r="G713" s="41"/>
    </row>
    <row r="714" spans="5:7" s="39" customFormat="1" x14ac:dyDescent="0.3">
      <c r="E714" s="41"/>
      <c r="F714" s="41"/>
      <c r="G714" s="41"/>
    </row>
    <row r="715" spans="5:7" s="39" customFormat="1" x14ac:dyDescent="0.3">
      <c r="E715" s="41"/>
      <c r="F715" s="41"/>
      <c r="G715" s="41"/>
    </row>
    <row r="716" spans="5:7" s="39" customFormat="1" x14ac:dyDescent="0.3">
      <c r="E716" s="41"/>
      <c r="F716" s="41"/>
      <c r="G716" s="41"/>
    </row>
    <row r="717" spans="5:7" s="39" customFormat="1" x14ac:dyDescent="0.3">
      <c r="E717" s="41"/>
      <c r="F717" s="41"/>
      <c r="G717" s="41"/>
    </row>
    <row r="718" spans="5:7" s="39" customFormat="1" x14ac:dyDescent="0.3">
      <c r="E718" s="41"/>
      <c r="F718" s="41"/>
      <c r="G718" s="41"/>
    </row>
    <row r="719" spans="5:7" s="39" customFormat="1" x14ac:dyDescent="0.3">
      <c r="E719" s="41"/>
      <c r="F719" s="41"/>
      <c r="G719" s="41"/>
    </row>
    <row r="720" spans="5:7" s="39" customFormat="1" x14ac:dyDescent="0.3">
      <c r="E720" s="41"/>
      <c r="F720" s="41"/>
      <c r="G720" s="41"/>
    </row>
    <row r="721" spans="5:7" s="39" customFormat="1" x14ac:dyDescent="0.3">
      <c r="E721" s="41"/>
      <c r="F721" s="41"/>
      <c r="G721" s="41"/>
    </row>
    <row r="722" spans="5:7" s="39" customFormat="1" x14ac:dyDescent="0.3">
      <c r="E722" s="41"/>
      <c r="F722" s="41"/>
      <c r="G722" s="41"/>
    </row>
    <row r="723" spans="5:7" s="39" customFormat="1" x14ac:dyDescent="0.3">
      <c r="E723" s="41"/>
      <c r="F723" s="41"/>
      <c r="G723" s="41"/>
    </row>
    <row r="724" spans="5:7" s="39" customFormat="1" x14ac:dyDescent="0.3">
      <c r="E724" s="41"/>
      <c r="F724" s="41"/>
      <c r="G724" s="41"/>
    </row>
    <row r="725" spans="5:7" s="39" customFormat="1" x14ac:dyDescent="0.3">
      <c r="E725" s="41"/>
      <c r="F725" s="41"/>
      <c r="G725" s="41"/>
    </row>
    <row r="726" spans="5:7" s="39" customFormat="1" x14ac:dyDescent="0.3">
      <c r="E726" s="41"/>
      <c r="F726" s="41"/>
      <c r="G726" s="41"/>
    </row>
    <row r="727" spans="5:7" s="39" customFormat="1" x14ac:dyDescent="0.3">
      <c r="E727" s="41"/>
      <c r="F727" s="41"/>
      <c r="G727" s="41"/>
    </row>
    <row r="728" spans="5:7" s="39" customFormat="1" x14ac:dyDescent="0.3">
      <c r="E728" s="41"/>
      <c r="F728" s="41"/>
      <c r="G728" s="41"/>
    </row>
    <row r="729" spans="5:7" s="39" customFormat="1" x14ac:dyDescent="0.3">
      <c r="E729" s="41"/>
      <c r="F729" s="41"/>
      <c r="G729" s="41"/>
    </row>
    <row r="730" spans="5:7" s="39" customFormat="1" x14ac:dyDescent="0.3">
      <c r="E730" s="41"/>
      <c r="F730" s="41"/>
      <c r="G730" s="41"/>
    </row>
    <row r="731" spans="5:7" s="39" customFormat="1" x14ac:dyDescent="0.3">
      <c r="E731" s="41"/>
      <c r="F731" s="41"/>
      <c r="G731" s="41"/>
    </row>
    <row r="732" spans="5:7" s="39" customFormat="1" x14ac:dyDescent="0.3">
      <c r="E732" s="41"/>
      <c r="F732" s="41"/>
      <c r="G732" s="41"/>
    </row>
    <row r="733" spans="5:7" s="39" customFormat="1" x14ac:dyDescent="0.3">
      <c r="E733" s="41"/>
      <c r="F733" s="41"/>
      <c r="G733" s="41"/>
    </row>
    <row r="734" spans="5:7" s="39" customFormat="1" x14ac:dyDescent="0.3">
      <c r="E734" s="41"/>
      <c r="F734" s="41"/>
      <c r="G734" s="41"/>
    </row>
    <row r="735" spans="5:7" s="39" customFormat="1" x14ac:dyDescent="0.3">
      <c r="E735" s="41"/>
      <c r="F735" s="41"/>
      <c r="G735" s="41"/>
    </row>
    <row r="736" spans="5:7" s="39" customFormat="1" x14ac:dyDescent="0.3">
      <c r="E736" s="41"/>
      <c r="F736" s="41"/>
      <c r="G736" s="41"/>
    </row>
    <row r="737" spans="5:7" s="39" customFormat="1" x14ac:dyDescent="0.3">
      <c r="E737" s="41"/>
      <c r="F737" s="41"/>
      <c r="G737" s="41"/>
    </row>
    <row r="738" spans="5:7" s="39" customFormat="1" x14ac:dyDescent="0.3">
      <c r="E738" s="41"/>
      <c r="F738" s="41"/>
      <c r="G738" s="41"/>
    </row>
    <row r="739" spans="5:7" s="39" customFormat="1" x14ac:dyDescent="0.3">
      <c r="E739" s="41"/>
      <c r="F739" s="41"/>
      <c r="G739" s="41"/>
    </row>
    <row r="740" spans="5:7" s="39" customFormat="1" x14ac:dyDescent="0.3">
      <c r="E740" s="41"/>
      <c r="F740" s="41"/>
      <c r="G740" s="41"/>
    </row>
    <row r="741" spans="5:7" s="39" customFormat="1" x14ac:dyDescent="0.3">
      <c r="E741" s="41"/>
      <c r="F741" s="41"/>
      <c r="G741" s="41"/>
    </row>
    <row r="742" spans="5:7" s="39" customFormat="1" x14ac:dyDescent="0.3">
      <c r="E742" s="41"/>
      <c r="F742" s="41"/>
      <c r="G742" s="41"/>
    </row>
    <row r="743" spans="5:7" s="39" customFormat="1" x14ac:dyDescent="0.3">
      <c r="E743" s="41"/>
      <c r="F743" s="41"/>
      <c r="G743" s="41"/>
    </row>
    <row r="744" spans="5:7" s="39" customFormat="1" x14ac:dyDescent="0.3">
      <c r="E744" s="41"/>
      <c r="F744" s="41"/>
      <c r="G744" s="41"/>
    </row>
    <row r="745" spans="5:7" s="39" customFormat="1" x14ac:dyDescent="0.3">
      <c r="E745" s="41"/>
      <c r="F745" s="41"/>
      <c r="G745" s="41"/>
    </row>
    <row r="746" spans="5:7" s="39" customFormat="1" x14ac:dyDescent="0.3">
      <c r="E746" s="41"/>
      <c r="F746" s="41"/>
      <c r="G746" s="41"/>
    </row>
    <row r="747" spans="5:7" s="39" customFormat="1" x14ac:dyDescent="0.3">
      <c r="E747" s="41"/>
      <c r="F747" s="41"/>
      <c r="G747" s="41"/>
    </row>
    <row r="748" spans="5:7" s="39" customFormat="1" x14ac:dyDescent="0.3">
      <c r="E748" s="41"/>
      <c r="F748" s="41"/>
      <c r="G748" s="41"/>
    </row>
    <row r="749" spans="5:7" s="39" customFormat="1" x14ac:dyDescent="0.3">
      <c r="E749" s="41"/>
      <c r="F749" s="41"/>
      <c r="G749" s="41"/>
    </row>
    <row r="750" spans="5:7" s="39" customFormat="1" x14ac:dyDescent="0.3">
      <c r="E750" s="41"/>
      <c r="F750" s="41"/>
      <c r="G750" s="41"/>
    </row>
    <row r="751" spans="5:7" s="39" customFormat="1" x14ac:dyDescent="0.3">
      <c r="E751" s="41"/>
      <c r="F751" s="41"/>
      <c r="G751" s="41"/>
    </row>
    <row r="752" spans="5:7" s="39" customFormat="1" x14ac:dyDescent="0.3">
      <c r="E752" s="41"/>
      <c r="F752" s="41"/>
      <c r="G752" s="41"/>
    </row>
    <row r="753" spans="5:7" s="39" customFormat="1" x14ac:dyDescent="0.3">
      <c r="E753" s="41"/>
      <c r="F753" s="41"/>
      <c r="G753" s="41"/>
    </row>
    <row r="754" spans="5:7" s="39" customFormat="1" x14ac:dyDescent="0.3">
      <c r="E754" s="41"/>
      <c r="F754" s="41"/>
      <c r="G754" s="41"/>
    </row>
    <row r="755" spans="5:7" s="39" customFormat="1" x14ac:dyDescent="0.3">
      <c r="E755" s="41"/>
      <c r="F755" s="41"/>
      <c r="G755" s="41"/>
    </row>
    <row r="756" spans="5:7" s="39" customFormat="1" x14ac:dyDescent="0.3">
      <c r="E756" s="41"/>
      <c r="F756" s="41"/>
      <c r="G756" s="41"/>
    </row>
    <row r="757" spans="5:7" s="39" customFormat="1" x14ac:dyDescent="0.3">
      <c r="E757" s="41"/>
      <c r="F757" s="41"/>
      <c r="G757" s="41"/>
    </row>
    <row r="758" spans="5:7" s="39" customFormat="1" x14ac:dyDescent="0.3">
      <c r="E758" s="41"/>
      <c r="F758" s="41"/>
      <c r="G758" s="41"/>
    </row>
    <row r="759" spans="5:7" s="39" customFormat="1" x14ac:dyDescent="0.3">
      <c r="E759" s="41"/>
      <c r="F759" s="41"/>
      <c r="G759" s="41"/>
    </row>
    <row r="760" spans="5:7" s="39" customFormat="1" x14ac:dyDescent="0.3">
      <c r="E760" s="41"/>
      <c r="F760" s="41"/>
      <c r="G760" s="41"/>
    </row>
    <row r="761" spans="5:7" s="39" customFormat="1" x14ac:dyDescent="0.3">
      <c r="E761" s="41"/>
      <c r="F761" s="41"/>
      <c r="G761" s="41"/>
    </row>
    <row r="762" spans="5:7" s="39" customFormat="1" x14ac:dyDescent="0.3">
      <c r="E762" s="41"/>
      <c r="F762" s="41"/>
      <c r="G762" s="41"/>
    </row>
    <row r="763" spans="5:7" s="39" customFormat="1" x14ac:dyDescent="0.3">
      <c r="E763" s="41"/>
      <c r="F763" s="41"/>
      <c r="G763" s="41"/>
    </row>
    <row r="764" spans="5:7" s="39" customFormat="1" x14ac:dyDescent="0.3">
      <c r="E764" s="41"/>
      <c r="F764" s="41"/>
      <c r="G764" s="41"/>
    </row>
    <row r="765" spans="5:7" s="39" customFormat="1" x14ac:dyDescent="0.3">
      <c r="E765" s="41"/>
      <c r="F765" s="41"/>
      <c r="G765" s="41"/>
    </row>
    <row r="766" spans="5:7" s="39" customFormat="1" x14ac:dyDescent="0.3">
      <c r="E766" s="41"/>
      <c r="F766" s="41"/>
      <c r="G766" s="41"/>
    </row>
    <row r="767" spans="5:7" s="39" customFormat="1" x14ac:dyDescent="0.3">
      <c r="E767" s="41"/>
      <c r="F767" s="41"/>
      <c r="G767" s="41"/>
    </row>
    <row r="768" spans="5:7" s="39" customFormat="1" x14ac:dyDescent="0.3">
      <c r="E768" s="41"/>
      <c r="F768" s="41"/>
      <c r="G768" s="41"/>
    </row>
    <row r="769" spans="5:7" s="39" customFormat="1" x14ac:dyDescent="0.3">
      <c r="E769" s="41"/>
      <c r="F769" s="41"/>
      <c r="G769" s="41"/>
    </row>
    <row r="770" spans="5:7" s="39" customFormat="1" x14ac:dyDescent="0.3">
      <c r="E770" s="41"/>
      <c r="F770" s="41"/>
      <c r="G770" s="41"/>
    </row>
    <row r="771" spans="5:7" s="39" customFormat="1" x14ac:dyDescent="0.3">
      <c r="E771" s="41"/>
      <c r="F771" s="41"/>
      <c r="G771" s="41"/>
    </row>
    <row r="772" spans="5:7" s="39" customFormat="1" x14ac:dyDescent="0.3">
      <c r="E772" s="41"/>
      <c r="F772" s="41"/>
      <c r="G772" s="41"/>
    </row>
    <row r="773" spans="5:7" s="39" customFormat="1" x14ac:dyDescent="0.3">
      <c r="E773" s="41"/>
      <c r="F773" s="41"/>
      <c r="G773" s="41"/>
    </row>
    <row r="774" spans="5:7" s="39" customFormat="1" x14ac:dyDescent="0.3">
      <c r="E774" s="41"/>
      <c r="F774" s="41"/>
      <c r="G774" s="41"/>
    </row>
    <row r="775" spans="5:7" s="39" customFormat="1" x14ac:dyDescent="0.3">
      <c r="E775" s="41"/>
      <c r="F775" s="41"/>
      <c r="G775" s="41"/>
    </row>
    <row r="776" spans="5:7" s="39" customFormat="1" x14ac:dyDescent="0.3">
      <c r="E776" s="41"/>
      <c r="F776" s="41"/>
      <c r="G776" s="41"/>
    </row>
    <row r="777" spans="5:7" s="39" customFormat="1" x14ac:dyDescent="0.3">
      <c r="E777" s="41"/>
      <c r="F777" s="41"/>
      <c r="G777" s="41"/>
    </row>
    <row r="778" spans="5:7" s="39" customFormat="1" x14ac:dyDescent="0.3">
      <c r="E778" s="41"/>
      <c r="F778" s="41"/>
      <c r="G778" s="41"/>
    </row>
    <row r="779" spans="5:7" s="39" customFormat="1" x14ac:dyDescent="0.3">
      <c r="E779" s="41"/>
      <c r="F779" s="41"/>
      <c r="G779" s="41"/>
    </row>
    <row r="780" spans="5:7" s="39" customFormat="1" x14ac:dyDescent="0.3">
      <c r="E780" s="41"/>
      <c r="F780" s="41"/>
      <c r="G780" s="41"/>
    </row>
    <row r="781" spans="5:7" s="39" customFormat="1" x14ac:dyDescent="0.3">
      <c r="E781" s="41"/>
      <c r="F781" s="41"/>
      <c r="G781" s="41"/>
    </row>
    <row r="782" spans="5:7" s="39" customFormat="1" x14ac:dyDescent="0.3">
      <c r="E782" s="41"/>
      <c r="F782" s="41"/>
      <c r="G782" s="41"/>
    </row>
    <row r="783" spans="5:7" s="39" customFormat="1" x14ac:dyDescent="0.3">
      <c r="E783" s="41"/>
      <c r="F783" s="41"/>
      <c r="G783" s="41"/>
    </row>
    <row r="784" spans="5:7" s="39" customFormat="1" x14ac:dyDescent="0.3">
      <c r="E784" s="41"/>
      <c r="F784" s="41"/>
      <c r="G784" s="41"/>
    </row>
    <row r="785" spans="5:7" s="39" customFormat="1" x14ac:dyDescent="0.3">
      <c r="E785" s="41"/>
      <c r="F785" s="41"/>
      <c r="G785" s="41"/>
    </row>
    <row r="786" spans="5:7" s="39" customFormat="1" x14ac:dyDescent="0.3">
      <c r="E786" s="41"/>
      <c r="F786" s="41"/>
      <c r="G786" s="41"/>
    </row>
    <row r="787" spans="5:7" s="39" customFormat="1" x14ac:dyDescent="0.3">
      <c r="E787" s="41"/>
      <c r="F787" s="41"/>
      <c r="G787" s="41"/>
    </row>
    <row r="788" spans="5:7" s="39" customFormat="1" x14ac:dyDescent="0.3">
      <c r="E788" s="41"/>
      <c r="F788" s="41"/>
      <c r="G788" s="41"/>
    </row>
    <row r="789" spans="5:7" s="39" customFormat="1" x14ac:dyDescent="0.3">
      <c r="E789" s="41"/>
      <c r="F789" s="41"/>
      <c r="G789" s="41"/>
    </row>
    <row r="790" spans="5:7" s="39" customFormat="1" x14ac:dyDescent="0.3">
      <c r="E790" s="41"/>
      <c r="F790" s="41"/>
      <c r="G790" s="41"/>
    </row>
    <row r="791" spans="5:7" s="39" customFormat="1" x14ac:dyDescent="0.3">
      <c r="E791" s="41"/>
      <c r="F791" s="41"/>
      <c r="G791" s="41"/>
    </row>
    <row r="792" spans="5:7" s="39" customFormat="1" x14ac:dyDescent="0.3">
      <c r="E792" s="41"/>
      <c r="F792" s="41"/>
      <c r="G792" s="41"/>
    </row>
    <row r="793" spans="5:7" s="39" customFormat="1" x14ac:dyDescent="0.3">
      <c r="E793" s="41"/>
      <c r="F793" s="41"/>
      <c r="G793" s="41"/>
    </row>
    <row r="794" spans="5:7" s="39" customFormat="1" x14ac:dyDescent="0.3">
      <c r="E794" s="41"/>
      <c r="F794" s="41"/>
      <c r="G794" s="41"/>
    </row>
    <row r="795" spans="5:7" s="39" customFormat="1" x14ac:dyDescent="0.3">
      <c r="E795" s="41"/>
      <c r="F795" s="41"/>
      <c r="G795" s="41"/>
    </row>
    <row r="796" spans="5:7" s="39" customFormat="1" x14ac:dyDescent="0.3">
      <c r="E796" s="41"/>
      <c r="F796" s="41"/>
      <c r="G796" s="41"/>
    </row>
    <row r="797" spans="5:7" s="39" customFormat="1" x14ac:dyDescent="0.3">
      <c r="E797" s="41"/>
      <c r="F797" s="41"/>
      <c r="G797" s="41"/>
    </row>
    <row r="798" spans="5:7" s="39" customFormat="1" x14ac:dyDescent="0.3">
      <c r="E798" s="41"/>
      <c r="F798" s="41"/>
      <c r="G798" s="41"/>
    </row>
    <row r="799" spans="5:7" s="39" customFormat="1" x14ac:dyDescent="0.3">
      <c r="E799" s="41"/>
      <c r="F799" s="41"/>
      <c r="G799" s="41"/>
    </row>
    <row r="800" spans="5:7" s="39" customFormat="1" x14ac:dyDescent="0.3">
      <c r="E800" s="41"/>
      <c r="F800" s="41"/>
      <c r="G800" s="41"/>
    </row>
    <row r="801" spans="5:7" s="39" customFormat="1" x14ac:dyDescent="0.3">
      <c r="E801" s="41"/>
      <c r="F801" s="41"/>
      <c r="G801" s="41"/>
    </row>
    <row r="802" spans="5:7" s="39" customFormat="1" x14ac:dyDescent="0.3">
      <c r="E802" s="41"/>
      <c r="F802" s="41"/>
      <c r="G802" s="41"/>
    </row>
    <row r="803" spans="5:7" s="39" customFormat="1" x14ac:dyDescent="0.3">
      <c r="E803" s="41"/>
      <c r="F803" s="41"/>
      <c r="G803" s="41"/>
    </row>
    <row r="804" spans="5:7" s="39" customFormat="1" x14ac:dyDescent="0.3">
      <c r="E804" s="41"/>
      <c r="F804" s="41"/>
      <c r="G804" s="41"/>
    </row>
    <row r="805" spans="5:7" s="39" customFormat="1" x14ac:dyDescent="0.3">
      <c r="E805" s="41"/>
      <c r="F805" s="41"/>
      <c r="G805" s="41"/>
    </row>
    <row r="806" spans="5:7" s="39" customFormat="1" x14ac:dyDescent="0.3">
      <c r="E806" s="41"/>
      <c r="F806" s="41"/>
      <c r="G806" s="41"/>
    </row>
    <row r="807" spans="5:7" s="39" customFormat="1" x14ac:dyDescent="0.3">
      <c r="E807" s="41"/>
      <c r="F807" s="41"/>
      <c r="G807" s="41"/>
    </row>
    <row r="808" spans="5:7" s="39" customFormat="1" x14ac:dyDescent="0.3">
      <c r="E808" s="41"/>
      <c r="F808" s="41"/>
      <c r="G808" s="41"/>
    </row>
    <row r="809" spans="5:7" s="39" customFormat="1" x14ac:dyDescent="0.3">
      <c r="E809" s="41"/>
      <c r="F809" s="41"/>
      <c r="G809" s="41"/>
    </row>
    <row r="810" spans="5:7" s="39" customFormat="1" x14ac:dyDescent="0.3">
      <c r="E810" s="41"/>
      <c r="F810" s="41"/>
      <c r="G810" s="41"/>
    </row>
    <row r="811" spans="5:7" s="39" customFormat="1" x14ac:dyDescent="0.3">
      <c r="E811" s="41"/>
      <c r="F811" s="41"/>
      <c r="G811" s="41"/>
    </row>
    <row r="812" spans="5:7" s="39" customFormat="1" x14ac:dyDescent="0.3">
      <c r="E812" s="41"/>
      <c r="F812" s="41"/>
      <c r="G812" s="41"/>
    </row>
    <row r="813" spans="5:7" s="39" customFormat="1" x14ac:dyDescent="0.3">
      <c r="E813" s="41"/>
      <c r="F813" s="41"/>
      <c r="G813" s="41"/>
    </row>
    <row r="814" spans="5:7" s="39" customFormat="1" x14ac:dyDescent="0.3">
      <c r="E814" s="41"/>
      <c r="F814" s="41"/>
      <c r="G814" s="41"/>
    </row>
    <row r="815" spans="5:7" s="39" customFormat="1" x14ac:dyDescent="0.3">
      <c r="E815" s="41"/>
      <c r="F815" s="41"/>
      <c r="G815" s="41"/>
    </row>
    <row r="816" spans="5:7" s="39" customFormat="1" x14ac:dyDescent="0.3">
      <c r="E816" s="41"/>
      <c r="F816" s="41"/>
      <c r="G816" s="41"/>
    </row>
    <row r="817" spans="5:7" s="39" customFormat="1" x14ac:dyDescent="0.3">
      <c r="E817" s="41"/>
      <c r="F817" s="41"/>
      <c r="G817" s="41"/>
    </row>
    <row r="818" spans="5:7" s="39" customFormat="1" x14ac:dyDescent="0.3">
      <c r="E818" s="41"/>
      <c r="F818" s="41"/>
      <c r="G818" s="41"/>
    </row>
    <row r="819" spans="5:7" s="39" customFormat="1" x14ac:dyDescent="0.3">
      <c r="E819" s="41"/>
      <c r="F819" s="41"/>
      <c r="G819" s="41"/>
    </row>
    <row r="820" spans="5:7" s="39" customFormat="1" x14ac:dyDescent="0.3">
      <c r="E820" s="41"/>
      <c r="F820" s="41"/>
      <c r="G820" s="41"/>
    </row>
    <row r="821" spans="5:7" s="39" customFormat="1" x14ac:dyDescent="0.3">
      <c r="E821" s="41"/>
      <c r="F821" s="41"/>
      <c r="G821" s="41"/>
    </row>
    <row r="822" spans="5:7" s="39" customFormat="1" x14ac:dyDescent="0.3">
      <c r="E822" s="41"/>
      <c r="F822" s="41"/>
      <c r="G822" s="41"/>
    </row>
    <row r="823" spans="5:7" s="39" customFormat="1" x14ac:dyDescent="0.3">
      <c r="E823" s="41"/>
      <c r="F823" s="41"/>
      <c r="G823" s="41"/>
    </row>
    <row r="824" spans="5:7" s="39" customFormat="1" x14ac:dyDescent="0.3">
      <c r="E824" s="41"/>
      <c r="F824" s="41"/>
      <c r="G824" s="41"/>
    </row>
    <row r="825" spans="5:7" s="39" customFormat="1" x14ac:dyDescent="0.3">
      <c r="E825" s="41"/>
      <c r="F825" s="41"/>
      <c r="G825" s="41"/>
    </row>
    <row r="826" spans="5:7" s="39" customFormat="1" x14ac:dyDescent="0.3">
      <c r="E826" s="41"/>
      <c r="F826" s="41"/>
      <c r="G826" s="41"/>
    </row>
    <row r="827" spans="5:7" s="39" customFormat="1" x14ac:dyDescent="0.3">
      <c r="E827" s="41"/>
      <c r="F827" s="41"/>
      <c r="G827" s="41"/>
    </row>
    <row r="828" spans="5:7" s="39" customFormat="1" x14ac:dyDescent="0.3">
      <c r="E828" s="41"/>
      <c r="F828" s="41"/>
      <c r="G828" s="41"/>
    </row>
    <row r="829" spans="5:7" s="39" customFormat="1" x14ac:dyDescent="0.3">
      <c r="E829" s="41"/>
      <c r="F829" s="41"/>
      <c r="G829" s="41"/>
    </row>
    <row r="830" spans="5:7" s="39" customFormat="1" x14ac:dyDescent="0.3">
      <c r="E830" s="41"/>
      <c r="F830" s="41"/>
      <c r="G830" s="41"/>
    </row>
    <row r="831" spans="5:7" s="39" customFormat="1" x14ac:dyDescent="0.3">
      <c r="E831" s="41"/>
      <c r="F831" s="41"/>
      <c r="G831" s="41"/>
    </row>
    <row r="832" spans="5:7" s="39" customFormat="1" x14ac:dyDescent="0.3">
      <c r="E832" s="41"/>
      <c r="F832" s="41"/>
      <c r="G832" s="41"/>
    </row>
    <row r="833" spans="5:7" s="39" customFormat="1" x14ac:dyDescent="0.3">
      <c r="E833" s="41"/>
      <c r="F833" s="41"/>
      <c r="G833" s="41"/>
    </row>
    <row r="834" spans="5:7" s="39" customFormat="1" x14ac:dyDescent="0.3">
      <c r="E834" s="41"/>
      <c r="F834" s="41"/>
      <c r="G834" s="41"/>
    </row>
    <row r="835" spans="5:7" s="39" customFormat="1" x14ac:dyDescent="0.3">
      <c r="E835" s="41"/>
      <c r="F835" s="41"/>
      <c r="G835" s="41"/>
    </row>
    <row r="836" spans="5:7" s="39" customFormat="1" x14ac:dyDescent="0.3">
      <c r="E836" s="41"/>
      <c r="F836" s="41"/>
      <c r="G836" s="41"/>
    </row>
    <row r="837" spans="5:7" s="39" customFormat="1" x14ac:dyDescent="0.3">
      <c r="E837" s="41"/>
      <c r="F837" s="41"/>
      <c r="G837" s="41"/>
    </row>
    <row r="838" spans="5:7" s="39" customFormat="1" x14ac:dyDescent="0.3">
      <c r="E838" s="41"/>
      <c r="F838" s="41"/>
      <c r="G838" s="41"/>
    </row>
    <row r="839" spans="5:7" s="39" customFormat="1" x14ac:dyDescent="0.3">
      <c r="E839" s="41"/>
      <c r="F839" s="41"/>
      <c r="G839" s="41"/>
    </row>
    <row r="840" spans="5:7" s="39" customFormat="1" x14ac:dyDescent="0.3">
      <c r="E840" s="41"/>
      <c r="F840" s="41"/>
      <c r="G840" s="41"/>
    </row>
    <row r="841" spans="5:7" s="39" customFormat="1" x14ac:dyDescent="0.3">
      <c r="E841" s="41"/>
      <c r="F841" s="41"/>
      <c r="G841" s="41"/>
    </row>
    <row r="842" spans="5:7" s="39" customFormat="1" x14ac:dyDescent="0.3">
      <c r="E842" s="41"/>
      <c r="F842" s="41"/>
      <c r="G842" s="41"/>
    </row>
    <row r="843" spans="5:7" s="39" customFormat="1" x14ac:dyDescent="0.3">
      <c r="E843" s="41"/>
      <c r="F843" s="41"/>
      <c r="G843" s="41"/>
    </row>
    <row r="844" spans="5:7" s="39" customFormat="1" x14ac:dyDescent="0.3">
      <c r="E844" s="41"/>
      <c r="F844" s="41"/>
      <c r="G844" s="41"/>
    </row>
    <row r="845" spans="5:7" s="39" customFormat="1" x14ac:dyDescent="0.3">
      <c r="E845" s="41"/>
      <c r="F845" s="41"/>
      <c r="G845" s="41"/>
    </row>
    <row r="846" spans="5:7" s="39" customFormat="1" x14ac:dyDescent="0.3">
      <c r="E846" s="41"/>
      <c r="F846" s="41"/>
      <c r="G846" s="41"/>
    </row>
    <row r="847" spans="5:7" s="39" customFormat="1" x14ac:dyDescent="0.3">
      <c r="E847" s="41"/>
      <c r="F847" s="41"/>
      <c r="G847" s="41"/>
    </row>
    <row r="848" spans="5:7" s="39" customFormat="1" x14ac:dyDescent="0.3">
      <c r="E848" s="41"/>
      <c r="F848" s="41"/>
      <c r="G848" s="41"/>
    </row>
    <row r="849" spans="5:7" s="39" customFormat="1" x14ac:dyDescent="0.3">
      <c r="E849" s="41"/>
      <c r="F849" s="41"/>
      <c r="G849" s="41"/>
    </row>
    <row r="850" spans="5:7" s="39" customFormat="1" x14ac:dyDescent="0.3">
      <c r="E850" s="41"/>
      <c r="F850" s="41"/>
      <c r="G850" s="41"/>
    </row>
    <row r="851" spans="5:7" s="39" customFormat="1" x14ac:dyDescent="0.3">
      <c r="E851" s="41"/>
      <c r="F851" s="41"/>
      <c r="G851" s="41"/>
    </row>
    <row r="852" spans="5:7" s="39" customFormat="1" x14ac:dyDescent="0.3">
      <c r="E852" s="41"/>
      <c r="F852" s="41"/>
      <c r="G852" s="41"/>
    </row>
    <row r="853" spans="5:7" s="39" customFormat="1" x14ac:dyDescent="0.3">
      <c r="E853" s="41"/>
      <c r="F853" s="41"/>
      <c r="G853" s="41"/>
    </row>
    <row r="854" spans="5:7" s="39" customFormat="1" x14ac:dyDescent="0.3">
      <c r="E854" s="41"/>
      <c r="F854" s="41"/>
      <c r="G854" s="41"/>
    </row>
    <row r="855" spans="5:7" s="39" customFormat="1" x14ac:dyDescent="0.3">
      <c r="E855" s="41"/>
      <c r="F855" s="41"/>
      <c r="G855" s="41"/>
    </row>
    <row r="856" spans="5:7" s="39" customFormat="1" x14ac:dyDescent="0.3">
      <c r="E856" s="41"/>
      <c r="F856" s="41"/>
      <c r="G856" s="41"/>
    </row>
    <row r="857" spans="5:7" s="39" customFormat="1" x14ac:dyDescent="0.3">
      <c r="E857" s="41"/>
      <c r="F857" s="41"/>
      <c r="G857" s="41"/>
    </row>
    <row r="858" spans="5:7" s="39" customFormat="1" x14ac:dyDescent="0.3">
      <c r="E858" s="41"/>
      <c r="F858" s="41"/>
      <c r="G858" s="41"/>
    </row>
    <row r="859" spans="5:7" s="39" customFormat="1" x14ac:dyDescent="0.3">
      <c r="E859" s="41"/>
      <c r="F859" s="41"/>
      <c r="G859" s="41"/>
    </row>
    <row r="860" spans="5:7" s="39" customFormat="1" x14ac:dyDescent="0.3">
      <c r="E860" s="41"/>
      <c r="F860" s="41"/>
      <c r="G860" s="41"/>
    </row>
    <row r="861" spans="5:7" s="39" customFormat="1" x14ac:dyDescent="0.3">
      <c r="E861" s="41"/>
      <c r="F861" s="41"/>
      <c r="G861" s="41"/>
    </row>
    <row r="862" spans="5:7" s="39" customFormat="1" x14ac:dyDescent="0.3">
      <c r="E862" s="41"/>
      <c r="F862" s="41"/>
      <c r="G862" s="41"/>
    </row>
    <row r="863" spans="5:7" s="39" customFormat="1" x14ac:dyDescent="0.3">
      <c r="E863" s="41"/>
      <c r="F863" s="41"/>
      <c r="G863" s="41"/>
    </row>
    <row r="864" spans="5:7" s="39" customFormat="1" x14ac:dyDescent="0.3">
      <c r="E864" s="41"/>
      <c r="F864" s="41"/>
      <c r="G864" s="41"/>
    </row>
    <row r="865" spans="5:7" s="39" customFormat="1" x14ac:dyDescent="0.3">
      <c r="E865" s="41"/>
      <c r="F865" s="41"/>
      <c r="G865" s="41"/>
    </row>
    <row r="866" spans="5:7" s="39" customFormat="1" x14ac:dyDescent="0.3">
      <c r="E866" s="41"/>
      <c r="F866" s="41"/>
      <c r="G866" s="41"/>
    </row>
    <row r="867" spans="5:7" s="39" customFormat="1" x14ac:dyDescent="0.3">
      <c r="E867" s="41"/>
      <c r="F867" s="41"/>
      <c r="G867" s="41"/>
    </row>
    <row r="868" spans="5:7" s="39" customFormat="1" x14ac:dyDescent="0.3">
      <c r="E868" s="41"/>
      <c r="F868" s="41"/>
      <c r="G868" s="41"/>
    </row>
    <row r="869" spans="5:7" s="39" customFormat="1" x14ac:dyDescent="0.3">
      <c r="E869" s="41"/>
      <c r="F869" s="41"/>
      <c r="G869" s="41"/>
    </row>
    <row r="870" spans="5:7" s="39" customFormat="1" x14ac:dyDescent="0.3">
      <c r="E870" s="41"/>
      <c r="F870" s="41"/>
      <c r="G870" s="41"/>
    </row>
    <row r="871" spans="5:7" s="39" customFormat="1" x14ac:dyDescent="0.3">
      <c r="E871" s="41"/>
      <c r="F871" s="41"/>
      <c r="G871" s="41"/>
    </row>
    <row r="872" spans="5:7" s="39" customFormat="1" x14ac:dyDescent="0.3">
      <c r="E872" s="41"/>
      <c r="F872" s="41"/>
      <c r="G872" s="41"/>
    </row>
    <row r="873" spans="5:7" s="39" customFormat="1" x14ac:dyDescent="0.3">
      <c r="E873" s="41"/>
      <c r="F873" s="41"/>
      <c r="G873" s="41"/>
    </row>
    <row r="874" spans="5:7" s="39" customFormat="1" x14ac:dyDescent="0.3">
      <c r="E874" s="41"/>
      <c r="F874" s="41"/>
      <c r="G874" s="41"/>
    </row>
    <row r="875" spans="5:7" s="39" customFormat="1" x14ac:dyDescent="0.3">
      <c r="E875" s="41"/>
      <c r="F875" s="41"/>
      <c r="G875" s="41"/>
    </row>
    <row r="876" spans="5:7" s="39" customFormat="1" x14ac:dyDescent="0.3">
      <c r="E876" s="41"/>
      <c r="F876" s="41"/>
      <c r="G876" s="41"/>
    </row>
    <row r="877" spans="5:7" s="39" customFormat="1" x14ac:dyDescent="0.3">
      <c r="E877" s="41"/>
      <c r="F877" s="41"/>
      <c r="G877" s="41"/>
    </row>
    <row r="878" spans="5:7" s="39" customFormat="1" x14ac:dyDescent="0.3">
      <c r="E878" s="41"/>
      <c r="F878" s="41"/>
      <c r="G878" s="41"/>
    </row>
    <row r="879" spans="5:7" s="39" customFormat="1" x14ac:dyDescent="0.3">
      <c r="E879" s="41"/>
      <c r="F879" s="41"/>
      <c r="G879" s="41"/>
    </row>
    <row r="880" spans="5:7" s="39" customFormat="1" x14ac:dyDescent="0.3">
      <c r="E880" s="41"/>
      <c r="F880" s="41"/>
      <c r="G880" s="41"/>
    </row>
    <row r="881" spans="5:7" s="39" customFormat="1" x14ac:dyDescent="0.3">
      <c r="E881" s="41"/>
      <c r="F881" s="41"/>
      <c r="G881" s="41"/>
    </row>
    <row r="882" spans="5:7" s="39" customFormat="1" x14ac:dyDescent="0.3">
      <c r="E882" s="41"/>
      <c r="F882" s="41"/>
      <c r="G882" s="41"/>
    </row>
    <row r="883" spans="5:7" s="39" customFormat="1" x14ac:dyDescent="0.3">
      <c r="E883" s="41"/>
      <c r="F883" s="41"/>
      <c r="G883" s="41"/>
    </row>
    <row r="884" spans="5:7" s="39" customFormat="1" x14ac:dyDescent="0.3">
      <c r="E884" s="41"/>
      <c r="F884" s="41"/>
      <c r="G884" s="41"/>
    </row>
    <row r="885" spans="5:7" s="39" customFormat="1" x14ac:dyDescent="0.3">
      <c r="E885" s="41"/>
      <c r="F885" s="41"/>
      <c r="G885" s="41"/>
    </row>
    <row r="886" spans="5:7" s="39" customFormat="1" x14ac:dyDescent="0.3">
      <c r="E886" s="41"/>
      <c r="F886" s="41"/>
      <c r="G886" s="41"/>
    </row>
    <row r="887" spans="5:7" s="39" customFormat="1" x14ac:dyDescent="0.3">
      <c r="E887" s="41"/>
      <c r="F887" s="41"/>
      <c r="G887" s="41"/>
    </row>
    <row r="888" spans="5:7" s="39" customFormat="1" x14ac:dyDescent="0.3">
      <c r="E888" s="41"/>
      <c r="F888" s="41"/>
      <c r="G888" s="41"/>
    </row>
    <row r="889" spans="5:7" s="39" customFormat="1" x14ac:dyDescent="0.3">
      <c r="E889" s="41"/>
      <c r="F889" s="41"/>
      <c r="G889" s="41"/>
    </row>
    <row r="890" spans="5:7" s="39" customFormat="1" x14ac:dyDescent="0.3">
      <c r="E890" s="41"/>
      <c r="F890" s="41"/>
      <c r="G890" s="41"/>
    </row>
    <row r="891" spans="5:7" s="39" customFormat="1" x14ac:dyDescent="0.3">
      <c r="E891" s="41"/>
      <c r="F891" s="41"/>
      <c r="G891" s="41"/>
    </row>
    <row r="892" spans="5:7" s="39" customFormat="1" x14ac:dyDescent="0.3">
      <c r="E892" s="41"/>
      <c r="F892" s="41"/>
      <c r="G892" s="41"/>
    </row>
    <row r="893" spans="5:7" s="39" customFormat="1" x14ac:dyDescent="0.3">
      <c r="E893" s="41"/>
      <c r="F893" s="41"/>
      <c r="G893" s="41"/>
    </row>
    <row r="894" spans="5:7" s="39" customFormat="1" x14ac:dyDescent="0.3">
      <c r="E894" s="41"/>
      <c r="F894" s="41"/>
      <c r="G894" s="41"/>
    </row>
    <row r="895" spans="5:7" s="39" customFormat="1" x14ac:dyDescent="0.3">
      <c r="E895" s="41"/>
      <c r="F895" s="41"/>
      <c r="G895" s="41"/>
    </row>
    <row r="896" spans="5:7" s="39" customFormat="1" x14ac:dyDescent="0.3">
      <c r="E896" s="41"/>
      <c r="F896" s="41"/>
      <c r="G896" s="41"/>
    </row>
    <row r="897" spans="5:7" s="39" customFormat="1" x14ac:dyDescent="0.3">
      <c r="E897" s="41"/>
      <c r="F897" s="41"/>
      <c r="G897" s="41"/>
    </row>
    <row r="898" spans="5:7" s="39" customFormat="1" x14ac:dyDescent="0.3">
      <c r="E898" s="41"/>
      <c r="F898" s="41"/>
      <c r="G898" s="41"/>
    </row>
    <row r="899" spans="5:7" s="39" customFormat="1" x14ac:dyDescent="0.3">
      <c r="E899" s="41"/>
      <c r="F899" s="41"/>
      <c r="G899" s="41"/>
    </row>
    <row r="900" spans="5:7" s="39" customFormat="1" x14ac:dyDescent="0.3">
      <c r="E900" s="41"/>
      <c r="F900" s="41"/>
      <c r="G900" s="41"/>
    </row>
    <row r="901" spans="5:7" s="39" customFormat="1" x14ac:dyDescent="0.3">
      <c r="E901" s="41"/>
      <c r="F901" s="41"/>
      <c r="G901" s="41"/>
    </row>
    <row r="902" spans="5:7" s="39" customFormat="1" x14ac:dyDescent="0.3">
      <c r="E902" s="41"/>
      <c r="F902" s="41"/>
      <c r="G902" s="41"/>
    </row>
    <row r="903" spans="5:7" s="39" customFormat="1" x14ac:dyDescent="0.3">
      <c r="E903" s="41"/>
      <c r="F903" s="41"/>
      <c r="G903" s="41"/>
    </row>
    <row r="904" spans="5:7" s="39" customFormat="1" x14ac:dyDescent="0.3">
      <c r="E904" s="41"/>
      <c r="F904" s="41"/>
      <c r="G904" s="41"/>
    </row>
    <row r="905" spans="5:7" s="39" customFormat="1" x14ac:dyDescent="0.3">
      <c r="E905" s="41"/>
      <c r="F905" s="41"/>
      <c r="G905" s="41"/>
    </row>
    <row r="906" spans="5:7" s="39" customFormat="1" x14ac:dyDescent="0.3">
      <c r="E906" s="41"/>
      <c r="F906" s="41"/>
      <c r="G906" s="41"/>
    </row>
    <row r="907" spans="5:7" s="39" customFormat="1" x14ac:dyDescent="0.3">
      <c r="E907" s="41"/>
      <c r="F907" s="41"/>
      <c r="G907" s="41"/>
    </row>
    <row r="908" spans="5:7" s="39" customFormat="1" x14ac:dyDescent="0.3">
      <c r="E908" s="41"/>
      <c r="F908" s="41"/>
      <c r="G908" s="41"/>
    </row>
    <row r="909" spans="5:7" s="39" customFormat="1" x14ac:dyDescent="0.3">
      <c r="E909" s="41"/>
      <c r="F909" s="41"/>
      <c r="G909" s="41"/>
    </row>
    <row r="910" spans="5:7" s="39" customFormat="1" x14ac:dyDescent="0.3">
      <c r="E910" s="41"/>
      <c r="F910" s="41"/>
      <c r="G910" s="41"/>
    </row>
    <row r="911" spans="5:7" s="39" customFormat="1" x14ac:dyDescent="0.3">
      <c r="E911" s="41"/>
      <c r="F911" s="41"/>
      <c r="G911" s="41"/>
    </row>
    <row r="912" spans="5:7" s="39" customFormat="1" x14ac:dyDescent="0.3">
      <c r="E912" s="41"/>
      <c r="F912" s="41"/>
      <c r="G912" s="41"/>
    </row>
    <row r="913" spans="5:7" s="39" customFormat="1" x14ac:dyDescent="0.3">
      <c r="E913" s="41"/>
      <c r="F913" s="41"/>
      <c r="G913" s="41"/>
    </row>
    <row r="914" spans="5:7" s="39" customFormat="1" x14ac:dyDescent="0.3">
      <c r="E914" s="41"/>
      <c r="F914" s="41"/>
      <c r="G914" s="41"/>
    </row>
    <row r="915" spans="5:7" s="39" customFormat="1" x14ac:dyDescent="0.3">
      <c r="E915" s="41"/>
      <c r="F915" s="41"/>
      <c r="G915" s="41"/>
    </row>
    <row r="916" spans="5:7" s="39" customFormat="1" x14ac:dyDescent="0.3">
      <c r="E916" s="41"/>
      <c r="F916" s="41"/>
      <c r="G916" s="41"/>
    </row>
    <row r="917" spans="5:7" s="39" customFormat="1" x14ac:dyDescent="0.3">
      <c r="E917" s="41"/>
      <c r="F917" s="41"/>
      <c r="G917" s="41"/>
    </row>
    <row r="918" spans="5:7" s="39" customFormat="1" x14ac:dyDescent="0.3">
      <c r="E918" s="41"/>
      <c r="F918" s="41"/>
      <c r="G918" s="41"/>
    </row>
    <row r="919" spans="5:7" s="39" customFormat="1" x14ac:dyDescent="0.3">
      <c r="E919" s="41"/>
      <c r="F919" s="41"/>
      <c r="G919" s="41"/>
    </row>
    <row r="920" spans="5:7" s="39" customFormat="1" x14ac:dyDescent="0.3">
      <c r="E920" s="41"/>
      <c r="F920" s="41"/>
      <c r="G920" s="41"/>
    </row>
    <row r="921" spans="5:7" s="39" customFormat="1" x14ac:dyDescent="0.3">
      <c r="E921" s="41"/>
      <c r="F921" s="41"/>
      <c r="G921" s="41"/>
    </row>
    <row r="922" spans="5:7" s="39" customFormat="1" x14ac:dyDescent="0.3">
      <c r="E922" s="41"/>
      <c r="F922" s="41"/>
      <c r="G922" s="41"/>
    </row>
    <row r="923" spans="5:7" s="39" customFormat="1" x14ac:dyDescent="0.3">
      <c r="E923" s="41"/>
      <c r="F923" s="41"/>
      <c r="G923" s="41"/>
    </row>
    <row r="924" spans="5:7" s="39" customFormat="1" x14ac:dyDescent="0.3">
      <c r="E924" s="41"/>
      <c r="F924" s="41"/>
      <c r="G924" s="41"/>
    </row>
    <row r="925" spans="5:7" s="39" customFormat="1" x14ac:dyDescent="0.3">
      <c r="E925" s="41"/>
      <c r="F925" s="41"/>
      <c r="G925" s="41"/>
    </row>
    <row r="926" spans="5:7" s="39" customFormat="1" x14ac:dyDescent="0.3">
      <c r="E926" s="41"/>
      <c r="F926" s="41"/>
      <c r="G926" s="41"/>
    </row>
    <row r="927" spans="5:7" s="39" customFormat="1" x14ac:dyDescent="0.3">
      <c r="E927" s="41"/>
      <c r="F927" s="41"/>
      <c r="G927" s="41"/>
    </row>
    <row r="928" spans="5:7" s="39" customFormat="1" x14ac:dyDescent="0.3">
      <c r="E928" s="41"/>
      <c r="F928" s="41"/>
      <c r="G928" s="41"/>
    </row>
    <row r="929" spans="5:7" s="39" customFormat="1" x14ac:dyDescent="0.3">
      <c r="E929" s="41"/>
      <c r="F929" s="41"/>
      <c r="G929" s="41"/>
    </row>
    <row r="930" spans="5:7" s="39" customFormat="1" x14ac:dyDescent="0.3">
      <c r="E930" s="41"/>
      <c r="F930" s="41"/>
      <c r="G930" s="41"/>
    </row>
    <row r="931" spans="5:7" s="39" customFormat="1" x14ac:dyDescent="0.3">
      <c r="E931" s="41"/>
      <c r="F931" s="41"/>
      <c r="G931" s="41"/>
    </row>
    <row r="932" spans="5:7" s="39" customFormat="1" x14ac:dyDescent="0.3">
      <c r="E932" s="41"/>
      <c r="F932" s="41"/>
      <c r="G932" s="41"/>
    </row>
    <row r="933" spans="5:7" s="39" customFormat="1" x14ac:dyDescent="0.3">
      <c r="E933" s="41"/>
      <c r="F933" s="41"/>
      <c r="G933" s="41"/>
    </row>
    <row r="934" spans="5:7" s="39" customFormat="1" x14ac:dyDescent="0.3">
      <c r="E934" s="41"/>
      <c r="F934" s="41"/>
      <c r="G934" s="41"/>
    </row>
    <row r="935" spans="5:7" s="39" customFormat="1" x14ac:dyDescent="0.3">
      <c r="E935" s="41"/>
      <c r="F935" s="41"/>
      <c r="G935" s="41"/>
    </row>
    <row r="936" spans="5:7" s="39" customFormat="1" x14ac:dyDescent="0.3">
      <c r="E936" s="41"/>
      <c r="F936" s="41"/>
      <c r="G936" s="41"/>
    </row>
    <row r="937" spans="5:7" s="39" customFormat="1" x14ac:dyDescent="0.3">
      <c r="E937" s="41"/>
      <c r="F937" s="41"/>
      <c r="G937" s="41"/>
    </row>
    <row r="938" spans="5:7" s="39" customFormat="1" x14ac:dyDescent="0.3">
      <c r="E938" s="41"/>
      <c r="F938" s="41"/>
      <c r="G938" s="41"/>
    </row>
    <row r="939" spans="5:7" s="39" customFormat="1" x14ac:dyDescent="0.3">
      <c r="E939" s="41"/>
      <c r="F939" s="41"/>
      <c r="G939" s="41"/>
    </row>
    <row r="940" spans="5:7" s="39" customFormat="1" x14ac:dyDescent="0.3">
      <c r="E940" s="41"/>
      <c r="F940" s="41"/>
      <c r="G940" s="41"/>
    </row>
    <row r="941" spans="5:7" s="39" customFormat="1" x14ac:dyDescent="0.3">
      <c r="E941" s="41"/>
      <c r="F941" s="41"/>
      <c r="G941" s="41"/>
    </row>
    <row r="942" spans="5:7" s="39" customFormat="1" x14ac:dyDescent="0.3">
      <c r="E942" s="41"/>
      <c r="F942" s="41"/>
      <c r="G942" s="41"/>
    </row>
    <row r="943" spans="5:7" s="39" customFormat="1" x14ac:dyDescent="0.3">
      <c r="E943" s="41"/>
      <c r="F943" s="41"/>
      <c r="G943" s="41"/>
    </row>
    <row r="944" spans="5:7" s="39" customFormat="1" x14ac:dyDescent="0.3">
      <c r="E944" s="41"/>
      <c r="F944" s="41"/>
      <c r="G944" s="41"/>
    </row>
    <row r="945" spans="5:7" s="39" customFormat="1" x14ac:dyDescent="0.3">
      <c r="E945" s="41"/>
      <c r="F945" s="41"/>
      <c r="G945" s="41"/>
    </row>
    <row r="946" spans="5:7" s="39" customFormat="1" x14ac:dyDescent="0.3">
      <c r="E946" s="41"/>
      <c r="F946" s="41"/>
      <c r="G946" s="41"/>
    </row>
    <row r="947" spans="5:7" s="39" customFormat="1" x14ac:dyDescent="0.3">
      <c r="E947" s="41"/>
      <c r="F947" s="41"/>
      <c r="G947" s="41"/>
    </row>
    <row r="948" spans="5:7" s="39" customFormat="1" x14ac:dyDescent="0.3">
      <c r="E948" s="41"/>
      <c r="F948" s="41"/>
      <c r="G948" s="41"/>
    </row>
    <row r="949" spans="5:7" s="39" customFormat="1" x14ac:dyDescent="0.3">
      <c r="E949" s="41"/>
      <c r="F949" s="41"/>
      <c r="G949" s="41"/>
    </row>
    <row r="950" spans="5:7" s="39" customFormat="1" x14ac:dyDescent="0.3">
      <c r="E950" s="41"/>
      <c r="F950" s="41"/>
      <c r="G950" s="41"/>
    </row>
    <row r="951" spans="5:7" s="39" customFormat="1" x14ac:dyDescent="0.3">
      <c r="E951" s="41"/>
      <c r="F951" s="41"/>
      <c r="G951" s="41"/>
    </row>
    <row r="952" spans="5:7" s="39" customFormat="1" x14ac:dyDescent="0.3">
      <c r="E952" s="41"/>
      <c r="F952" s="41"/>
      <c r="G952" s="41"/>
    </row>
    <row r="953" spans="5:7" s="39" customFormat="1" x14ac:dyDescent="0.3">
      <c r="E953" s="41"/>
      <c r="F953" s="41"/>
      <c r="G953" s="41"/>
    </row>
    <row r="954" spans="5:7" s="39" customFormat="1" x14ac:dyDescent="0.3">
      <c r="E954" s="41"/>
      <c r="F954" s="41"/>
      <c r="G954" s="41"/>
    </row>
    <row r="955" spans="5:7" s="39" customFormat="1" x14ac:dyDescent="0.3">
      <c r="E955" s="41"/>
      <c r="F955" s="41"/>
      <c r="G955" s="41"/>
    </row>
    <row r="956" spans="5:7" s="39" customFormat="1" x14ac:dyDescent="0.3">
      <c r="E956" s="41"/>
      <c r="F956" s="41"/>
      <c r="G956" s="41"/>
    </row>
    <row r="957" spans="5:7" s="39" customFormat="1" x14ac:dyDescent="0.3">
      <c r="E957" s="41"/>
      <c r="F957" s="41"/>
      <c r="G957" s="41"/>
    </row>
    <row r="958" spans="5:7" s="39" customFormat="1" x14ac:dyDescent="0.3">
      <c r="E958" s="41"/>
      <c r="F958" s="41"/>
      <c r="G958" s="41"/>
    </row>
    <row r="959" spans="5:7" s="39" customFormat="1" x14ac:dyDescent="0.3">
      <c r="E959" s="41"/>
      <c r="F959" s="41"/>
      <c r="G959" s="41"/>
    </row>
    <row r="960" spans="5:7" s="39" customFormat="1" x14ac:dyDescent="0.3">
      <c r="E960" s="41"/>
      <c r="F960" s="41"/>
      <c r="G960" s="41"/>
    </row>
    <row r="961" spans="5:7" s="39" customFormat="1" x14ac:dyDescent="0.3">
      <c r="E961" s="41"/>
      <c r="F961" s="41"/>
      <c r="G961" s="41"/>
    </row>
    <row r="962" spans="5:7" s="39" customFormat="1" x14ac:dyDescent="0.3">
      <c r="E962" s="41"/>
      <c r="F962" s="41"/>
      <c r="G962" s="41"/>
    </row>
    <row r="963" spans="5:7" s="39" customFormat="1" x14ac:dyDescent="0.3">
      <c r="E963" s="41"/>
      <c r="F963" s="41"/>
      <c r="G963" s="41"/>
    </row>
    <row r="964" spans="5:7" s="39" customFormat="1" x14ac:dyDescent="0.3">
      <c r="E964" s="41"/>
      <c r="F964" s="41"/>
      <c r="G964" s="41"/>
    </row>
    <row r="965" spans="5:7" s="39" customFormat="1" x14ac:dyDescent="0.3">
      <c r="E965" s="41"/>
      <c r="F965" s="41"/>
      <c r="G965" s="41"/>
    </row>
    <row r="966" spans="5:7" s="39" customFormat="1" x14ac:dyDescent="0.3">
      <c r="E966" s="41"/>
      <c r="F966" s="41"/>
      <c r="G966" s="41"/>
    </row>
    <row r="967" spans="5:7" s="39" customFormat="1" x14ac:dyDescent="0.3">
      <c r="E967" s="41"/>
      <c r="F967" s="41"/>
      <c r="G967" s="41"/>
    </row>
    <row r="968" spans="5:7" s="39" customFormat="1" x14ac:dyDescent="0.3">
      <c r="E968" s="41"/>
      <c r="F968" s="41"/>
      <c r="G968" s="41"/>
    </row>
    <row r="969" spans="5:7" s="39" customFormat="1" x14ac:dyDescent="0.3">
      <c r="E969" s="41"/>
      <c r="F969" s="41"/>
      <c r="G969" s="41"/>
    </row>
    <row r="970" spans="5:7" s="39" customFormat="1" x14ac:dyDescent="0.3">
      <c r="E970" s="41"/>
      <c r="F970" s="41"/>
      <c r="G970" s="41"/>
    </row>
    <row r="971" spans="5:7" s="39" customFormat="1" x14ac:dyDescent="0.3">
      <c r="E971" s="41"/>
      <c r="F971" s="41"/>
      <c r="G971" s="41"/>
    </row>
    <row r="972" spans="5:7" s="39" customFormat="1" x14ac:dyDescent="0.3">
      <c r="E972" s="41"/>
      <c r="F972" s="41"/>
      <c r="G972" s="41"/>
    </row>
    <row r="973" spans="5:7" s="39" customFormat="1" x14ac:dyDescent="0.3">
      <c r="E973" s="41"/>
      <c r="F973" s="41"/>
      <c r="G973" s="41"/>
    </row>
    <row r="974" spans="5:7" s="39" customFormat="1" x14ac:dyDescent="0.3">
      <c r="E974" s="41"/>
      <c r="F974" s="41"/>
      <c r="G974" s="41"/>
    </row>
    <row r="975" spans="5:7" s="39" customFormat="1" x14ac:dyDescent="0.3">
      <c r="E975" s="41"/>
      <c r="F975" s="41"/>
      <c r="G975" s="41"/>
    </row>
    <row r="976" spans="5:7" s="39" customFormat="1" x14ac:dyDescent="0.3">
      <c r="E976" s="41"/>
      <c r="F976" s="41"/>
      <c r="G976" s="41"/>
    </row>
    <row r="977" spans="5:7" s="39" customFormat="1" x14ac:dyDescent="0.3">
      <c r="E977" s="41"/>
      <c r="F977" s="41"/>
      <c r="G977" s="41"/>
    </row>
    <row r="978" spans="5:7" s="39" customFormat="1" x14ac:dyDescent="0.3">
      <c r="E978" s="41"/>
      <c r="F978" s="41"/>
      <c r="G978" s="41"/>
    </row>
    <row r="979" spans="5:7" s="39" customFormat="1" x14ac:dyDescent="0.3">
      <c r="E979" s="41"/>
      <c r="F979" s="41"/>
      <c r="G979" s="41"/>
    </row>
    <row r="980" spans="5:7" s="39" customFormat="1" x14ac:dyDescent="0.3">
      <c r="E980" s="41"/>
      <c r="F980" s="41"/>
      <c r="G980" s="41"/>
    </row>
    <row r="981" spans="5:7" s="39" customFormat="1" x14ac:dyDescent="0.3">
      <c r="E981" s="41"/>
      <c r="F981" s="41"/>
      <c r="G981" s="41"/>
    </row>
    <row r="982" spans="5:7" s="39" customFormat="1" x14ac:dyDescent="0.3">
      <c r="E982" s="41"/>
      <c r="F982" s="41"/>
      <c r="G982" s="41"/>
    </row>
    <row r="983" spans="5:7" s="39" customFormat="1" x14ac:dyDescent="0.3">
      <c r="E983" s="41"/>
      <c r="F983" s="41"/>
      <c r="G983" s="41"/>
    </row>
    <row r="984" spans="5:7" s="39" customFormat="1" x14ac:dyDescent="0.3">
      <c r="E984" s="41"/>
      <c r="F984" s="41"/>
      <c r="G984" s="41"/>
    </row>
    <row r="985" spans="5:7" s="39" customFormat="1" x14ac:dyDescent="0.3">
      <c r="E985" s="41"/>
      <c r="F985" s="41"/>
      <c r="G985" s="41"/>
    </row>
    <row r="986" spans="5:7" s="39" customFormat="1" x14ac:dyDescent="0.3">
      <c r="E986" s="41"/>
      <c r="F986" s="41"/>
      <c r="G986" s="41"/>
    </row>
    <row r="987" spans="5:7" s="39" customFormat="1" x14ac:dyDescent="0.3">
      <c r="E987" s="41"/>
      <c r="F987" s="41"/>
      <c r="G987" s="41"/>
    </row>
    <row r="988" spans="5:7" s="39" customFormat="1" x14ac:dyDescent="0.3">
      <c r="E988" s="41"/>
      <c r="F988" s="41"/>
      <c r="G988" s="41"/>
    </row>
    <row r="989" spans="5:7" s="39" customFormat="1" x14ac:dyDescent="0.3">
      <c r="E989" s="41"/>
      <c r="F989" s="41"/>
      <c r="G989" s="41"/>
    </row>
    <row r="990" spans="5:7" s="39" customFormat="1" x14ac:dyDescent="0.3">
      <c r="E990" s="41"/>
      <c r="F990" s="41"/>
      <c r="G990" s="41"/>
    </row>
    <row r="991" spans="5:7" s="39" customFormat="1" x14ac:dyDescent="0.3">
      <c r="E991" s="41"/>
      <c r="F991" s="41"/>
      <c r="G991" s="41"/>
    </row>
    <row r="992" spans="5:7" s="39" customFormat="1" x14ac:dyDescent="0.3">
      <c r="E992" s="41"/>
      <c r="F992" s="41"/>
      <c r="G992" s="41"/>
    </row>
    <row r="993" spans="5:7" s="39" customFormat="1" x14ac:dyDescent="0.3">
      <c r="E993" s="41"/>
      <c r="F993" s="41"/>
      <c r="G993" s="41"/>
    </row>
    <row r="994" spans="5:7" s="39" customFormat="1" x14ac:dyDescent="0.3">
      <c r="E994" s="41"/>
      <c r="F994" s="41"/>
      <c r="G994" s="41"/>
    </row>
    <row r="995" spans="5:7" s="39" customFormat="1" x14ac:dyDescent="0.3">
      <c r="E995" s="41"/>
      <c r="F995" s="41"/>
      <c r="G995" s="41"/>
    </row>
    <row r="996" spans="5:7" s="39" customFormat="1" x14ac:dyDescent="0.3">
      <c r="E996" s="41"/>
      <c r="F996" s="41"/>
      <c r="G996" s="41"/>
    </row>
    <row r="997" spans="5:7" s="39" customFormat="1" x14ac:dyDescent="0.3">
      <c r="E997" s="41"/>
      <c r="F997" s="41"/>
      <c r="G997" s="41"/>
    </row>
    <row r="998" spans="5:7" s="39" customFormat="1" x14ac:dyDescent="0.3">
      <c r="E998" s="41"/>
      <c r="F998" s="41"/>
      <c r="G998" s="41"/>
    </row>
    <row r="999" spans="5:7" s="39" customFormat="1" x14ac:dyDescent="0.3">
      <c r="E999" s="41"/>
      <c r="F999" s="41"/>
      <c r="G999" s="41"/>
    </row>
    <row r="1000" spans="5:7" s="39" customFormat="1" x14ac:dyDescent="0.3">
      <c r="E1000" s="41"/>
      <c r="F1000" s="41"/>
      <c r="G1000" s="41"/>
    </row>
    <row r="1001" spans="5:7" s="39" customFormat="1" x14ac:dyDescent="0.3">
      <c r="E1001" s="41"/>
      <c r="F1001" s="41"/>
      <c r="G1001" s="41"/>
    </row>
    <row r="1002" spans="5:7" s="39" customFormat="1" x14ac:dyDescent="0.3">
      <c r="E1002" s="41"/>
      <c r="F1002" s="41"/>
      <c r="G1002" s="41"/>
    </row>
    <row r="1003" spans="5:7" s="39" customFormat="1" x14ac:dyDescent="0.3">
      <c r="E1003" s="41"/>
      <c r="F1003" s="41"/>
      <c r="G1003" s="41"/>
    </row>
    <row r="1004" spans="5:7" s="39" customFormat="1" x14ac:dyDescent="0.3">
      <c r="E1004" s="41"/>
      <c r="F1004" s="41"/>
      <c r="G1004" s="41"/>
    </row>
    <row r="1005" spans="5:7" s="39" customFormat="1" x14ac:dyDescent="0.3">
      <c r="E1005" s="41"/>
      <c r="F1005" s="41"/>
      <c r="G1005" s="41"/>
    </row>
    <row r="1006" spans="5:7" s="39" customFormat="1" x14ac:dyDescent="0.3">
      <c r="E1006" s="41"/>
      <c r="F1006" s="41"/>
      <c r="G1006" s="41"/>
    </row>
    <row r="1007" spans="5:7" s="39" customFormat="1" x14ac:dyDescent="0.3">
      <c r="E1007" s="41"/>
      <c r="F1007" s="41"/>
      <c r="G1007" s="41"/>
    </row>
    <row r="1008" spans="5:7" s="39" customFormat="1" x14ac:dyDescent="0.3">
      <c r="E1008" s="41"/>
      <c r="F1008" s="41"/>
      <c r="G1008" s="41"/>
    </row>
    <row r="1009" spans="5:7" s="39" customFormat="1" x14ac:dyDescent="0.3">
      <c r="E1009" s="41"/>
      <c r="F1009" s="41"/>
      <c r="G1009" s="41"/>
    </row>
    <row r="1010" spans="5:7" s="39" customFormat="1" x14ac:dyDescent="0.3">
      <c r="E1010" s="41"/>
      <c r="F1010" s="41"/>
      <c r="G1010" s="41"/>
    </row>
    <row r="1011" spans="5:7" s="39" customFormat="1" x14ac:dyDescent="0.3">
      <c r="E1011" s="41"/>
      <c r="F1011" s="41"/>
      <c r="G1011" s="41"/>
    </row>
    <row r="1012" spans="5:7" s="39" customFormat="1" x14ac:dyDescent="0.3">
      <c r="E1012" s="41"/>
      <c r="F1012" s="41"/>
      <c r="G1012" s="41"/>
    </row>
    <row r="1013" spans="5:7" s="39" customFormat="1" x14ac:dyDescent="0.3">
      <c r="E1013" s="41"/>
      <c r="F1013" s="41"/>
      <c r="G1013" s="41"/>
    </row>
    <row r="1014" spans="5:7" s="39" customFormat="1" x14ac:dyDescent="0.3">
      <c r="E1014" s="41"/>
      <c r="F1014" s="41"/>
      <c r="G1014" s="41"/>
    </row>
    <row r="1015" spans="5:7" s="39" customFormat="1" x14ac:dyDescent="0.3">
      <c r="E1015" s="41"/>
      <c r="F1015" s="41"/>
      <c r="G1015" s="41"/>
    </row>
    <row r="1016" spans="5:7" s="39" customFormat="1" x14ac:dyDescent="0.3">
      <c r="E1016" s="41"/>
      <c r="F1016" s="41"/>
      <c r="G1016" s="41"/>
    </row>
    <row r="1017" spans="5:7" s="39" customFormat="1" x14ac:dyDescent="0.3">
      <c r="E1017" s="41"/>
      <c r="F1017" s="41"/>
      <c r="G1017" s="41"/>
    </row>
    <row r="1018" spans="5:7" s="39" customFormat="1" x14ac:dyDescent="0.3">
      <c r="E1018" s="41"/>
      <c r="F1018" s="41"/>
      <c r="G1018" s="41"/>
    </row>
    <row r="1019" spans="5:7" s="39" customFormat="1" x14ac:dyDescent="0.3">
      <c r="E1019" s="41"/>
      <c r="F1019" s="41"/>
      <c r="G1019" s="41"/>
    </row>
    <row r="1020" spans="5:7" s="39" customFormat="1" x14ac:dyDescent="0.3">
      <c r="E1020" s="41"/>
      <c r="F1020" s="41"/>
      <c r="G1020" s="41"/>
    </row>
    <row r="1021" spans="5:7" s="39" customFormat="1" x14ac:dyDescent="0.3">
      <c r="E1021" s="41"/>
      <c r="F1021" s="41"/>
      <c r="G1021" s="41"/>
    </row>
    <row r="1022" spans="5:7" s="39" customFormat="1" x14ac:dyDescent="0.3">
      <c r="E1022" s="41"/>
      <c r="F1022" s="41"/>
      <c r="G1022" s="41"/>
    </row>
    <row r="1023" spans="5:7" s="39" customFormat="1" x14ac:dyDescent="0.3">
      <c r="E1023" s="41"/>
      <c r="F1023" s="41"/>
      <c r="G1023" s="41"/>
    </row>
    <row r="1024" spans="5:7" s="39" customFormat="1" x14ac:dyDescent="0.3">
      <c r="E1024" s="41"/>
      <c r="F1024" s="41"/>
      <c r="G1024" s="41"/>
    </row>
    <row r="1025" spans="5:7" s="39" customFormat="1" x14ac:dyDescent="0.3">
      <c r="E1025" s="41"/>
      <c r="F1025" s="41"/>
      <c r="G1025" s="41"/>
    </row>
    <row r="1026" spans="5:7" s="39" customFormat="1" x14ac:dyDescent="0.3">
      <c r="E1026" s="41"/>
      <c r="F1026" s="41"/>
      <c r="G1026" s="41"/>
    </row>
    <row r="1027" spans="5:7" s="39" customFormat="1" x14ac:dyDescent="0.3">
      <c r="E1027" s="41"/>
      <c r="F1027" s="41"/>
      <c r="G1027" s="41"/>
    </row>
    <row r="1028" spans="5:7" s="39" customFormat="1" x14ac:dyDescent="0.3">
      <c r="E1028" s="41"/>
      <c r="F1028" s="41"/>
      <c r="G1028" s="41"/>
    </row>
    <row r="1029" spans="5:7" s="39" customFormat="1" x14ac:dyDescent="0.3">
      <c r="E1029" s="41"/>
      <c r="F1029" s="41"/>
      <c r="G1029" s="41"/>
    </row>
    <row r="1030" spans="5:7" s="39" customFormat="1" x14ac:dyDescent="0.3">
      <c r="E1030" s="41"/>
      <c r="F1030" s="41"/>
      <c r="G1030" s="41"/>
    </row>
    <row r="1031" spans="5:7" s="39" customFormat="1" x14ac:dyDescent="0.3">
      <c r="E1031" s="41"/>
      <c r="F1031" s="41"/>
      <c r="G1031" s="41"/>
    </row>
    <row r="1032" spans="5:7" s="39" customFormat="1" x14ac:dyDescent="0.3">
      <c r="E1032" s="41"/>
      <c r="F1032" s="41"/>
      <c r="G1032" s="41"/>
    </row>
    <row r="1033" spans="5:7" s="39" customFormat="1" x14ac:dyDescent="0.3">
      <c r="E1033" s="41"/>
      <c r="F1033" s="41"/>
      <c r="G1033" s="41"/>
    </row>
    <row r="1034" spans="5:7" s="39" customFormat="1" x14ac:dyDescent="0.3">
      <c r="E1034" s="41"/>
      <c r="F1034" s="41"/>
      <c r="G1034" s="41"/>
    </row>
    <row r="1035" spans="5:7" s="39" customFormat="1" x14ac:dyDescent="0.3">
      <c r="E1035" s="41"/>
      <c r="F1035" s="41"/>
      <c r="G1035" s="41"/>
    </row>
    <row r="1036" spans="5:7" s="39" customFormat="1" x14ac:dyDescent="0.3">
      <c r="E1036" s="41"/>
      <c r="F1036" s="41"/>
      <c r="G1036" s="41"/>
    </row>
    <row r="1037" spans="5:7" s="39" customFormat="1" x14ac:dyDescent="0.3">
      <c r="E1037" s="41"/>
      <c r="F1037" s="41"/>
      <c r="G1037" s="41"/>
    </row>
    <row r="1038" spans="5:7" s="39" customFormat="1" x14ac:dyDescent="0.3">
      <c r="E1038" s="41"/>
      <c r="F1038" s="41"/>
      <c r="G1038" s="41"/>
    </row>
    <row r="1039" spans="5:7" s="39" customFormat="1" x14ac:dyDescent="0.3">
      <c r="E1039" s="41"/>
      <c r="F1039" s="41"/>
      <c r="G1039" s="41"/>
    </row>
    <row r="1040" spans="5:7" s="39" customFormat="1" x14ac:dyDescent="0.3">
      <c r="E1040" s="41"/>
      <c r="F1040" s="41"/>
      <c r="G1040" s="41"/>
    </row>
    <row r="1041" spans="5:7" s="39" customFormat="1" x14ac:dyDescent="0.3">
      <c r="E1041" s="41"/>
      <c r="F1041" s="41"/>
      <c r="G1041" s="41"/>
    </row>
    <row r="1042" spans="5:7" s="39" customFormat="1" x14ac:dyDescent="0.3">
      <c r="E1042" s="41"/>
      <c r="F1042" s="41"/>
      <c r="G1042" s="41"/>
    </row>
    <row r="1043" spans="5:7" s="39" customFormat="1" x14ac:dyDescent="0.3">
      <c r="E1043" s="41"/>
      <c r="F1043" s="41"/>
      <c r="G1043" s="41"/>
    </row>
    <row r="1044" spans="5:7" s="39" customFormat="1" x14ac:dyDescent="0.3">
      <c r="E1044" s="41"/>
      <c r="F1044" s="41"/>
      <c r="G1044" s="41"/>
    </row>
    <row r="1045" spans="5:7" s="39" customFormat="1" x14ac:dyDescent="0.3">
      <c r="E1045" s="41"/>
      <c r="F1045" s="41"/>
      <c r="G1045" s="41"/>
    </row>
    <row r="1046" spans="5:7" s="39" customFormat="1" x14ac:dyDescent="0.3">
      <c r="E1046" s="41"/>
      <c r="F1046" s="41"/>
      <c r="G1046" s="41"/>
    </row>
    <row r="1047" spans="5:7" s="39" customFormat="1" x14ac:dyDescent="0.3">
      <c r="E1047" s="41"/>
      <c r="F1047" s="41"/>
      <c r="G1047" s="41"/>
    </row>
    <row r="1048" spans="5:7" s="39" customFormat="1" x14ac:dyDescent="0.3">
      <c r="E1048" s="41"/>
      <c r="F1048" s="41"/>
      <c r="G1048" s="41"/>
    </row>
    <row r="1049" spans="5:7" s="39" customFormat="1" x14ac:dyDescent="0.3">
      <c r="E1049" s="41"/>
      <c r="F1049" s="41"/>
      <c r="G1049" s="41"/>
    </row>
    <row r="1050" spans="5:7" s="39" customFormat="1" x14ac:dyDescent="0.3">
      <c r="E1050" s="41"/>
      <c r="F1050" s="41"/>
      <c r="G1050" s="41"/>
    </row>
    <row r="1051" spans="5:7" s="39" customFormat="1" x14ac:dyDescent="0.3">
      <c r="E1051" s="41"/>
      <c r="F1051" s="41"/>
      <c r="G1051" s="41"/>
    </row>
    <row r="1052" spans="5:7" s="39" customFormat="1" x14ac:dyDescent="0.3">
      <c r="E1052" s="41"/>
      <c r="F1052" s="41"/>
      <c r="G1052" s="41"/>
    </row>
    <row r="1053" spans="5:7" s="39" customFormat="1" x14ac:dyDescent="0.3">
      <c r="E1053" s="41"/>
      <c r="F1053" s="41"/>
      <c r="G1053" s="41"/>
    </row>
    <row r="1054" spans="5:7" s="39" customFormat="1" x14ac:dyDescent="0.3">
      <c r="E1054" s="41"/>
      <c r="F1054" s="41"/>
      <c r="G1054" s="41"/>
    </row>
    <row r="1055" spans="5:7" s="39" customFormat="1" x14ac:dyDescent="0.3">
      <c r="E1055" s="41"/>
      <c r="F1055" s="41"/>
      <c r="G1055" s="41"/>
    </row>
    <row r="1056" spans="5:7" s="39" customFormat="1" x14ac:dyDescent="0.3">
      <c r="E1056" s="41"/>
      <c r="F1056" s="41"/>
      <c r="G1056" s="41"/>
    </row>
    <row r="1057" spans="5:7" s="39" customFormat="1" x14ac:dyDescent="0.3">
      <c r="E1057" s="41"/>
      <c r="F1057" s="41"/>
      <c r="G1057" s="41"/>
    </row>
    <row r="1058" spans="5:7" s="39" customFormat="1" x14ac:dyDescent="0.3">
      <c r="E1058" s="41"/>
      <c r="F1058" s="41"/>
      <c r="G1058" s="41"/>
    </row>
    <row r="1059" spans="5:7" s="39" customFormat="1" x14ac:dyDescent="0.3">
      <c r="E1059" s="41"/>
      <c r="F1059" s="41"/>
      <c r="G1059" s="41"/>
    </row>
    <row r="1060" spans="5:7" s="39" customFormat="1" x14ac:dyDescent="0.3">
      <c r="E1060" s="41"/>
      <c r="F1060" s="41"/>
      <c r="G1060" s="41"/>
    </row>
    <row r="1061" spans="5:7" s="39" customFormat="1" x14ac:dyDescent="0.3">
      <c r="E1061" s="41"/>
      <c r="F1061" s="41"/>
      <c r="G1061" s="41"/>
    </row>
    <row r="1062" spans="5:7" s="39" customFormat="1" x14ac:dyDescent="0.3">
      <c r="E1062" s="41"/>
      <c r="F1062" s="41"/>
      <c r="G1062" s="41"/>
    </row>
    <row r="1063" spans="5:7" s="39" customFormat="1" x14ac:dyDescent="0.3">
      <c r="E1063" s="41"/>
      <c r="F1063" s="41"/>
      <c r="G1063" s="41"/>
    </row>
    <row r="1064" spans="5:7" s="39" customFormat="1" x14ac:dyDescent="0.3">
      <c r="E1064" s="41"/>
      <c r="F1064" s="41"/>
      <c r="G1064" s="41"/>
    </row>
    <row r="1065" spans="5:7" s="39" customFormat="1" x14ac:dyDescent="0.3">
      <c r="E1065" s="41"/>
      <c r="F1065" s="41"/>
      <c r="G1065" s="41"/>
    </row>
    <row r="1066" spans="5:7" s="39" customFormat="1" x14ac:dyDescent="0.3">
      <c r="E1066" s="41"/>
      <c r="F1066" s="41"/>
      <c r="G1066" s="41"/>
    </row>
    <row r="1067" spans="5:7" s="39" customFormat="1" x14ac:dyDescent="0.3">
      <c r="E1067" s="41"/>
      <c r="F1067" s="41"/>
      <c r="G1067" s="41"/>
    </row>
    <row r="1068" spans="5:7" s="39" customFormat="1" x14ac:dyDescent="0.3">
      <c r="E1068" s="41"/>
      <c r="F1068" s="41"/>
      <c r="G1068" s="41"/>
    </row>
    <row r="1069" spans="5:7" s="39" customFormat="1" x14ac:dyDescent="0.3">
      <c r="E1069" s="41"/>
      <c r="F1069" s="41"/>
      <c r="G1069" s="41"/>
    </row>
    <row r="1070" spans="5:7" s="39" customFormat="1" x14ac:dyDescent="0.3">
      <c r="E1070" s="41"/>
      <c r="F1070" s="41"/>
      <c r="G1070" s="41"/>
    </row>
    <row r="1071" spans="5:7" s="39" customFormat="1" x14ac:dyDescent="0.3">
      <c r="E1071" s="41"/>
      <c r="F1071" s="41"/>
      <c r="G1071" s="41"/>
    </row>
    <row r="1072" spans="5:7" s="39" customFormat="1" x14ac:dyDescent="0.3">
      <c r="E1072" s="41"/>
      <c r="F1072" s="41"/>
      <c r="G1072" s="41"/>
    </row>
    <row r="1073" spans="5:7" s="39" customFormat="1" x14ac:dyDescent="0.3">
      <c r="E1073" s="41"/>
      <c r="F1073" s="41"/>
      <c r="G1073" s="41"/>
    </row>
    <row r="1074" spans="5:7" s="39" customFormat="1" x14ac:dyDescent="0.3">
      <c r="E1074" s="41"/>
      <c r="F1074" s="41"/>
      <c r="G1074" s="41"/>
    </row>
    <row r="1075" spans="5:7" s="39" customFormat="1" x14ac:dyDescent="0.3">
      <c r="E1075" s="41"/>
      <c r="F1075" s="41"/>
      <c r="G1075" s="41"/>
    </row>
    <row r="1076" spans="5:7" s="39" customFormat="1" x14ac:dyDescent="0.3">
      <c r="E1076" s="41"/>
      <c r="F1076" s="41"/>
      <c r="G1076" s="41"/>
    </row>
    <row r="1077" spans="5:7" s="39" customFormat="1" x14ac:dyDescent="0.3">
      <c r="E1077" s="41"/>
      <c r="F1077" s="41"/>
      <c r="G1077" s="41"/>
    </row>
    <row r="1078" spans="5:7" s="39" customFormat="1" x14ac:dyDescent="0.3">
      <c r="E1078" s="41"/>
      <c r="F1078" s="41"/>
      <c r="G1078" s="41"/>
    </row>
    <row r="1079" spans="5:7" s="39" customFormat="1" x14ac:dyDescent="0.3">
      <c r="E1079" s="41"/>
      <c r="F1079" s="41"/>
      <c r="G1079" s="41"/>
    </row>
    <row r="1080" spans="5:7" s="39" customFormat="1" x14ac:dyDescent="0.3">
      <c r="E1080" s="41"/>
      <c r="F1080" s="41"/>
      <c r="G1080" s="41"/>
    </row>
    <row r="1081" spans="5:7" s="39" customFormat="1" x14ac:dyDescent="0.3">
      <c r="E1081" s="41"/>
      <c r="F1081" s="41"/>
      <c r="G1081" s="41"/>
    </row>
    <row r="1082" spans="5:7" s="39" customFormat="1" x14ac:dyDescent="0.3">
      <c r="E1082" s="41"/>
      <c r="F1082" s="41"/>
      <c r="G1082" s="41"/>
    </row>
    <row r="1083" spans="5:7" s="39" customFormat="1" x14ac:dyDescent="0.3">
      <c r="E1083" s="41"/>
      <c r="F1083" s="41"/>
      <c r="G1083" s="41"/>
    </row>
    <row r="1084" spans="5:7" s="39" customFormat="1" x14ac:dyDescent="0.3">
      <c r="E1084" s="41"/>
      <c r="F1084" s="41"/>
      <c r="G1084" s="41"/>
    </row>
    <row r="1085" spans="5:7" s="39" customFormat="1" x14ac:dyDescent="0.3">
      <c r="E1085" s="41"/>
      <c r="F1085" s="41"/>
      <c r="G1085" s="41"/>
    </row>
    <row r="1086" spans="5:7" s="39" customFormat="1" x14ac:dyDescent="0.3">
      <c r="E1086" s="41"/>
      <c r="F1086" s="41"/>
      <c r="G1086" s="41"/>
    </row>
    <row r="1087" spans="5:7" s="39" customFormat="1" x14ac:dyDescent="0.3">
      <c r="E1087" s="41"/>
      <c r="F1087" s="41"/>
      <c r="G1087" s="41"/>
    </row>
    <row r="1088" spans="5:7" s="39" customFormat="1" x14ac:dyDescent="0.3">
      <c r="E1088" s="41"/>
      <c r="F1088" s="41"/>
      <c r="G1088" s="41"/>
    </row>
    <row r="1089" spans="5:7" s="39" customFormat="1" x14ac:dyDescent="0.3">
      <c r="E1089" s="41"/>
      <c r="F1089" s="41"/>
      <c r="G1089" s="41"/>
    </row>
    <row r="1090" spans="5:7" s="39" customFormat="1" x14ac:dyDescent="0.3">
      <c r="E1090" s="41"/>
      <c r="F1090" s="41"/>
      <c r="G1090" s="41"/>
    </row>
    <row r="1091" spans="5:7" s="39" customFormat="1" x14ac:dyDescent="0.3">
      <c r="E1091" s="41"/>
      <c r="F1091" s="41"/>
      <c r="G1091" s="41"/>
    </row>
    <row r="1092" spans="5:7" s="39" customFormat="1" x14ac:dyDescent="0.3">
      <c r="E1092" s="41"/>
      <c r="F1092" s="41"/>
      <c r="G1092" s="41"/>
    </row>
    <row r="1093" spans="5:7" s="39" customFormat="1" x14ac:dyDescent="0.3">
      <c r="E1093" s="41"/>
      <c r="F1093" s="41"/>
      <c r="G1093" s="41"/>
    </row>
    <row r="1094" spans="5:7" s="39" customFormat="1" x14ac:dyDescent="0.3">
      <c r="E1094" s="41"/>
      <c r="F1094" s="41"/>
      <c r="G1094" s="41"/>
    </row>
    <row r="1095" spans="5:7" s="39" customFormat="1" x14ac:dyDescent="0.3">
      <c r="E1095" s="41"/>
      <c r="F1095" s="41"/>
      <c r="G1095" s="41"/>
    </row>
    <row r="1096" spans="5:7" s="39" customFormat="1" x14ac:dyDescent="0.3">
      <c r="E1096" s="41"/>
      <c r="F1096" s="41"/>
      <c r="G1096" s="41"/>
    </row>
    <row r="1097" spans="5:7" s="39" customFormat="1" x14ac:dyDescent="0.3">
      <c r="E1097" s="41"/>
      <c r="F1097" s="41"/>
      <c r="G1097" s="41"/>
    </row>
    <row r="1098" spans="5:7" s="39" customFormat="1" x14ac:dyDescent="0.3">
      <c r="E1098" s="41"/>
      <c r="F1098" s="41"/>
      <c r="G1098" s="41"/>
    </row>
    <row r="1099" spans="5:7" s="39" customFormat="1" x14ac:dyDescent="0.3">
      <c r="E1099" s="41"/>
      <c r="F1099" s="41"/>
      <c r="G1099" s="41"/>
    </row>
    <row r="1100" spans="5:7" s="39" customFormat="1" x14ac:dyDescent="0.3">
      <c r="E1100" s="41"/>
      <c r="F1100" s="41"/>
      <c r="G1100" s="41"/>
    </row>
    <row r="1101" spans="5:7" s="39" customFormat="1" x14ac:dyDescent="0.3">
      <c r="E1101" s="41"/>
      <c r="F1101" s="41"/>
      <c r="G1101" s="41"/>
    </row>
    <row r="1102" spans="5:7" s="39" customFormat="1" x14ac:dyDescent="0.3">
      <c r="E1102" s="41"/>
      <c r="F1102" s="41"/>
      <c r="G1102" s="41"/>
    </row>
    <row r="1103" spans="5:7" s="39" customFormat="1" x14ac:dyDescent="0.3">
      <c r="E1103" s="41"/>
      <c r="F1103" s="41"/>
      <c r="G1103" s="41"/>
    </row>
    <row r="1104" spans="5:7" s="39" customFormat="1" x14ac:dyDescent="0.3">
      <c r="E1104" s="41"/>
      <c r="F1104" s="41"/>
      <c r="G1104" s="41"/>
    </row>
    <row r="1105" spans="5:7" s="39" customFormat="1" x14ac:dyDescent="0.3">
      <c r="E1105" s="41"/>
      <c r="F1105" s="41"/>
      <c r="G1105" s="41"/>
    </row>
    <row r="1106" spans="5:7" s="39" customFormat="1" x14ac:dyDescent="0.3">
      <c r="E1106" s="41"/>
      <c r="F1106" s="41"/>
      <c r="G1106" s="41"/>
    </row>
    <row r="1107" spans="5:7" s="39" customFormat="1" x14ac:dyDescent="0.3">
      <c r="E1107" s="41"/>
      <c r="F1107" s="41"/>
      <c r="G1107" s="41"/>
    </row>
    <row r="1108" spans="5:7" s="39" customFormat="1" x14ac:dyDescent="0.3">
      <c r="E1108" s="41"/>
      <c r="F1108" s="41"/>
      <c r="G1108" s="41"/>
    </row>
    <row r="1109" spans="5:7" s="39" customFormat="1" x14ac:dyDescent="0.3">
      <c r="E1109" s="41"/>
      <c r="F1109" s="41"/>
      <c r="G1109" s="41"/>
    </row>
    <row r="1110" spans="5:7" s="39" customFormat="1" x14ac:dyDescent="0.3">
      <c r="E1110" s="41"/>
      <c r="F1110" s="41"/>
      <c r="G1110" s="41"/>
    </row>
    <row r="1111" spans="5:7" s="39" customFormat="1" x14ac:dyDescent="0.3">
      <c r="E1111" s="41"/>
      <c r="F1111" s="41"/>
      <c r="G1111" s="41"/>
    </row>
    <row r="1112" spans="5:7" s="39" customFormat="1" x14ac:dyDescent="0.3">
      <c r="E1112" s="41"/>
      <c r="F1112" s="41"/>
      <c r="G1112" s="41"/>
    </row>
    <row r="1113" spans="5:7" s="39" customFormat="1" x14ac:dyDescent="0.3">
      <c r="E1113" s="41"/>
      <c r="F1113" s="41"/>
      <c r="G1113" s="41"/>
    </row>
    <row r="1114" spans="5:7" s="39" customFormat="1" x14ac:dyDescent="0.3">
      <c r="E1114" s="41"/>
      <c r="F1114" s="41"/>
      <c r="G1114" s="41"/>
    </row>
    <row r="1115" spans="5:7" s="39" customFormat="1" x14ac:dyDescent="0.3">
      <c r="E1115" s="41"/>
      <c r="F1115" s="41"/>
      <c r="G1115" s="41"/>
    </row>
    <row r="1116" spans="5:7" s="39" customFormat="1" x14ac:dyDescent="0.3">
      <c r="E1116" s="41"/>
      <c r="F1116" s="41"/>
      <c r="G1116" s="41"/>
    </row>
    <row r="1117" spans="5:7" s="39" customFormat="1" x14ac:dyDescent="0.3">
      <c r="E1117" s="41"/>
      <c r="F1117" s="41"/>
      <c r="G1117" s="41"/>
    </row>
    <row r="1118" spans="5:7" s="39" customFormat="1" x14ac:dyDescent="0.3">
      <c r="E1118" s="41"/>
      <c r="F1118" s="41"/>
      <c r="G1118" s="41"/>
    </row>
    <row r="1119" spans="5:7" s="39" customFormat="1" x14ac:dyDescent="0.3">
      <c r="E1119" s="41"/>
      <c r="F1119" s="41"/>
      <c r="G1119" s="41"/>
    </row>
    <row r="1120" spans="5:7" s="39" customFormat="1" x14ac:dyDescent="0.3">
      <c r="E1120" s="41"/>
      <c r="F1120" s="41"/>
      <c r="G1120" s="41"/>
    </row>
    <row r="1121" spans="5:7" s="39" customFormat="1" x14ac:dyDescent="0.3">
      <c r="E1121" s="41"/>
      <c r="F1121" s="41"/>
      <c r="G1121" s="41"/>
    </row>
    <row r="1122" spans="5:7" s="39" customFormat="1" x14ac:dyDescent="0.3">
      <c r="E1122" s="41"/>
      <c r="F1122" s="41"/>
      <c r="G1122" s="41"/>
    </row>
    <row r="1123" spans="5:7" s="39" customFormat="1" x14ac:dyDescent="0.3">
      <c r="E1123" s="41"/>
      <c r="F1123" s="41"/>
      <c r="G1123" s="41"/>
    </row>
    <row r="1124" spans="5:7" s="39" customFormat="1" x14ac:dyDescent="0.3">
      <c r="E1124" s="41"/>
      <c r="F1124" s="41"/>
      <c r="G1124" s="41"/>
    </row>
    <row r="1125" spans="5:7" s="39" customFormat="1" x14ac:dyDescent="0.3">
      <c r="E1125" s="41"/>
      <c r="F1125" s="41"/>
      <c r="G1125" s="41"/>
    </row>
    <row r="1126" spans="5:7" s="39" customFormat="1" x14ac:dyDescent="0.3">
      <c r="E1126" s="41"/>
      <c r="F1126" s="41"/>
      <c r="G1126" s="41"/>
    </row>
    <row r="1127" spans="5:7" s="39" customFormat="1" x14ac:dyDescent="0.3">
      <c r="E1127" s="41"/>
      <c r="F1127" s="41"/>
      <c r="G1127" s="41"/>
    </row>
    <row r="1128" spans="5:7" s="39" customFormat="1" x14ac:dyDescent="0.3">
      <c r="E1128" s="41"/>
      <c r="F1128" s="41"/>
      <c r="G1128" s="41"/>
    </row>
    <row r="1129" spans="5:7" s="39" customFormat="1" x14ac:dyDescent="0.3">
      <c r="E1129" s="41"/>
      <c r="F1129" s="41"/>
      <c r="G1129" s="41"/>
    </row>
    <row r="1130" spans="5:7" s="39" customFormat="1" x14ac:dyDescent="0.3">
      <c r="E1130" s="41"/>
      <c r="F1130" s="41"/>
      <c r="G1130" s="41"/>
    </row>
    <row r="1131" spans="5:7" s="39" customFormat="1" x14ac:dyDescent="0.3">
      <c r="E1131" s="41"/>
      <c r="F1131" s="41"/>
      <c r="G1131" s="41"/>
    </row>
    <row r="1132" spans="5:7" s="39" customFormat="1" x14ac:dyDescent="0.3">
      <c r="E1132" s="41"/>
      <c r="F1132" s="41"/>
      <c r="G1132" s="41"/>
    </row>
    <row r="1133" spans="5:7" s="39" customFormat="1" x14ac:dyDescent="0.3">
      <c r="E1133" s="41"/>
      <c r="F1133" s="41"/>
      <c r="G1133" s="41"/>
    </row>
    <row r="1134" spans="5:7" s="39" customFormat="1" x14ac:dyDescent="0.3">
      <c r="E1134" s="41"/>
      <c r="F1134" s="41"/>
      <c r="G1134" s="41"/>
    </row>
    <row r="1135" spans="5:7" s="39" customFormat="1" x14ac:dyDescent="0.3">
      <c r="E1135" s="41"/>
      <c r="F1135" s="41"/>
      <c r="G1135" s="41"/>
    </row>
    <row r="1136" spans="5:7" s="39" customFormat="1" x14ac:dyDescent="0.3">
      <c r="E1136" s="41"/>
      <c r="F1136" s="41"/>
      <c r="G1136" s="41"/>
    </row>
    <row r="1137" spans="5:7" s="39" customFormat="1" x14ac:dyDescent="0.3">
      <c r="E1137" s="41"/>
      <c r="F1137" s="41"/>
      <c r="G1137" s="41"/>
    </row>
    <row r="1138" spans="5:7" s="39" customFormat="1" x14ac:dyDescent="0.3">
      <c r="E1138" s="41"/>
      <c r="F1138" s="41"/>
      <c r="G1138" s="41"/>
    </row>
    <row r="1139" spans="5:7" s="39" customFormat="1" x14ac:dyDescent="0.3">
      <c r="E1139" s="41"/>
      <c r="F1139" s="41"/>
      <c r="G1139" s="41"/>
    </row>
    <row r="1140" spans="5:7" s="39" customFormat="1" x14ac:dyDescent="0.3">
      <c r="E1140" s="41"/>
      <c r="F1140" s="41"/>
      <c r="G1140" s="41"/>
    </row>
    <row r="1141" spans="5:7" s="39" customFormat="1" x14ac:dyDescent="0.3">
      <c r="E1141" s="41"/>
      <c r="F1141" s="41"/>
      <c r="G1141" s="41"/>
    </row>
    <row r="1142" spans="5:7" s="39" customFormat="1" x14ac:dyDescent="0.3">
      <c r="E1142" s="41"/>
      <c r="F1142" s="41"/>
      <c r="G1142" s="41"/>
    </row>
    <row r="1143" spans="5:7" s="39" customFormat="1" x14ac:dyDescent="0.3">
      <c r="E1143" s="41"/>
      <c r="F1143" s="41"/>
      <c r="G1143" s="41"/>
    </row>
    <row r="1144" spans="5:7" s="39" customFormat="1" x14ac:dyDescent="0.3">
      <c r="E1144" s="41"/>
      <c r="F1144" s="41"/>
      <c r="G1144" s="41"/>
    </row>
    <row r="1145" spans="5:7" s="39" customFormat="1" x14ac:dyDescent="0.3">
      <c r="E1145" s="41"/>
      <c r="F1145" s="41"/>
      <c r="G1145" s="41"/>
    </row>
    <row r="1146" spans="5:7" s="39" customFormat="1" x14ac:dyDescent="0.3">
      <c r="E1146" s="41"/>
      <c r="F1146" s="41"/>
      <c r="G1146" s="41"/>
    </row>
    <row r="1147" spans="5:7" s="39" customFormat="1" x14ac:dyDescent="0.3">
      <c r="E1147" s="41"/>
      <c r="F1147" s="41"/>
      <c r="G1147" s="41"/>
    </row>
    <row r="1148" spans="5:7" s="39" customFormat="1" x14ac:dyDescent="0.3">
      <c r="E1148" s="41"/>
      <c r="F1148" s="41"/>
      <c r="G1148" s="41"/>
    </row>
    <row r="1149" spans="5:7" s="39" customFormat="1" x14ac:dyDescent="0.3">
      <c r="E1149" s="41"/>
      <c r="F1149" s="41"/>
      <c r="G1149" s="41"/>
    </row>
    <row r="1150" spans="5:7" s="39" customFormat="1" x14ac:dyDescent="0.3">
      <c r="E1150" s="41"/>
      <c r="F1150" s="41"/>
      <c r="G1150" s="41"/>
    </row>
    <row r="1151" spans="5:7" s="39" customFormat="1" x14ac:dyDescent="0.3">
      <c r="E1151" s="41"/>
      <c r="F1151" s="41"/>
      <c r="G1151" s="41"/>
    </row>
    <row r="1152" spans="5:7" s="39" customFormat="1" x14ac:dyDescent="0.3">
      <c r="E1152" s="41"/>
      <c r="F1152" s="41"/>
      <c r="G1152" s="41"/>
    </row>
    <row r="1153" spans="5:7" s="39" customFormat="1" x14ac:dyDescent="0.3">
      <c r="E1153" s="41"/>
      <c r="F1153" s="41"/>
      <c r="G1153" s="41"/>
    </row>
    <row r="1154" spans="5:7" s="39" customFormat="1" x14ac:dyDescent="0.3">
      <c r="E1154" s="41"/>
      <c r="F1154" s="41"/>
      <c r="G1154" s="41"/>
    </row>
    <row r="1155" spans="5:7" s="39" customFormat="1" x14ac:dyDescent="0.3">
      <c r="E1155" s="41"/>
      <c r="F1155" s="41"/>
      <c r="G1155" s="41"/>
    </row>
    <row r="1156" spans="5:7" s="39" customFormat="1" x14ac:dyDescent="0.3">
      <c r="E1156" s="41"/>
      <c r="F1156" s="41"/>
      <c r="G1156" s="41"/>
    </row>
    <row r="1157" spans="5:7" s="39" customFormat="1" x14ac:dyDescent="0.3">
      <c r="E1157" s="41"/>
      <c r="F1157" s="41"/>
      <c r="G1157" s="41"/>
    </row>
    <row r="1158" spans="5:7" s="39" customFormat="1" x14ac:dyDescent="0.3">
      <c r="E1158" s="41"/>
      <c r="F1158" s="41"/>
      <c r="G1158" s="41"/>
    </row>
    <row r="1159" spans="5:7" s="39" customFormat="1" x14ac:dyDescent="0.3">
      <c r="E1159" s="41"/>
      <c r="F1159" s="41"/>
      <c r="G1159" s="41"/>
    </row>
    <row r="1160" spans="5:7" s="39" customFormat="1" x14ac:dyDescent="0.3">
      <c r="E1160" s="41"/>
      <c r="F1160" s="41"/>
      <c r="G1160" s="41"/>
    </row>
    <row r="1161" spans="5:7" s="39" customFormat="1" x14ac:dyDescent="0.3">
      <c r="E1161" s="41"/>
      <c r="F1161" s="41"/>
      <c r="G1161" s="41"/>
    </row>
    <row r="1162" spans="5:7" s="39" customFormat="1" x14ac:dyDescent="0.3">
      <c r="E1162" s="41"/>
      <c r="F1162" s="41"/>
      <c r="G1162" s="41"/>
    </row>
    <row r="1163" spans="5:7" s="39" customFormat="1" x14ac:dyDescent="0.3">
      <c r="E1163" s="41"/>
      <c r="F1163" s="41"/>
      <c r="G1163" s="41"/>
    </row>
    <row r="1164" spans="5:7" s="39" customFormat="1" x14ac:dyDescent="0.3">
      <c r="E1164" s="41"/>
      <c r="F1164" s="41"/>
      <c r="G1164" s="41"/>
    </row>
    <row r="1165" spans="5:7" s="39" customFormat="1" x14ac:dyDescent="0.3">
      <c r="E1165" s="41"/>
      <c r="F1165" s="41"/>
      <c r="G1165" s="41"/>
    </row>
    <row r="1166" spans="5:7" s="39" customFormat="1" x14ac:dyDescent="0.3">
      <c r="E1166" s="41"/>
      <c r="F1166" s="41"/>
      <c r="G1166" s="41"/>
    </row>
    <row r="1167" spans="5:7" s="39" customFormat="1" x14ac:dyDescent="0.3">
      <c r="E1167" s="41"/>
      <c r="F1167" s="41"/>
      <c r="G1167" s="41"/>
    </row>
    <row r="1168" spans="5:7" s="39" customFormat="1" x14ac:dyDescent="0.3">
      <c r="E1168" s="41"/>
      <c r="F1168" s="41"/>
      <c r="G1168" s="41"/>
    </row>
    <row r="1169" spans="5:7" s="39" customFormat="1" x14ac:dyDescent="0.3">
      <c r="E1169" s="41"/>
      <c r="F1169" s="41"/>
      <c r="G1169" s="41"/>
    </row>
    <row r="1170" spans="5:7" s="39" customFormat="1" x14ac:dyDescent="0.3">
      <c r="E1170" s="41"/>
      <c r="F1170" s="41"/>
      <c r="G1170" s="41"/>
    </row>
    <row r="1171" spans="5:7" s="39" customFormat="1" x14ac:dyDescent="0.3">
      <c r="E1171" s="41"/>
      <c r="F1171" s="41"/>
      <c r="G1171" s="41"/>
    </row>
    <row r="1172" spans="5:7" s="39" customFormat="1" x14ac:dyDescent="0.3">
      <c r="E1172" s="41"/>
      <c r="F1172" s="41"/>
      <c r="G1172" s="41"/>
    </row>
    <row r="1173" spans="5:7" s="39" customFormat="1" x14ac:dyDescent="0.3">
      <c r="E1173" s="41"/>
      <c r="F1173" s="41"/>
      <c r="G1173" s="41"/>
    </row>
    <row r="1174" spans="5:7" s="39" customFormat="1" x14ac:dyDescent="0.3">
      <c r="E1174" s="41"/>
      <c r="F1174" s="41"/>
      <c r="G1174" s="41"/>
    </row>
    <row r="1175" spans="5:7" s="39" customFormat="1" x14ac:dyDescent="0.3">
      <c r="E1175" s="41"/>
      <c r="F1175" s="41"/>
      <c r="G1175" s="41"/>
    </row>
    <row r="1176" spans="5:7" s="39" customFormat="1" x14ac:dyDescent="0.3">
      <c r="E1176" s="41"/>
      <c r="F1176" s="41"/>
      <c r="G1176" s="41"/>
    </row>
    <row r="1177" spans="5:7" s="39" customFormat="1" x14ac:dyDescent="0.3">
      <c r="E1177" s="41"/>
      <c r="F1177" s="41"/>
      <c r="G1177" s="41"/>
    </row>
    <row r="1178" spans="5:7" s="39" customFormat="1" x14ac:dyDescent="0.3">
      <c r="E1178" s="41"/>
      <c r="F1178" s="41"/>
      <c r="G1178" s="41"/>
    </row>
    <row r="1179" spans="5:7" s="39" customFormat="1" x14ac:dyDescent="0.3">
      <c r="E1179" s="41"/>
      <c r="F1179" s="41"/>
      <c r="G1179" s="41"/>
    </row>
    <row r="1180" spans="5:7" s="39" customFormat="1" x14ac:dyDescent="0.3">
      <c r="E1180" s="41"/>
      <c r="F1180" s="41"/>
      <c r="G1180" s="41"/>
    </row>
    <row r="1181" spans="5:7" s="39" customFormat="1" x14ac:dyDescent="0.3">
      <c r="E1181" s="41"/>
      <c r="F1181" s="41"/>
      <c r="G1181" s="41"/>
    </row>
    <row r="1182" spans="5:7" s="39" customFormat="1" x14ac:dyDescent="0.3">
      <c r="E1182" s="41"/>
      <c r="F1182" s="41"/>
      <c r="G1182" s="41"/>
    </row>
    <row r="1183" spans="5:7" s="39" customFormat="1" x14ac:dyDescent="0.3">
      <c r="E1183" s="41"/>
      <c r="F1183" s="41"/>
      <c r="G1183" s="41"/>
    </row>
    <row r="1184" spans="5:7" s="39" customFormat="1" x14ac:dyDescent="0.3">
      <c r="E1184" s="41"/>
      <c r="F1184" s="41"/>
      <c r="G1184" s="41"/>
    </row>
    <row r="1185" spans="5:7" s="39" customFormat="1" x14ac:dyDescent="0.3">
      <c r="E1185" s="41"/>
      <c r="F1185" s="41"/>
      <c r="G1185" s="41"/>
    </row>
    <row r="1186" spans="5:7" s="39" customFormat="1" x14ac:dyDescent="0.3">
      <c r="E1186" s="41"/>
      <c r="F1186" s="41"/>
      <c r="G1186" s="41"/>
    </row>
    <row r="1187" spans="5:7" s="39" customFormat="1" x14ac:dyDescent="0.3">
      <c r="E1187" s="41"/>
      <c r="F1187" s="41"/>
      <c r="G1187" s="41"/>
    </row>
    <row r="1188" spans="5:7" s="39" customFormat="1" x14ac:dyDescent="0.3">
      <c r="E1188" s="41"/>
      <c r="F1188" s="41"/>
      <c r="G1188" s="41"/>
    </row>
    <row r="1189" spans="5:7" s="39" customFormat="1" x14ac:dyDescent="0.3">
      <c r="E1189" s="41"/>
      <c r="F1189" s="41"/>
      <c r="G1189" s="41"/>
    </row>
    <row r="1190" spans="5:7" s="39" customFormat="1" x14ac:dyDescent="0.3">
      <c r="E1190" s="41"/>
      <c r="F1190" s="41"/>
      <c r="G1190" s="41"/>
    </row>
    <row r="1191" spans="5:7" s="39" customFormat="1" x14ac:dyDescent="0.3">
      <c r="E1191" s="41"/>
      <c r="F1191" s="41"/>
      <c r="G1191" s="41"/>
    </row>
    <row r="1192" spans="5:7" s="39" customFormat="1" x14ac:dyDescent="0.3">
      <c r="E1192" s="41"/>
      <c r="F1192" s="41"/>
      <c r="G1192" s="41"/>
    </row>
    <row r="1193" spans="5:7" s="39" customFormat="1" x14ac:dyDescent="0.3">
      <c r="E1193" s="41"/>
      <c r="F1193" s="41"/>
      <c r="G1193" s="41"/>
    </row>
    <row r="1194" spans="5:7" s="39" customFormat="1" x14ac:dyDescent="0.3">
      <c r="E1194" s="41"/>
      <c r="F1194" s="41"/>
      <c r="G1194" s="41"/>
    </row>
    <row r="1195" spans="5:7" s="39" customFormat="1" x14ac:dyDescent="0.3">
      <c r="E1195" s="41"/>
      <c r="F1195" s="41"/>
      <c r="G1195" s="41"/>
    </row>
    <row r="1196" spans="5:7" s="39" customFormat="1" x14ac:dyDescent="0.3">
      <c r="E1196" s="41"/>
      <c r="F1196" s="41"/>
      <c r="G1196" s="41"/>
    </row>
    <row r="1197" spans="5:7" s="39" customFormat="1" x14ac:dyDescent="0.3">
      <c r="E1197" s="41"/>
      <c r="F1197" s="41"/>
      <c r="G1197" s="41"/>
    </row>
    <row r="1198" spans="5:7" s="39" customFormat="1" x14ac:dyDescent="0.3">
      <c r="E1198" s="41"/>
      <c r="F1198" s="41"/>
      <c r="G1198" s="41"/>
    </row>
    <row r="1199" spans="5:7" s="39" customFormat="1" x14ac:dyDescent="0.3">
      <c r="E1199" s="41"/>
      <c r="F1199" s="41"/>
      <c r="G1199" s="41"/>
    </row>
    <row r="1200" spans="5:7" s="39" customFormat="1" x14ac:dyDescent="0.3">
      <c r="E1200" s="41"/>
      <c r="F1200" s="41"/>
      <c r="G1200" s="41"/>
    </row>
    <row r="1201" spans="5:7" s="39" customFormat="1" x14ac:dyDescent="0.3">
      <c r="E1201" s="41"/>
      <c r="F1201" s="41"/>
      <c r="G1201" s="41"/>
    </row>
    <row r="1202" spans="5:7" s="39" customFormat="1" x14ac:dyDescent="0.3">
      <c r="E1202" s="41"/>
      <c r="F1202" s="41"/>
      <c r="G1202" s="41"/>
    </row>
    <row r="1203" spans="5:7" s="39" customFormat="1" x14ac:dyDescent="0.3">
      <c r="E1203" s="41"/>
      <c r="F1203" s="41"/>
      <c r="G1203" s="41"/>
    </row>
    <row r="1204" spans="5:7" s="39" customFormat="1" x14ac:dyDescent="0.3">
      <c r="E1204" s="41"/>
      <c r="F1204" s="41"/>
      <c r="G1204" s="41"/>
    </row>
    <row r="1205" spans="5:7" s="39" customFormat="1" x14ac:dyDescent="0.3">
      <c r="E1205" s="41"/>
      <c r="F1205" s="41"/>
      <c r="G1205" s="41"/>
    </row>
    <row r="1206" spans="5:7" s="39" customFormat="1" x14ac:dyDescent="0.3">
      <c r="E1206" s="41"/>
      <c r="F1206" s="41"/>
      <c r="G1206" s="41"/>
    </row>
    <row r="1207" spans="5:7" s="39" customFormat="1" x14ac:dyDescent="0.3">
      <c r="E1207" s="41"/>
      <c r="F1207" s="41"/>
      <c r="G1207" s="41"/>
    </row>
    <row r="1208" spans="5:7" s="39" customFormat="1" x14ac:dyDescent="0.3">
      <c r="E1208" s="41"/>
      <c r="F1208" s="41"/>
      <c r="G1208" s="41"/>
    </row>
    <row r="1209" spans="5:7" s="39" customFormat="1" x14ac:dyDescent="0.3">
      <c r="E1209" s="41"/>
      <c r="F1209" s="41"/>
      <c r="G1209" s="41"/>
    </row>
    <row r="1210" spans="5:7" s="39" customFormat="1" x14ac:dyDescent="0.3">
      <c r="E1210" s="41"/>
      <c r="F1210" s="41"/>
      <c r="G1210" s="41"/>
    </row>
    <row r="1211" spans="5:7" s="39" customFormat="1" x14ac:dyDescent="0.3">
      <c r="E1211" s="41"/>
      <c r="F1211" s="41"/>
      <c r="G1211" s="41"/>
    </row>
    <row r="1212" spans="5:7" s="39" customFormat="1" x14ac:dyDescent="0.3">
      <c r="E1212" s="41"/>
      <c r="F1212" s="41"/>
      <c r="G1212" s="41"/>
    </row>
    <row r="1213" spans="5:7" s="39" customFormat="1" x14ac:dyDescent="0.3">
      <c r="E1213" s="41"/>
      <c r="F1213" s="41"/>
      <c r="G1213" s="41"/>
    </row>
    <row r="1214" spans="5:7" s="39" customFormat="1" x14ac:dyDescent="0.3">
      <c r="E1214" s="41"/>
      <c r="F1214" s="41"/>
      <c r="G1214" s="41"/>
    </row>
    <row r="1215" spans="5:7" s="39" customFormat="1" x14ac:dyDescent="0.3">
      <c r="E1215" s="41"/>
      <c r="F1215" s="41"/>
      <c r="G1215" s="41"/>
    </row>
    <row r="1216" spans="5:7" s="39" customFormat="1" x14ac:dyDescent="0.3">
      <c r="E1216" s="41"/>
      <c r="F1216" s="41"/>
      <c r="G1216" s="41"/>
    </row>
    <row r="1217" spans="5:7" s="39" customFormat="1" x14ac:dyDescent="0.3">
      <c r="E1217" s="41"/>
      <c r="F1217" s="41"/>
      <c r="G1217" s="41"/>
    </row>
    <row r="1218" spans="5:7" s="39" customFormat="1" x14ac:dyDescent="0.3">
      <c r="E1218" s="41"/>
      <c r="F1218" s="41"/>
      <c r="G1218" s="41"/>
    </row>
    <row r="1219" spans="5:7" s="39" customFormat="1" x14ac:dyDescent="0.3">
      <c r="E1219" s="41"/>
      <c r="F1219" s="41"/>
      <c r="G1219" s="41"/>
    </row>
    <row r="1220" spans="5:7" s="39" customFormat="1" x14ac:dyDescent="0.3">
      <c r="E1220" s="41"/>
      <c r="F1220" s="41"/>
      <c r="G1220" s="41"/>
    </row>
    <row r="1221" spans="5:7" s="39" customFormat="1" x14ac:dyDescent="0.3">
      <c r="E1221" s="41"/>
      <c r="F1221" s="41"/>
      <c r="G1221" s="41"/>
    </row>
    <row r="1222" spans="5:7" s="39" customFormat="1" x14ac:dyDescent="0.3">
      <c r="E1222" s="41"/>
      <c r="F1222" s="41"/>
      <c r="G1222" s="41"/>
    </row>
    <row r="1223" spans="5:7" s="39" customFormat="1" x14ac:dyDescent="0.3">
      <c r="E1223" s="41"/>
      <c r="F1223" s="41"/>
      <c r="G1223" s="41"/>
    </row>
    <row r="1224" spans="5:7" s="39" customFormat="1" x14ac:dyDescent="0.3">
      <c r="E1224" s="41"/>
      <c r="F1224" s="41"/>
      <c r="G1224" s="41"/>
    </row>
    <row r="1225" spans="5:7" s="39" customFormat="1" x14ac:dyDescent="0.3">
      <c r="E1225" s="41"/>
      <c r="F1225" s="41"/>
      <c r="G1225" s="41"/>
    </row>
    <row r="1226" spans="5:7" s="39" customFormat="1" x14ac:dyDescent="0.3">
      <c r="E1226" s="41"/>
      <c r="F1226" s="41"/>
      <c r="G1226" s="41"/>
    </row>
    <row r="1227" spans="5:7" s="39" customFormat="1" x14ac:dyDescent="0.3">
      <c r="E1227" s="41"/>
      <c r="F1227" s="41"/>
      <c r="G1227" s="41"/>
    </row>
    <row r="1228" spans="5:7" s="39" customFormat="1" x14ac:dyDescent="0.3">
      <c r="E1228" s="41"/>
      <c r="F1228" s="41"/>
      <c r="G1228" s="41"/>
    </row>
    <row r="1229" spans="5:7" s="39" customFormat="1" x14ac:dyDescent="0.3">
      <c r="E1229" s="41"/>
      <c r="F1229" s="41"/>
      <c r="G1229" s="41"/>
    </row>
    <row r="1230" spans="5:7" s="39" customFormat="1" x14ac:dyDescent="0.3">
      <c r="E1230" s="41"/>
      <c r="F1230" s="41"/>
      <c r="G1230" s="41"/>
    </row>
    <row r="1231" spans="5:7" s="39" customFormat="1" x14ac:dyDescent="0.3">
      <c r="E1231" s="41"/>
      <c r="F1231" s="41"/>
      <c r="G1231" s="41"/>
    </row>
    <row r="1232" spans="5:7" s="39" customFormat="1" x14ac:dyDescent="0.3">
      <c r="E1232" s="41"/>
      <c r="F1232" s="41"/>
      <c r="G1232" s="41"/>
    </row>
    <row r="1233" spans="5:7" s="39" customFormat="1" x14ac:dyDescent="0.3">
      <c r="E1233" s="41"/>
      <c r="F1233" s="41"/>
      <c r="G1233" s="41"/>
    </row>
    <row r="1234" spans="5:7" s="39" customFormat="1" x14ac:dyDescent="0.3">
      <c r="E1234" s="41"/>
      <c r="F1234" s="41"/>
      <c r="G1234" s="41"/>
    </row>
    <row r="1235" spans="5:7" s="39" customFormat="1" x14ac:dyDescent="0.3">
      <c r="E1235" s="41"/>
      <c r="F1235" s="41"/>
      <c r="G1235" s="41"/>
    </row>
    <row r="1236" spans="5:7" s="39" customFormat="1" x14ac:dyDescent="0.3">
      <c r="E1236" s="41"/>
      <c r="F1236" s="41"/>
      <c r="G1236" s="41"/>
    </row>
    <row r="1237" spans="5:7" s="39" customFormat="1" x14ac:dyDescent="0.3">
      <c r="E1237" s="41"/>
      <c r="F1237" s="41"/>
      <c r="G1237" s="41"/>
    </row>
    <row r="1238" spans="5:7" s="39" customFormat="1" x14ac:dyDescent="0.3">
      <c r="E1238" s="41"/>
      <c r="F1238" s="41"/>
      <c r="G1238" s="41"/>
    </row>
    <row r="1239" spans="5:7" s="39" customFormat="1" x14ac:dyDescent="0.3">
      <c r="E1239" s="41"/>
      <c r="F1239" s="41"/>
      <c r="G1239" s="41"/>
    </row>
    <row r="1240" spans="5:7" s="39" customFormat="1" x14ac:dyDescent="0.3">
      <c r="E1240" s="41"/>
      <c r="F1240" s="41"/>
      <c r="G1240" s="41"/>
    </row>
    <row r="1241" spans="5:7" s="39" customFormat="1" x14ac:dyDescent="0.3">
      <c r="E1241" s="41"/>
      <c r="F1241" s="41"/>
      <c r="G1241" s="41"/>
    </row>
    <row r="1242" spans="5:7" s="39" customFormat="1" x14ac:dyDescent="0.3">
      <c r="E1242" s="41"/>
      <c r="F1242" s="41"/>
      <c r="G1242" s="41"/>
    </row>
    <row r="1243" spans="5:7" s="39" customFormat="1" x14ac:dyDescent="0.3">
      <c r="E1243" s="41"/>
      <c r="F1243" s="41"/>
      <c r="G1243" s="41"/>
    </row>
    <row r="1244" spans="5:7" s="39" customFormat="1" x14ac:dyDescent="0.3">
      <c r="E1244" s="41"/>
      <c r="F1244" s="41"/>
      <c r="G1244" s="41"/>
    </row>
    <row r="1245" spans="5:7" s="39" customFormat="1" x14ac:dyDescent="0.3">
      <c r="E1245" s="41"/>
      <c r="F1245" s="41"/>
      <c r="G1245" s="41"/>
    </row>
    <row r="1246" spans="5:7" s="39" customFormat="1" x14ac:dyDescent="0.3">
      <c r="E1246" s="41"/>
      <c r="F1246" s="41"/>
      <c r="G1246" s="41"/>
    </row>
    <row r="1247" spans="5:7" s="39" customFormat="1" x14ac:dyDescent="0.3">
      <c r="E1247" s="41"/>
      <c r="F1247" s="41"/>
      <c r="G1247" s="41"/>
    </row>
    <row r="1248" spans="5:7" s="39" customFormat="1" x14ac:dyDescent="0.3">
      <c r="E1248" s="41"/>
      <c r="F1248" s="41"/>
      <c r="G1248" s="41"/>
    </row>
    <row r="1249" spans="5:7" s="39" customFormat="1" x14ac:dyDescent="0.3">
      <c r="E1249" s="41"/>
      <c r="F1249" s="41"/>
      <c r="G1249" s="41"/>
    </row>
    <row r="1250" spans="5:7" s="39" customFormat="1" x14ac:dyDescent="0.3">
      <c r="E1250" s="41"/>
      <c r="F1250" s="41"/>
      <c r="G1250" s="41"/>
    </row>
    <row r="1251" spans="5:7" s="39" customFormat="1" x14ac:dyDescent="0.3">
      <c r="E1251" s="41"/>
      <c r="F1251" s="41"/>
      <c r="G1251" s="41"/>
    </row>
    <row r="1252" spans="5:7" s="39" customFormat="1" x14ac:dyDescent="0.3">
      <c r="E1252" s="41"/>
      <c r="F1252" s="41"/>
      <c r="G1252" s="41"/>
    </row>
    <row r="1253" spans="5:7" s="39" customFormat="1" x14ac:dyDescent="0.3">
      <c r="E1253" s="41"/>
      <c r="F1253" s="41"/>
      <c r="G1253" s="41"/>
    </row>
    <row r="1254" spans="5:7" s="39" customFormat="1" x14ac:dyDescent="0.3">
      <c r="E1254" s="41"/>
      <c r="F1254" s="41"/>
      <c r="G1254" s="41"/>
    </row>
    <row r="1255" spans="5:7" s="39" customFormat="1" x14ac:dyDescent="0.3">
      <c r="E1255" s="41"/>
      <c r="F1255" s="41"/>
      <c r="G1255" s="41"/>
    </row>
    <row r="1256" spans="5:7" s="39" customFormat="1" x14ac:dyDescent="0.3">
      <c r="E1256" s="41"/>
      <c r="F1256" s="41"/>
      <c r="G1256" s="41"/>
    </row>
    <row r="1257" spans="5:7" s="39" customFormat="1" x14ac:dyDescent="0.3">
      <c r="E1257" s="41"/>
      <c r="F1257" s="41"/>
      <c r="G1257" s="41"/>
    </row>
    <row r="1258" spans="5:7" s="39" customFormat="1" x14ac:dyDescent="0.3">
      <c r="E1258" s="41"/>
      <c r="F1258" s="41"/>
      <c r="G1258" s="41"/>
    </row>
    <row r="1259" spans="5:7" s="39" customFormat="1" x14ac:dyDescent="0.3">
      <c r="E1259" s="41"/>
      <c r="F1259" s="41"/>
      <c r="G1259" s="41"/>
    </row>
    <row r="1260" spans="5:7" s="39" customFormat="1" x14ac:dyDescent="0.3">
      <c r="E1260" s="41"/>
      <c r="F1260" s="41"/>
      <c r="G1260" s="41"/>
    </row>
    <row r="1261" spans="5:7" s="39" customFormat="1" x14ac:dyDescent="0.3">
      <c r="E1261" s="41"/>
      <c r="F1261" s="41"/>
      <c r="G1261" s="41"/>
    </row>
    <row r="1262" spans="5:7" s="39" customFormat="1" x14ac:dyDescent="0.3">
      <c r="E1262" s="41"/>
      <c r="F1262" s="41"/>
      <c r="G1262" s="41"/>
    </row>
    <row r="1263" spans="5:7" s="39" customFormat="1" x14ac:dyDescent="0.3">
      <c r="E1263" s="41"/>
      <c r="F1263" s="41"/>
      <c r="G1263" s="41"/>
    </row>
    <row r="1264" spans="5:7" s="39" customFormat="1" x14ac:dyDescent="0.3">
      <c r="E1264" s="41"/>
      <c r="F1264" s="41"/>
      <c r="G1264" s="41"/>
    </row>
    <row r="1265" spans="5:7" s="39" customFormat="1" x14ac:dyDescent="0.3">
      <c r="E1265" s="41"/>
      <c r="F1265" s="41"/>
      <c r="G1265" s="41"/>
    </row>
    <row r="1266" spans="5:7" s="39" customFormat="1" x14ac:dyDescent="0.3">
      <c r="E1266" s="41"/>
      <c r="F1266" s="41"/>
      <c r="G1266" s="41"/>
    </row>
    <row r="1267" spans="5:7" s="39" customFormat="1" x14ac:dyDescent="0.3">
      <c r="E1267" s="41"/>
      <c r="F1267" s="41"/>
      <c r="G1267" s="41"/>
    </row>
    <row r="1268" spans="5:7" s="39" customFormat="1" x14ac:dyDescent="0.3">
      <c r="E1268" s="41"/>
      <c r="F1268" s="41"/>
      <c r="G1268" s="41"/>
    </row>
    <row r="1269" spans="5:7" s="39" customFormat="1" x14ac:dyDescent="0.3">
      <c r="E1269" s="41"/>
      <c r="F1269" s="41"/>
      <c r="G1269" s="41"/>
    </row>
    <row r="1270" spans="5:7" s="39" customFormat="1" x14ac:dyDescent="0.3">
      <c r="E1270" s="41"/>
      <c r="F1270" s="41"/>
      <c r="G1270" s="41"/>
    </row>
    <row r="1271" spans="5:7" s="39" customFormat="1" x14ac:dyDescent="0.3">
      <c r="E1271" s="41"/>
      <c r="F1271" s="41"/>
      <c r="G1271" s="41"/>
    </row>
    <row r="1272" spans="5:7" s="39" customFormat="1" x14ac:dyDescent="0.3">
      <c r="E1272" s="41"/>
      <c r="F1272" s="41"/>
      <c r="G1272" s="41"/>
    </row>
    <row r="1273" spans="5:7" s="39" customFormat="1" x14ac:dyDescent="0.3">
      <c r="E1273" s="41"/>
      <c r="F1273" s="41"/>
      <c r="G1273" s="41"/>
    </row>
    <row r="1274" spans="5:7" s="39" customFormat="1" x14ac:dyDescent="0.3">
      <c r="E1274" s="41"/>
      <c r="F1274" s="41"/>
      <c r="G1274" s="41"/>
    </row>
    <row r="1275" spans="5:7" s="39" customFormat="1" x14ac:dyDescent="0.3">
      <c r="E1275" s="41"/>
      <c r="F1275" s="41"/>
      <c r="G1275" s="41"/>
    </row>
    <row r="1276" spans="5:7" s="39" customFormat="1" x14ac:dyDescent="0.3">
      <c r="E1276" s="41"/>
      <c r="F1276" s="41"/>
      <c r="G1276" s="41"/>
    </row>
    <row r="1277" spans="5:7" s="39" customFormat="1" x14ac:dyDescent="0.3">
      <c r="E1277" s="41"/>
      <c r="F1277" s="41"/>
      <c r="G1277" s="41"/>
    </row>
    <row r="1278" spans="5:7" s="39" customFormat="1" x14ac:dyDescent="0.3">
      <c r="E1278" s="41"/>
      <c r="F1278" s="41"/>
      <c r="G1278" s="41"/>
    </row>
    <row r="1279" spans="5:7" s="39" customFormat="1" x14ac:dyDescent="0.3">
      <c r="E1279" s="41"/>
      <c r="F1279" s="41"/>
      <c r="G1279" s="41"/>
    </row>
    <row r="1280" spans="5:7" s="39" customFormat="1" x14ac:dyDescent="0.3">
      <c r="E1280" s="41"/>
      <c r="F1280" s="41"/>
      <c r="G1280" s="41"/>
    </row>
    <row r="1281" spans="5:7" s="39" customFormat="1" x14ac:dyDescent="0.3">
      <c r="E1281" s="41"/>
      <c r="F1281" s="41"/>
      <c r="G1281" s="41"/>
    </row>
    <row r="1282" spans="5:7" s="39" customFormat="1" x14ac:dyDescent="0.3">
      <c r="E1282" s="41"/>
      <c r="F1282" s="41"/>
      <c r="G1282" s="41"/>
    </row>
    <row r="1283" spans="5:7" s="39" customFormat="1" x14ac:dyDescent="0.3">
      <c r="E1283" s="41"/>
      <c r="F1283" s="41"/>
      <c r="G1283" s="41"/>
    </row>
    <row r="1284" spans="5:7" s="39" customFormat="1" x14ac:dyDescent="0.3">
      <c r="E1284" s="41"/>
      <c r="F1284" s="41"/>
      <c r="G1284" s="41"/>
    </row>
    <row r="1285" spans="5:7" s="39" customFormat="1" x14ac:dyDescent="0.3">
      <c r="E1285" s="41"/>
      <c r="F1285" s="41"/>
      <c r="G1285" s="41"/>
    </row>
    <row r="1286" spans="5:7" s="39" customFormat="1" x14ac:dyDescent="0.3">
      <c r="E1286" s="41"/>
      <c r="F1286" s="41"/>
      <c r="G1286" s="41"/>
    </row>
    <row r="1287" spans="5:7" s="39" customFormat="1" x14ac:dyDescent="0.3">
      <c r="E1287" s="41"/>
      <c r="F1287" s="41"/>
      <c r="G1287" s="41"/>
    </row>
    <row r="1288" spans="5:7" s="39" customFormat="1" x14ac:dyDescent="0.3">
      <c r="E1288" s="41"/>
      <c r="F1288" s="41"/>
      <c r="G1288" s="41"/>
    </row>
    <row r="1289" spans="5:7" s="39" customFormat="1" x14ac:dyDescent="0.3">
      <c r="E1289" s="41"/>
      <c r="F1289" s="41"/>
      <c r="G1289" s="41"/>
    </row>
    <row r="1290" spans="5:7" s="39" customFormat="1" x14ac:dyDescent="0.3">
      <c r="E1290" s="41"/>
      <c r="F1290" s="41"/>
      <c r="G1290" s="41"/>
    </row>
    <row r="1291" spans="5:7" s="39" customFormat="1" x14ac:dyDescent="0.3">
      <c r="E1291" s="41"/>
      <c r="F1291" s="41"/>
      <c r="G1291" s="41"/>
    </row>
    <row r="1292" spans="5:7" s="39" customFormat="1" x14ac:dyDescent="0.3">
      <c r="E1292" s="41"/>
      <c r="F1292" s="41"/>
      <c r="G1292" s="41"/>
    </row>
    <row r="1293" spans="5:7" s="39" customFormat="1" x14ac:dyDescent="0.3">
      <c r="E1293" s="41"/>
      <c r="F1293" s="41"/>
      <c r="G1293" s="41"/>
    </row>
    <row r="1294" spans="5:7" s="39" customFormat="1" x14ac:dyDescent="0.3">
      <c r="E1294" s="41"/>
      <c r="F1294" s="41"/>
      <c r="G1294" s="41"/>
    </row>
    <row r="1295" spans="5:7" s="39" customFormat="1" x14ac:dyDescent="0.3">
      <c r="E1295" s="41"/>
      <c r="F1295" s="41"/>
      <c r="G1295" s="41"/>
    </row>
    <row r="1296" spans="5:7" s="39" customFormat="1" x14ac:dyDescent="0.3">
      <c r="E1296" s="41"/>
      <c r="F1296" s="41"/>
      <c r="G1296" s="41"/>
    </row>
    <row r="1297" spans="5:7" s="39" customFormat="1" x14ac:dyDescent="0.3">
      <c r="E1297" s="41"/>
      <c r="F1297" s="41"/>
      <c r="G1297" s="41"/>
    </row>
    <row r="1298" spans="5:7" s="39" customFormat="1" x14ac:dyDescent="0.3">
      <c r="E1298" s="41"/>
      <c r="F1298" s="41"/>
      <c r="G1298" s="41"/>
    </row>
    <row r="1299" spans="5:7" s="39" customFormat="1" x14ac:dyDescent="0.3">
      <c r="E1299" s="41"/>
      <c r="F1299" s="41"/>
      <c r="G1299" s="41"/>
    </row>
    <row r="1300" spans="5:7" s="39" customFormat="1" x14ac:dyDescent="0.3">
      <c r="E1300" s="41"/>
      <c r="F1300" s="41"/>
      <c r="G1300" s="41"/>
    </row>
    <row r="1301" spans="5:7" s="39" customFormat="1" x14ac:dyDescent="0.3">
      <c r="E1301" s="41"/>
      <c r="F1301" s="41"/>
      <c r="G1301" s="41"/>
    </row>
    <row r="1302" spans="5:7" s="39" customFormat="1" x14ac:dyDescent="0.3">
      <c r="E1302" s="41"/>
      <c r="F1302" s="41"/>
      <c r="G1302" s="41"/>
    </row>
    <row r="1303" spans="5:7" s="39" customFormat="1" x14ac:dyDescent="0.3">
      <c r="E1303" s="41"/>
      <c r="F1303" s="41"/>
      <c r="G1303" s="41"/>
    </row>
    <row r="1304" spans="5:7" s="39" customFormat="1" x14ac:dyDescent="0.3">
      <c r="E1304" s="41"/>
      <c r="F1304" s="41"/>
      <c r="G1304" s="41"/>
    </row>
    <row r="1305" spans="5:7" s="39" customFormat="1" x14ac:dyDescent="0.3">
      <c r="E1305" s="41"/>
      <c r="F1305" s="41"/>
      <c r="G1305" s="41"/>
    </row>
    <row r="1306" spans="5:7" s="39" customFormat="1" x14ac:dyDescent="0.3">
      <c r="E1306" s="41"/>
      <c r="F1306" s="41"/>
      <c r="G1306" s="41"/>
    </row>
    <row r="1307" spans="5:7" s="39" customFormat="1" x14ac:dyDescent="0.3">
      <c r="E1307" s="41"/>
      <c r="F1307" s="41"/>
      <c r="G1307" s="41"/>
    </row>
    <row r="1308" spans="5:7" s="39" customFormat="1" x14ac:dyDescent="0.3">
      <c r="E1308" s="41"/>
      <c r="F1308" s="41"/>
      <c r="G1308" s="41"/>
    </row>
    <row r="1309" spans="5:7" s="39" customFormat="1" x14ac:dyDescent="0.3">
      <c r="E1309" s="41"/>
      <c r="F1309" s="41"/>
      <c r="G1309" s="41"/>
    </row>
    <row r="1310" spans="5:7" s="39" customFormat="1" x14ac:dyDescent="0.3">
      <c r="E1310" s="41"/>
      <c r="F1310" s="41"/>
      <c r="G1310" s="41"/>
    </row>
    <row r="1311" spans="5:7" s="39" customFormat="1" x14ac:dyDescent="0.3">
      <c r="E1311" s="41"/>
      <c r="F1311" s="41"/>
      <c r="G1311" s="41"/>
    </row>
    <row r="1312" spans="5:7" s="39" customFormat="1" x14ac:dyDescent="0.3">
      <c r="E1312" s="41"/>
      <c r="F1312" s="41"/>
      <c r="G1312" s="41"/>
    </row>
    <row r="1313" spans="5:7" s="39" customFormat="1" x14ac:dyDescent="0.3">
      <c r="E1313" s="41"/>
      <c r="F1313" s="41"/>
      <c r="G1313" s="41"/>
    </row>
    <row r="1314" spans="5:7" s="39" customFormat="1" x14ac:dyDescent="0.3">
      <c r="E1314" s="41"/>
      <c r="F1314" s="41"/>
      <c r="G1314" s="41"/>
    </row>
    <row r="1315" spans="5:7" s="39" customFormat="1" x14ac:dyDescent="0.3">
      <c r="E1315" s="41"/>
      <c r="F1315" s="41"/>
      <c r="G1315" s="41"/>
    </row>
    <row r="1316" spans="5:7" s="39" customFormat="1" x14ac:dyDescent="0.3">
      <c r="E1316" s="41"/>
      <c r="F1316" s="41"/>
      <c r="G1316" s="41"/>
    </row>
    <row r="1317" spans="5:7" s="39" customFormat="1" x14ac:dyDescent="0.3">
      <c r="E1317" s="41"/>
      <c r="F1317" s="41"/>
      <c r="G1317" s="41"/>
    </row>
    <row r="1318" spans="5:7" s="39" customFormat="1" x14ac:dyDescent="0.3">
      <c r="E1318" s="41"/>
      <c r="F1318" s="41"/>
      <c r="G1318" s="41"/>
    </row>
    <row r="1319" spans="5:7" s="39" customFormat="1" x14ac:dyDescent="0.3">
      <c r="E1319" s="41"/>
      <c r="F1319" s="41"/>
      <c r="G1319" s="41"/>
    </row>
    <row r="1320" spans="5:7" s="39" customFormat="1" x14ac:dyDescent="0.3">
      <c r="E1320" s="41"/>
      <c r="F1320" s="41"/>
      <c r="G1320" s="41"/>
    </row>
    <row r="1321" spans="5:7" s="39" customFormat="1" x14ac:dyDescent="0.3">
      <c r="E1321" s="41"/>
      <c r="F1321" s="41"/>
      <c r="G1321" s="41"/>
    </row>
    <row r="1322" spans="5:7" s="39" customFormat="1" x14ac:dyDescent="0.3">
      <c r="E1322" s="41"/>
      <c r="F1322" s="41"/>
      <c r="G1322" s="41"/>
    </row>
    <row r="1323" spans="5:7" s="39" customFormat="1" x14ac:dyDescent="0.3">
      <c r="E1323" s="41"/>
      <c r="F1323" s="41"/>
      <c r="G1323" s="41"/>
    </row>
    <row r="1324" spans="5:7" s="39" customFormat="1" x14ac:dyDescent="0.3">
      <c r="E1324" s="41"/>
      <c r="F1324" s="41"/>
      <c r="G1324" s="41"/>
    </row>
    <row r="1325" spans="5:7" s="39" customFormat="1" x14ac:dyDescent="0.3">
      <c r="E1325" s="41"/>
      <c r="F1325" s="41"/>
      <c r="G1325" s="41"/>
    </row>
    <row r="1326" spans="5:7" s="39" customFormat="1" x14ac:dyDescent="0.3">
      <c r="E1326" s="41"/>
      <c r="F1326" s="41"/>
      <c r="G1326" s="41"/>
    </row>
    <row r="1327" spans="5:7" s="39" customFormat="1" x14ac:dyDescent="0.3">
      <c r="E1327" s="41"/>
      <c r="F1327" s="41"/>
      <c r="G1327" s="41"/>
    </row>
    <row r="1328" spans="5:7" s="39" customFormat="1" x14ac:dyDescent="0.3">
      <c r="E1328" s="41"/>
      <c r="F1328" s="41"/>
      <c r="G1328" s="41"/>
    </row>
    <row r="1329" spans="5:7" s="39" customFormat="1" x14ac:dyDescent="0.3">
      <c r="E1329" s="41"/>
      <c r="F1329" s="41"/>
      <c r="G1329" s="41"/>
    </row>
    <row r="1330" spans="5:7" s="39" customFormat="1" x14ac:dyDescent="0.3">
      <c r="E1330" s="41"/>
      <c r="F1330" s="41"/>
      <c r="G1330" s="41"/>
    </row>
    <row r="1331" spans="5:7" s="39" customFormat="1" x14ac:dyDescent="0.3">
      <c r="E1331" s="41"/>
      <c r="F1331" s="41"/>
      <c r="G1331" s="41"/>
    </row>
    <row r="1332" spans="5:7" s="39" customFormat="1" x14ac:dyDescent="0.3">
      <c r="E1332" s="41"/>
      <c r="F1332" s="41"/>
      <c r="G1332" s="41"/>
    </row>
    <row r="1333" spans="5:7" s="39" customFormat="1" x14ac:dyDescent="0.3">
      <c r="E1333" s="41"/>
      <c r="F1333" s="41"/>
      <c r="G1333" s="41"/>
    </row>
    <row r="1334" spans="5:7" s="39" customFormat="1" x14ac:dyDescent="0.3">
      <c r="E1334" s="41"/>
      <c r="F1334" s="41"/>
      <c r="G1334" s="41"/>
    </row>
    <row r="1335" spans="5:7" s="39" customFormat="1" x14ac:dyDescent="0.3">
      <c r="E1335" s="41"/>
      <c r="F1335" s="41"/>
      <c r="G1335" s="41"/>
    </row>
    <row r="1336" spans="5:7" s="39" customFormat="1" x14ac:dyDescent="0.3">
      <c r="E1336" s="41"/>
      <c r="F1336" s="41"/>
      <c r="G1336" s="41"/>
    </row>
    <row r="1337" spans="5:7" s="39" customFormat="1" x14ac:dyDescent="0.3">
      <c r="E1337" s="41"/>
      <c r="F1337" s="41"/>
      <c r="G1337" s="41"/>
    </row>
    <row r="1338" spans="5:7" s="39" customFormat="1" x14ac:dyDescent="0.3">
      <c r="E1338" s="41"/>
      <c r="F1338" s="41"/>
      <c r="G1338" s="41"/>
    </row>
    <row r="1339" spans="5:7" s="39" customFormat="1" x14ac:dyDescent="0.3">
      <c r="E1339" s="41"/>
      <c r="F1339" s="41"/>
      <c r="G1339" s="41"/>
    </row>
    <row r="1340" spans="5:7" s="39" customFormat="1" x14ac:dyDescent="0.3">
      <c r="E1340" s="41"/>
      <c r="F1340" s="41"/>
      <c r="G1340" s="41"/>
    </row>
    <row r="1341" spans="5:7" s="39" customFormat="1" x14ac:dyDescent="0.3">
      <c r="E1341" s="41"/>
      <c r="F1341" s="41"/>
      <c r="G1341" s="41"/>
    </row>
    <row r="1342" spans="5:7" s="39" customFormat="1" x14ac:dyDescent="0.3">
      <c r="E1342" s="41"/>
      <c r="F1342" s="41"/>
      <c r="G1342" s="41"/>
    </row>
    <row r="1343" spans="5:7" s="39" customFormat="1" x14ac:dyDescent="0.3">
      <c r="E1343" s="41"/>
      <c r="F1343" s="41"/>
      <c r="G1343" s="41"/>
    </row>
    <row r="1344" spans="5:7" s="39" customFormat="1" x14ac:dyDescent="0.3">
      <c r="E1344" s="41"/>
      <c r="F1344" s="41"/>
      <c r="G1344" s="41"/>
    </row>
    <row r="1345" spans="5:7" s="39" customFormat="1" x14ac:dyDescent="0.3">
      <c r="E1345" s="41"/>
      <c r="F1345" s="41"/>
      <c r="G1345" s="41"/>
    </row>
    <row r="1346" spans="5:7" s="39" customFormat="1" x14ac:dyDescent="0.3">
      <c r="E1346" s="41"/>
      <c r="F1346" s="41"/>
      <c r="G1346" s="41"/>
    </row>
    <row r="1347" spans="5:7" s="39" customFormat="1" x14ac:dyDescent="0.3">
      <c r="E1347" s="41"/>
      <c r="F1347" s="41"/>
      <c r="G1347" s="41"/>
    </row>
    <row r="1348" spans="5:7" s="39" customFormat="1" x14ac:dyDescent="0.3">
      <c r="E1348" s="41"/>
      <c r="F1348" s="41"/>
      <c r="G1348" s="41"/>
    </row>
    <row r="1349" spans="5:7" s="39" customFormat="1" x14ac:dyDescent="0.3">
      <c r="E1349" s="41"/>
      <c r="F1349" s="41"/>
      <c r="G1349" s="41"/>
    </row>
    <row r="1350" spans="5:7" s="39" customFormat="1" x14ac:dyDescent="0.3">
      <c r="E1350" s="41"/>
      <c r="F1350" s="41"/>
      <c r="G1350" s="41"/>
    </row>
    <row r="1351" spans="5:7" s="39" customFormat="1" x14ac:dyDescent="0.3">
      <c r="E1351" s="41"/>
      <c r="F1351" s="41"/>
      <c r="G1351" s="41"/>
    </row>
    <row r="1352" spans="5:7" s="39" customFormat="1" x14ac:dyDescent="0.3">
      <c r="E1352" s="41"/>
      <c r="F1352" s="41"/>
      <c r="G1352" s="41"/>
    </row>
    <row r="1353" spans="5:7" s="39" customFormat="1" x14ac:dyDescent="0.3">
      <c r="E1353" s="41"/>
      <c r="F1353" s="41"/>
      <c r="G1353" s="41"/>
    </row>
    <row r="1354" spans="5:7" s="39" customFormat="1" x14ac:dyDescent="0.3">
      <c r="E1354" s="41"/>
      <c r="F1354" s="41"/>
      <c r="G1354" s="41"/>
    </row>
    <row r="1355" spans="5:7" s="39" customFormat="1" x14ac:dyDescent="0.3">
      <c r="E1355" s="41"/>
      <c r="F1355" s="41"/>
      <c r="G1355" s="41"/>
    </row>
    <row r="1356" spans="5:7" s="39" customFormat="1" x14ac:dyDescent="0.3">
      <c r="E1356" s="41"/>
      <c r="F1356" s="41"/>
      <c r="G1356" s="41"/>
    </row>
    <row r="1357" spans="5:7" s="39" customFormat="1" x14ac:dyDescent="0.3">
      <c r="E1357" s="41"/>
      <c r="F1357" s="41"/>
      <c r="G1357" s="41"/>
    </row>
    <row r="1358" spans="5:7" s="39" customFormat="1" x14ac:dyDescent="0.3">
      <c r="E1358" s="41"/>
      <c r="F1358" s="41"/>
      <c r="G1358" s="41"/>
    </row>
    <row r="1359" spans="5:7" s="39" customFormat="1" x14ac:dyDescent="0.3">
      <c r="E1359" s="41"/>
      <c r="F1359" s="41"/>
      <c r="G1359" s="41"/>
    </row>
    <row r="1360" spans="5:7" s="39" customFormat="1" x14ac:dyDescent="0.3">
      <c r="E1360" s="41"/>
      <c r="F1360" s="41"/>
      <c r="G1360" s="41"/>
    </row>
    <row r="1361" spans="5:7" s="39" customFormat="1" x14ac:dyDescent="0.3">
      <c r="E1361" s="41"/>
      <c r="F1361" s="41"/>
      <c r="G1361" s="41"/>
    </row>
    <row r="1362" spans="5:7" s="39" customFormat="1" x14ac:dyDescent="0.3">
      <c r="E1362" s="41"/>
      <c r="F1362" s="41"/>
      <c r="G1362" s="41"/>
    </row>
    <row r="1363" spans="5:7" s="39" customFormat="1" x14ac:dyDescent="0.3">
      <c r="E1363" s="41"/>
      <c r="F1363" s="41"/>
      <c r="G1363" s="41"/>
    </row>
    <row r="1364" spans="5:7" s="39" customFormat="1" x14ac:dyDescent="0.3">
      <c r="E1364" s="41"/>
      <c r="F1364" s="41"/>
      <c r="G1364" s="41"/>
    </row>
    <row r="1365" spans="5:7" s="39" customFormat="1" x14ac:dyDescent="0.3">
      <c r="E1365" s="41"/>
      <c r="F1365" s="41"/>
      <c r="G1365" s="41"/>
    </row>
    <row r="1366" spans="5:7" s="39" customFormat="1" x14ac:dyDescent="0.3">
      <c r="E1366" s="41"/>
      <c r="F1366" s="41"/>
      <c r="G1366" s="41"/>
    </row>
    <row r="1367" spans="5:7" s="39" customFormat="1" x14ac:dyDescent="0.3">
      <c r="E1367" s="41"/>
      <c r="F1367" s="41"/>
      <c r="G1367" s="41"/>
    </row>
    <row r="1368" spans="5:7" s="39" customFormat="1" x14ac:dyDescent="0.3">
      <c r="E1368" s="41"/>
      <c r="F1368" s="41"/>
      <c r="G1368" s="41"/>
    </row>
    <row r="1369" spans="5:7" s="39" customFormat="1" x14ac:dyDescent="0.3">
      <c r="E1369" s="41"/>
      <c r="F1369" s="41"/>
      <c r="G1369" s="41"/>
    </row>
    <row r="1370" spans="5:7" s="39" customFormat="1" x14ac:dyDescent="0.3">
      <c r="E1370" s="41"/>
      <c r="F1370" s="41"/>
      <c r="G1370" s="41"/>
    </row>
    <row r="1371" spans="5:7" s="39" customFormat="1" x14ac:dyDescent="0.3">
      <c r="E1371" s="41"/>
      <c r="F1371" s="41"/>
      <c r="G1371" s="41"/>
    </row>
    <row r="1372" spans="5:7" s="39" customFormat="1" x14ac:dyDescent="0.3">
      <c r="E1372" s="41"/>
      <c r="F1372" s="41"/>
      <c r="G1372" s="41"/>
    </row>
    <row r="1373" spans="5:7" s="39" customFormat="1" x14ac:dyDescent="0.3">
      <c r="E1373" s="41"/>
      <c r="F1373" s="41"/>
      <c r="G1373" s="41"/>
    </row>
    <row r="1374" spans="5:7" s="39" customFormat="1" x14ac:dyDescent="0.3">
      <c r="E1374" s="41"/>
      <c r="F1374" s="41"/>
      <c r="G1374" s="41"/>
    </row>
    <row r="1375" spans="5:7" s="39" customFormat="1" x14ac:dyDescent="0.3">
      <c r="E1375" s="41"/>
      <c r="F1375" s="41"/>
      <c r="G1375" s="41"/>
    </row>
    <row r="1376" spans="5:7" s="39" customFormat="1" x14ac:dyDescent="0.3">
      <c r="E1376" s="41"/>
      <c r="F1376" s="41"/>
      <c r="G1376" s="41"/>
    </row>
    <row r="1377" spans="5:7" s="39" customFormat="1" x14ac:dyDescent="0.3">
      <c r="E1377" s="41"/>
      <c r="F1377" s="41"/>
      <c r="G1377" s="41"/>
    </row>
    <row r="1378" spans="5:7" s="39" customFormat="1" x14ac:dyDescent="0.3">
      <c r="E1378" s="41"/>
      <c r="F1378" s="41"/>
      <c r="G1378" s="41"/>
    </row>
    <row r="1379" spans="5:7" s="39" customFormat="1" x14ac:dyDescent="0.3">
      <c r="E1379" s="41"/>
      <c r="F1379" s="41"/>
      <c r="G1379" s="41"/>
    </row>
    <row r="1380" spans="5:7" s="39" customFormat="1" x14ac:dyDescent="0.3">
      <c r="E1380" s="41"/>
      <c r="F1380" s="41"/>
      <c r="G1380" s="41"/>
    </row>
    <row r="1381" spans="5:7" s="39" customFormat="1" x14ac:dyDescent="0.3">
      <c r="E1381" s="41"/>
      <c r="F1381" s="41"/>
      <c r="G1381" s="41"/>
    </row>
    <row r="1382" spans="5:7" s="39" customFormat="1" x14ac:dyDescent="0.3">
      <c r="E1382" s="41"/>
      <c r="F1382" s="41"/>
      <c r="G1382" s="41"/>
    </row>
    <row r="1383" spans="5:7" s="39" customFormat="1" x14ac:dyDescent="0.3">
      <c r="E1383" s="41"/>
      <c r="F1383" s="41"/>
      <c r="G1383" s="41"/>
    </row>
    <row r="1384" spans="5:7" s="39" customFormat="1" x14ac:dyDescent="0.3">
      <c r="E1384" s="41"/>
      <c r="F1384" s="41"/>
      <c r="G1384" s="41"/>
    </row>
    <row r="1385" spans="5:7" s="39" customFormat="1" x14ac:dyDescent="0.3">
      <c r="E1385" s="41"/>
      <c r="F1385" s="41"/>
      <c r="G1385" s="41"/>
    </row>
    <row r="1386" spans="5:7" s="39" customFormat="1" x14ac:dyDescent="0.3">
      <c r="E1386" s="41"/>
      <c r="F1386" s="41"/>
      <c r="G1386" s="41"/>
    </row>
    <row r="1387" spans="5:7" s="39" customFormat="1" x14ac:dyDescent="0.3">
      <c r="E1387" s="41"/>
      <c r="F1387" s="41"/>
      <c r="G1387" s="41"/>
    </row>
    <row r="1388" spans="5:7" s="39" customFormat="1" x14ac:dyDescent="0.3">
      <c r="E1388" s="41"/>
      <c r="F1388" s="41"/>
      <c r="G1388" s="41"/>
    </row>
    <row r="1389" spans="5:7" s="39" customFormat="1" x14ac:dyDescent="0.3">
      <c r="E1389" s="41"/>
      <c r="F1389" s="41"/>
      <c r="G1389" s="41"/>
    </row>
    <row r="1390" spans="5:7" s="39" customFormat="1" x14ac:dyDescent="0.3">
      <c r="E1390" s="41"/>
      <c r="F1390" s="41"/>
      <c r="G1390" s="41"/>
    </row>
    <row r="1391" spans="5:7" s="39" customFormat="1" x14ac:dyDescent="0.3">
      <c r="E1391" s="41"/>
      <c r="F1391" s="41"/>
      <c r="G1391" s="41"/>
    </row>
    <row r="1392" spans="5:7" s="39" customFormat="1" x14ac:dyDescent="0.3">
      <c r="E1392" s="41"/>
      <c r="F1392" s="41"/>
      <c r="G1392" s="41"/>
    </row>
    <row r="1393" spans="5:7" s="39" customFormat="1" x14ac:dyDescent="0.3">
      <c r="E1393" s="41"/>
      <c r="F1393" s="41"/>
      <c r="G1393" s="41"/>
    </row>
    <row r="1394" spans="5:7" s="39" customFormat="1" x14ac:dyDescent="0.3">
      <c r="E1394" s="41"/>
      <c r="F1394" s="41"/>
      <c r="G1394" s="41"/>
    </row>
    <row r="1395" spans="5:7" s="39" customFormat="1" x14ac:dyDescent="0.3">
      <c r="E1395" s="41"/>
      <c r="F1395" s="41"/>
      <c r="G1395" s="41"/>
    </row>
    <row r="1396" spans="5:7" s="39" customFormat="1" x14ac:dyDescent="0.3">
      <c r="E1396" s="41"/>
      <c r="F1396" s="41"/>
      <c r="G1396" s="41"/>
    </row>
    <row r="1397" spans="5:7" s="39" customFormat="1" x14ac:dyDescent="0.3">
      <c r="E1397" s="41"/>
      <c r="F1397" s="41"/>
      <c r="G1397" s="41"/>
    </row>
    <row r="1398" spans="5:7" s="39" customFormat="1" x14ac:dyDescent="0.3">
      <c r="E1398" s="41"/>
      <c r="F1398" s="41"/>
      <c r="G1398" s="41"/>
    </row>
    <row r="1399" spans="5:7" s="39" customFormat="1" x14ac:dyDescent="0.3">
      <c r="E1399" s="41"/>
      <c r="F1399" s="41"/>
      <c r="G1399" s="41"/>
    </row>
    <row r="1400" spans="5:7" s="39" customFormat="1" x14ac:dyDescent="0.3">
      <c r="E1400" s="41"/>
      <c r="F1400" s="41"/>
      <c r="G1400" s="41"/>
    </row>
    <row r="1401" spans="5:7" s="39" customFormat="1" x14ac:dyDescent="0.3">
      <c r="E1401" s="41"/>
      <c r="F1401" s="41"/>
      <c r="G1401" s="41"/>
    </row>
    <row r="1402" spans="5:7" s="39" customFormat="1" x14ac:dyDescent="0.3">
      <c r="E1402" s="41"/>
      <c r="F1402" s="41"/>
      <c r="G1402" s="41"/>
    </row>
    <row r="1403" spans="5:7" s="39" customFormat="1" x14ac:dyDescent="0.3">
      <c r="E1403" s="41"/>
      <c r="F1403" s="41"/>
      <c r="G1403" s="41"/>
    </row>
    <row r="1404" spans="5:7" s="39" customFormat="1" x14ac:dyDescent="0.3">
      <c r="E1404" s="41"/>
      <c r="F1404" s="41"/>
      <c r="G1404" s="41"/>
    </row>
    <row r="1405" spans="5:7" s="39" customFormat="1" x14ac:dyDescent="0.3">
      <c r="E1405" s="41"/>
      <c r="F1405" s="41"/>
      <c r="G1405" s="41"/>
    </row>
    <row r="1406" spans="5:7" s="39" customFormat="1" x14ac:dyDescent="0.3">
      <c r="E1406" s="41"/>
      <c r="F1406" s="41"/>
      <c r="G1406" s="41"/>
    </row>
    <row r="1407" spans="5:7" s="39" customFormat="1" x14ac:dyDescent="0.3">
      <c r="E1407" s="41"/>
      <c r="F1407" s="41"/>
      <c r="G1407" s="41"/>
    </row>
    <row r="1408" spans="5:7" s="39" customFormat="1" x14ac:dyDescent="0.3">
      <c r="E1408" s="41"/>
      <c r="F1408" s="41"/>
      <c r="G1408" s="41"/>
    </row>
    <row r="1409" spans="5:7" s="39" customFormat="1" x14ac:dyDescent="0.3">
      <c r="E1409" s="41"/>
      <c r="F1409" s="41"/>
      <c r="G1409" s="41"/>
    </row>
    <row r="1410" spans="5:7" s="39" customFormat="1" x14ac:dyDescent="0.3">
      <c r="E1410" s="41"/>
      <c r="F1410" s="41"/>
      <c r="G1410" s="41"/>
    </row>
    <row r="1411" spans="5:7" s="39" customFormat="1" x14ac:dyDescent="0.3">
      <c r="E1411" s="41"/>
      <c r="F1411" s="41"/>
      <c r="G1411" s="41"/>
    </row>
    <row r="1412" spans="5:7" s="39" customFormat="1" x14ac:dyDescent="0.3">
      <c r="E1412" s="41"/>
      <c r="F1412" s="41"/>
      <c r="G1412" s="41"/>
    </row>
    <row r="1413" spans="5:7" s="39" customFormat="1" x14ac:dyDescent="0.3">
      <c r="E1413" s="41"/>
      <c r="F1413" s="41"/>
      <c r="G1413" s="41"/>
    </row>
    <row r="1414" spans="5:7" s="39" customFormat="1" x14ac:dyDescent="0.3">
      <c r="E1414" s="41"/>
      <c r="F1414" s="41"/>
      <c r="G1414" s="41"/>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B96D-FDD9-4F7A-B0A8-8A0BC797B1DC}">
  <sheetPr codeName="Sheet11">
    <tabColor theme="0"/>
  </sheetPr>
  <dimension ref="A1:VR1446"/>
  <sheetViews>
    <sheetView showGridLines="0" tabSelected="1" zoomScaleNormal="100" workbookViewId="0">
      <selection activeCell="F72" sqref="F72"/>
    </sheetView>
  </sheetViews>
  <sheetFormatPr defaultColWidth="11.44140625" defaultRowHeight="14.4" x14ac:dyDescent="0.3"/>
  <cols>
    <col min="1" max="3" width="3.109375" customWidth="1"/>
    <col min="4" max="4" width="41" bestFit="1" customWidth="1"/>
    <col min="5" max="5" width="3.33203125" style="40" customWidth="1"/>
    <col min="6" max="6" width="21" style="40" customWidth="1"/>
    <col min="7" max="7" width="2.5546875" style="40" customWidth="1"/>
    <col min="8" max="8" width="21" style="40" customWidth="1"/>
    <col min="9" max="9" width="1.109375" style="40" customWidth="1"/>
    <col min="10" max="10" width="16.6640625" style="40" customWidth="1"/>
    <col min="11" max="12" width="3.109375" style="40" customWidth="1"/>
    <col min="13" max="13" width="3.109375" customWidth="1"/>
    <col min="14" max="14" width="49.44140625" style="39" customWidth="1"/>
    <col min="15" max="15" width="4" style="39" customWidth="1"/>
    <col min="16" max="16" width="47.5546875" style="39" customWidth="1"/>
    <col min="17" max="17" width="17" style="39" customWidth="1"/>
    <col min="18" max="35" width="27.6640625" style="39" customWidth="1"/>
    <col min="36" max="36" width="3.109375" style="39" customWidth="1"/>
    <col min="37" max="37" width="30" style="39" customWidth="1"/>
    <col min="38" max="590" width="11.44140625" style="39"/>
  </cols>
  <sheetData>
    <row r="1" spans="3:590" x14ac:dyDescent="0.3">
      <c r="E1" s="48"/>
      <c r="F1" s="48"/>
      <c r="G1" s="48"/>
      <c r="H1" s="48"/>
      <c r="I1" s="48"/>
      <c r="J1" s="48"/>
      <c r="K1" s="48"/>
      <c r="L1" s="48"/>
    </row>
    <row r="2" spans="3:590" s="102" customFormat="1" ht="24.6" customHeight="1" x14ac:dyDescent="0.3">
      <c r="C2" s="103" t="s">
        <v>8</v>
      </c>
      <c r="E2" s="104"/>
      <c r="F2" s="104"/>
      <c r="G2" s="104"/>
      <c r="H2" s="104"/>
      <c r="I2" s="104"/>
      <c r="J2" s="208" t="str">
        <f>'Guide d''utilisation'!D22</f>
        <v>Version no1 2025-08</v>
      </c>
      <c r="K2" s="104"/>
      <c r="L2" s="104"/>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c r="NY2" s="105"/>
      <c r="NZ2" s="105"/>
      <c r="OA2" s="105"/>
      <c r="OB2" s="105"/>
      <c r="OC2" s="105"/>
      <c r="OD2" s="105"/>
      <c r="OE2" s="105"/>
      <c r="OF2" s="105"/>
      <c r="OG2" s="105"/>
      <c r="OH2" s="105"/>
      <c r="OI2" s="105"/>
      <c r="OJ2" s="105"/>
      <c r="OK2" s="105"/>
      <c r="OL2" s="105"/>
      <c r="OM2" s="105"/>
      <c r="ON2" s="105"/>
      <c r="OO2" s="105"/>
      <c r="OP2" s="105"/>
      <c r="OQ2" s="105"/>
      <c r="OR2" s="105"/>
      <c r="OS2" s="105"/>
      <c r="OT2" s="105"/>
      <c r="OU2" s="105"/>
      <c r="OV2" s="105"/>
      <c r="OW2" s="105"/>
      <c r="OX2" s="105"/>
      <c r="OY2" s="105"/>
      <c r="OZ2" s="105"/>
      <c r="PA2" s="105"/>
      <c r="PB2" s="105"/>
      <c r="PC2" s="105"/>
      <c r="PD2" s="105"/>
      <c r="PE2" s="105"/>
      <c r="PF2" s="105"/>
      <c r="PG2" s="105"/>
      <c r="PH2" s="105"/>
      <c r="PI2" s="105"/>
      <c r="PJ2" s="105"/>
      <c r="PK2" s="105"/>
      <c r="PL2" s="105"/>
      <c r="PM2" s="105"/>
      <c r="PN2" s="105"/>
      <c r="PO2" s="105"/>
      <c r="PP2" s="105"/>
      <c r="PQ2" s="105"/>
      <c r="PR2" s="105"/>
      <c r="PS2" s="105"/>
      <c r="PT2" s="105"/>
      <c r="PU2" s="105"/>
      <c r="PV2" s="105"/>
      <c r="PW2" s="105"/>
      <c r="PX2" s="105"/>
      <c r="PY2" s="105"/>
      <c r="PZ2" s="105"/>
      <c r="QA2" s="105"/>
      <c r="QB2" s="105"/>
      <c r="QC2" s="105"/>
      <c r="QD2" s="105"/>
      <c r="QE2" s="105"/>
      <c r="QF2" s="105"/>
      <c r="QG2" s="105"/>
      <c r="QH2" s="105"/>
      <c r="QI2" s="105"/>
      <c r="QJ2" s="105"/>
      <c r="QK2" s="105"/>
      <c r="QL2" s="105"/>
      <c r="QM2" s="105"/>
      <c r="QN2" s="105"/>
      <c r="QO2" s="105"/>
      <c r="QP2" s="105"/>
      <c r="QQ2" s="105"/>
      <c r="QR2" s="105"/>
      <c r="QS2" s="105"/>
      <c r="QT2" s="105"/>
      <c r="QU2" s="105"/>
      <c r="QV2" s="105"/>
      <c r="QW2" s="105"/>
      <c r="QX2" s="105"/>
      <c r="QY2" s="105"/>
      <c r="QZ2" s="105"/>
      <c r="RA2" s="105"/>
      <c r="RB2" s="105"/>
      <c r="RC2" s="105"/>
      <c r="RD2" s="105"/>
      <c r="RE2" s="105"/>
      <c r="RF2" s="105"/>
      <c r="RG2" s="105"/>
      <c r="RH2" s="105"/>
      <c r="RI2" s="105"/>
      <c r="RJ2" s="105"/>
      <c r="RK2" s="105"/>
      <c r="RL2" s="105"/>
      <c r="RM2" s="105"/>
      <c r="RN2" s="105"/>
      <c r="RO2" s="105"/>
      <c r="RP2" s="105"/>
      <c r="RQ2" s="105"/>
      <c r="RR2" s="105"/>
      <c r="RS2" s="105"/>
      <c r="RT2" s="105"/>
      <c r="RU2" s="105"/>
      <c r="RV2" s="105"/>
      <c r="RW2" s="105"/>
      <c r="RX2" s="105"/>
      <c r="RY2" s="105"/>
      <c r="RZ2" s="105"/>
      <c r="SA2" s="105"/>
      <c r="SB2" s="105"/>
      <c r="SC2" s="105"/>
      <c r="SD2" s="105"/>
      <c r="SE2" s="105"/>
      <c r="SF2" s="105"/>
      <c r="SG2" s="105"/>
      <c r="SH2" s="105"/>
      <c r="SI2" s="105"/>
      <c r="SJ2" s="105"/>
      <c r="SK2" s="105"/>
      <c r="SL2" s="105"/>
      <c r="SM2" s="105"/>
      <c r="SN2" s="105"/>
      <c r="SO2" s="105"/>
      <c r="SP2" s="105"/>
      <c r="SQ2" s="105"/>
      <c r="SR2" s="105"/>
      <c r="SS2" s="105"/>
      <c r="ST2" s="105"/>
      <c r="SU2" s="105"/>
      <c r="SV2" s="105"/>
      <c r="SW2" s="105"/>
      <c r="SX2" s="105"/>
      <c r="SY2" s="105"/>
      <c r="SZ2" s="105"/>
      <c r="TA2" s="105"/>
      <c r="TB2" s="105"/>
      <c r="TC2" s="105"/>
      <c r="TD2" s="105"/>
      <c r="TE2" s="105"/>
      <c r="TF2" s="105"/>
      <c r="TG2" s="105"/>
      <c r="TH2" s="105"/>
      <c r="TI2" s="105"/>
      <c r="TJ2" s="105"/>
      <c r="TK2" s="105"/>
      <c r="TL2" s="105"/>
      <c r="TM2" s="105"/>
      <c r="TN2" s="105"/>
      <c r="TO2" s="105"/>
      <c r="TP2" s="105"/>
      <c r="TQ2" s="105"/>
      <c r="TR2" s="105"/>
      <c r="TS2" s="105"/>
      <c r="TT2" s="105"/>
      <c r="TU2" s="105"/>
      <c r="TV2" s="105"/>
      <c r="TW2" s="105"/>
      <c r="TX2" s="105"/>
      <c r="TY2" s="105"/>
      <c r="TZ2" s="105"/>
      <c r="UA2" s="105"/>
      <c r="UB2" s="105"/>
      <c r="UC2" s="105"/>
      <c r="UD2" s="105"/>
      <c r="UE2" s="105"/>
      <c r="UF2" s="105"/>
      <c r="UG2" s="105"/>
      <c r="UH2" s="105"/>
      <c r="UI2" s="105"/>
      <c r="UJ2" s="105"/>
      <c r="UK2" s="105"/>
      <c r="UL2" s="105"/>
      <c r="UM2" s="105"/>
      <c r="UN2" s="105"/>
      <c r="UO2" s="105"/>
      <c r="UP2" s="105"/>
      <c r="UQ2" s="105"/>
      <c r="UR2" s="105"/>
      <c r="US2" s="105"/>
      <c r="UT2" s="105"/>
      <c r="UU2" s="105"/>
      <c r="UV2" s="105"/>
      <c r="UW2" s="105"/>
      <c r="UX2" s="105"/>
      <c r="UY2" s="105"/>
      <c r="UZ2" s="105"/>
      <c r="VA2" s="105"/>
      <c r="VB2" s="105"/>
      <c r="VC2" s="105"/>
      <c r="VD2" s="105"/>
      <c r="VE2" s="105"/>
      <c r="VF2" s="105"/>
      <c r="VG2" s="105"/>
      <c r="VH2" s="105"/>
      <c r="VI2" s="105"/>
      <c r="VJ2" s="105"/>
      <c r="VK2" s="105"/>
      <c r="VL2" s="105"/>
      <c r="VM2" s="105"/>
      <c r="VN2" s="105"/>
      <c r="VO2" s="105"/>
      <c r="VP2" s="105"/>
      <c r="VQ2" s="105"/>
      <c r="VR2" s="105"/>
    </row>
    <row r="3" spans="3:590" ht="15" thickBot="1" x14ac:dyDescent="0.35">
      <c r="D3" s="49"/>
      <c r="E3" s="48"/>
      <c r="F3" s="48"/>
      <c r="G3" s="48"/>
      <c r="H3" s="48"/>
      <c r="I3" s="48"/>
      <c r="J3" s="48"/>
      <c r="K3" s="48"/>
      <c r="L3" s="48"/>
    </row>
    <row r="4" spans="3:590" ht="15" thickBot="1" x14ac:dyDescent="0.35">
      <c r="D4" s="206" t="s">
        <v>9</v>
      </c>
      <c r="E4" s="44"/>
      <c r="F4" s="130">
        <v>800</v>
      </c>
      <c r="G4" s="47" t="s">
        <v>10</v>
      </c>
      <c r="H4" s="131">
        <v>0</v>
      </c>
      <c r="I4" s="220" t="s">
        <v>11</v>
      </c>
      <c r="J4" s="220"/>
      <c r="K4" s="48"/>
      <c r="L4" s="48"/>
    </row>
    <row r="5" spans="3:590" ht="8.4" customHeight="1" x14ac:dyDescent="0.3"/>
    <row r="6" spans="3:590" ht="7.5" customHeight="1" thickBot="1" x14ac:dyDescent="0.35"/>
    <row r="7" spans="3:590" x14ac:dyDescent="0.3">
      <c r="D7" s="106" t="s">
        <v>12</v>
      </c>
      <c r="E7" s="107"/>
      <c r="F7" s="108" t="s">
        <v>13</v>
      </c>
      <c r="G7" s="108"/>
      <c r="H7" s="108" t="s">
        <v>14</v>
      </c>
      <c r="I7" s="108"/>
      <c r="J7" s="109" t="s">
        <v>15</v>
      </c>
    </row>
    <row r="8" spans="3:590" ht="7.5" customHeight="1" thickBot="1" x14ac:dyDescent="0.35">
      <c r="D8" s="110"/>
      <c r="E8" s="45"/>
      <c r="F8" s="45"/>
      <c r="G8" s="45"/>
      <c r="H8" s="45"/>
      <c r="I8" s="45"/>
      <c r="J8" s="111"/>
    </row>
    <row r="9" spans="3:590" ht="15" thickBot="1" x14ac:dyDescent="0.35">
      <c r="D9" s="112" t="s">
        <v>16</v>
      </c>
      <c r="E9" s="43"/>
      <c r="F9" s="57" t="s">
        <v>17</v>
      </c>
      <c r="G9" s="55"/>
      <c r="H9" s="57" t="s">
        <v>18</v>
      </c>
      <c r="I9" s="55"/>
      <c r="J9" s="113"/>
    </row>
    <row r="10" spans="3:590" ht="7.5" customHeight="1" thickBot="1" x14ac:dyDescent="0.35">
      <c r="D10" s="114"/>
      <c r="E10" s="43"/>
      <c r="F10" s="115"/>
      <c r="G10" s="44"/>
      <c r="H10" s="115"/>
      <c r="I10" s="44"/>
      <c r="J10" s="113"/>
    </row>
    <row r="11" spans="3:590" ht="15" customHeight="1" thickBot="1" x14ac:dyDescent="0.35">
      <c r="D11" s="112" t="s">
        <v>19</v>
      </c>
      <c r="E11" s="44"/>
      <c r="F11" s="76">
        <v>2</v>
      </c>
      <c r="G11" s="47"/>
      <c r="H11" s="76">
        <v>2</v>
      </c>
      <c r="I11" s="47"/>
      <c r="J11" s="116"/>
    </row>
    <row r="12" spans="3:590" ht="7.5" customHeight="1" thickBot="1" x14ac:dyDescent="0.35">
      <c r="D12" s="114"/>
      <c r="E12" s="43"/>
      <c r="F12" s="77"/>
      <c r="G12" s="47"/>
      <c r="H12" s="77"/>
      <c r="I12" s="47"/>
      <c r="J12" s="113"/>
    </row>
    <row r="13" spans="3:590" ht="15" thickBot="1" x14ac:dyDescent="0.35">
      <c r="D13" s="112" t="s">
        <v>20</v>
      </c>
      <c r="E13" s="43"/>
      <c r="F13" s="78">
        <v>200000</v>
      </c>
      <c r="G13" s="47"/>
      <c r="H13" s="78">
        <v>200000</v>
      </c>
      <c r="I13" s="47"/>
      <c r="J13" s="116" t="s">
        <v>21</v>
      </c>
    </row>
    <row r="14" spans="3:590" ht="7.5" customHeight="1" thickBot="1" x14ac:dyDescent="0.35">
      <c r="D14" s="117"/>
      <c r="E14" s="118"/>
      <c r="F14" s="119"/>
      <c r="G14" s="119"/>
      <c r="H14" s="119"/>
      <c r="I14" s="119"/>
      <c r="J14" s="120"/>
    </row>
    <row r="16" spans="3:590" ht="27" customHeight="1" x14ac:dyDescent="0.3">
      <c r="D16" s="221" t="s">
        <v>22</v>
      </c>
      <c r="E16" s="221"/>
      <c r="F16" s="221"/>
      <c r="G16" s="221"/>
      <c r="H16" s="221"/>
      <c r="I16" s="221"/>
      <c r="J16" s="221"/>
    </row>
    <row r="17" spans="1:13" ht="15" thickBot="1" x14ac:dyDescent="0.35"/>
    <row r="18" spans="1:13" ht="15" customHeight="1" x14ac:dyDescent="0.3">
      <c r="D18" s="121" t="s">
        <v>23</v>
      </c>
      <c r="E18" s="122"/>
      <c r="F18" s="108" t="s">
        <v>13</v>
      </c>
      <c r="G18" s="108"/>
      <c r="H18" s="108" t="s">
        <v>14</v>
      </c>
      <c r="I18" s="108"/>
      <c r="J18" s="109" t="s">
        <v>15</v>
      </c>
    </row>
    <row r="19" spans="1:13" ht="6.6" customHeight="1" thickBot="1" x14ac:dyDescent="0.35">
      <c r="D19" s="110"/>
      <c r="E19" s="45"/>
      <c r="F19" s="45"/>
      <c r="G19" s="45"/>
      <c r="H19" s="45"/>
      <c r="I19" s="45"/>
      <c r="J19" s="111"/>
    </row>
    <row r="20" spans="1:13" ht="16.2" customHeight="1" thickBot="1" x14ac:dyDescent="0.35">
      <c r="D20" s="112" t="s">
        <v>24</v>
      </c>
      <c r="E20" s="44"/>
      <c r="F20" s="46" t="s">
        <v>25</v>
      </c>
      <c r="G20" s="47"/>
      <c r="H20" s="46" t="s">
        <v>25</v>
      </c>
      <c r="I20" s="43"/>
      <c r="J20" s="113"/>
    </row>
    <row r="21" spans="1:13" ht="6.6" customHeight="1" thickBot="1" x14ac:dyDescent="0.35">
      <c r="D21" s="213"/>
      <c r="E21" s="43"/>
      <c r="F21" s="43"/>
      <c r="G21" s="43"/>
      <c r="H21" s="43"/>
      <c r="I21" s="43"/>
      <c r="J21" s="113"/>
    </row>
    <row r="22" spans="1:13" ht="16.2" customHeight="1" thickBot="1" x14ac:dyDescent="0.35">
      <c r="B22" s="34"/>
      <c r="C22" s="34"/>
      <c r="D22" s="112" t="s">
        <v>26</v>
      </c>
      <c r="E22" s="44"/>
      <c r="F22" s="46" t="s">
        <v>25</v>
      </c>
      <c r="G22" s="47"/>
      <c r="H22" s="46" t="s">
        <v>25</v>
      </c>
      <c r="I22" s="47"/>
      <c r="J22" s="116"/>
    </row>
    <row r="23" spans="1:13" ht="6" customHeight="1" thickBot="1" x14ac:dyDescent="0.35">
      <c r="B23" s="34"/>
      <c r="C23" s="34"/>
      <c r="D23" s="123"/>
      <c r="E23" s="44"/>
      <c r="F23" s="44"/>
      <c r="G23" s="44"/>
      <c r="H23" s="44"/>
      <c r="I23" s="44"/>
      <c r="J23" s="124"/>
    </row>
    <row r="24" spans="1:13" s="39" customFormat="1" ht="15" thickBot="1" x14ac:dyDescent="0.35">
      <c r="A24" s="34"/>
      <c r="B24" s="34"/>
      <c r="C24" s="34"/>
      <c r="D24" s="125" t="s">
        <v>27</v>
      </c>
      <c r="E24" s="44"/>
      <c r="F24" s="95"/>
      <c r="G24" s="47"/>
      <c r="H24" s="95"/>
      <c r="I24" s="47"/>
      <c r="J24" s="207" t="s">
        <v>28</v>
      </c>
      <c r="K24" s="34"/>
      <c r="L24" s="34"/>
      <c r="M24"/>
    </row>
    <row r="25" spans="1:13" s="39" customFormat="1" ht="7.5" customHeight="1" thickBot="1" x14ac:dyDescent="0.35">
      <c r="A25" s="34"/>
      <c r="B25" s="34"/>
      <c r="C25" s="34"/>
      <c r="D25" s="123"/>
      <c r="E25" s="44"/>
      <c r="F25" s="44"/>
      <c r="G25" s="44"/>
      <c r="H25" s="44"/>
      <c r="I25" s="44"/>
      <c r="J25" s="124"/>
      <c r="K25" s="34"/>
      <c r="L25" s="34"/>
      <c r="M25"/>
    </row>
    <row r="26" spans="1:13" s="39" customFormat="1" ht="15" thickBot="1" x14ac:dyDescent="0.35">
      <c r="A26" s="34"/>
      <c r="B26" s="34"/>
      <c r="C26" s="34"/>
      <c r="D26" s="112" t="s">
        <v>29</v>
      </c>
      <c r="E26" s="44"/>
      <c r="F26" s="95">
        <f>IF(OR(F9="&lt; sélectionner &gt;",F9="",F13="",F11="",D4="",F4=""),"",1500)</f>
        <v>1500</v>
      </c>
      <c r="G26" s="47"/>
      <c r="H26" s="95">
        <f>IF(OR(H9="&lt; sélectionner &gt;",H9="",H13="",H11="",F4="",H4=""),"",1500)</f>
        <v>1500</v>
      </c>
      <c r="I26" s="47"/>
      <c r="J26" s="116" t="s">
        <v>30</v>
      </c>
      <c r="K26" s="34"/>
      <c r="L26" s="34"/>
      <c r="M26"/>
    </row>
    <row r="27" spans="1:13" s="39" customFormat="1" ht="7.5" customHeight="1" thickBot="1" x14ac:dyDescent="0.35">
      <c r="A27" s="34"/>
      <c r="B27" s="34"/>
      <c r="C27" s="34"/>
      <c r="D27" s="123"/>
      <c r="E27" s="44"/>
      <c r="F27" s="44"/>
      <c r="G27" s="44"/>
      <c r="H27" s="44"/>
      <c r="I27" s="44"/>
      <c r="J27" s="124"/>
      <c r="K27" s="34"/>
      <c r="L27" s="34"/>
      <c r="M27"/>
    </row>
    <row r="28" spans="1:13" s="39" customFormat="1" ht="15" thickBot="1" x14ac:dyDescent="0.35">
      <c r="A28" s="34"/>
      <c r="B28" s="34"/>
      <c r="C28" s="34"/>
      <c r="D28" s="125" t="s">
        <v>31</v>
      </c>
      <c r="E28" s="44"/>
      <c r="F28" s="96">
        <f>IF(OR(F9="&lt; sélectionner &gt;",F9="",F13="",F11="",F4="",H4=""),"",'Prix GN'!C2/100)</f>
        <v>0.17807999999999999</v>
      </c>
      <c r="G28" s="47"/>
      <c r="H28" s="96">
        <f>IF(OR(H9="&lt; sélectionner &gt;",H9="",H13="",H11="",F4="",H4=""),"",'Prix GN'!C2/100)</f>
        <v>0.17807999999999999</v>
      </c>
      <c r="I28" s="47"/>
      <c r="J28" s="207" t="s">
        <v>32</v>
      </c>
      <c r="K28" s="34"/>
      <c r="L28" s="34"/>
      <c r="M28"/>
    </row>
    <row r="29" spans="1:13" s="39" customFormat="1" ht="7.5" customHeight="1" thickBot="1" x14ac:dyDescent="0.35">
      <c r="A29" s="34"/>
      <c r="B29" s="34"/>
      <c r="C29" s="34"/>
      <c r="D29" s="112"/>
      <c r="E29" s="44"/>
      <c r="F29" s="47"/>
      <c r="G29" s="47"/>
      <c r="H29" s="47"/>
      <c r="I29" s="47"/>
      <c r="J29" s="124"/>
      <c r="K29" s="34"/>
      <c r="L29" s="34"/>
      <c r="M29"/>
    </row>
    <row r="30" spans="1:13" s="39" customFormat="1" ht="15" thickBot="1" x14ac:dyDescent="0.35">
      <c r="A30" s="34"/>
      <c r="B30"/>
      <c r="C30"/>
      <c r="D30" s="112" t="s">
        <v>33</v>
      </c>
      <c r="E30" s="44"/>
      <c r="F30" s="46">
        <v>82</v>
      </c>
      <c r="G30" s="47"/>
      <c r="H30" s="46">
        <v>82</v>
      </c>
      <c r="I30" s="47"/>
      <c r="J30" s="116" t="s">
        <v>34</v>
      </c>
      <c r="K30" s="34"/>
      <c r="L30" s="34"/>
      <c r="M30"/>
    </row>
    <row r="31" spans="1:13" s="39" customFormat="1" ht="7.5" customHeight="1" thickBot="1" x14ac:dyDescent="0.35">
      <c r="A31" s="34"/>
      <c r="B31"/>
      <c r="C31"/>
      <c r="D31" s="126"/>
      <c r="E31" s="44"/>
      <c r="F31" s="44"/>
      <c r="G31" s="44"/>
      <c r="H31" s="44"/>
      <c r="I31" s="44"/>
      <c r="J31" s="124"/>
      <c r="K31" s="34"/>
      <c r="L31" s="34"/>
      <c r="M31"/>
    </row>
    <row r="32" spans="1:13" s="39" customFormat="1" ht="15" thickBot="1" x14ac:dyDescent="0.35">
      <c r="A32" s="34"/>
      <c r="B32"/>
      <c r="C32"/>
      <c r="D32" s="112" t="s">
        <v>35</v>
      </c>
      <c r="E32" s="44"/>
      <c r="F32" s="95">
        <f>IF(OR(F9="&lt; sélectionner &gt;",F9="",F13="",F11="",F4="",H4=""),"",F11*(3*10^-8*F13^2 - 0.0001*F13 + 1533.4 + IF(F9="Infrarouge",IF(Calculateur!F13&lt;100000,790,740),0)))</f>
        <v>5426.8000000000011</v>
      </c>
      <c r="G32" s="47"/>
      <c r="H32" s="95">
        <f>IF(OR(H9="&lt; sélectionner &gt;",H9="",H13="",H11="",F4="",H4=""),"",H11*(3*10^-8*H13^2 - 0.0001*H13 + 1533.4 + IF(H9="Infrarouge",IF(Calculateur!H13&lt;100000,790,740),0)))</f>
        <v>6906.8000000000011</v>
      </c>
      <c r="I32" s="47"/>
      <c r="J32" s="116" t="s">
        <v>36</v>
      </c>
      <c r="K32" s="34"/>
      <c r="L32" s="34"/>
      <c r="M32"/>
    </row>
    <row r="33" spans="1:17" s="39" customFormat="1" ht="7.5" customHeight="1" thickBot="1" x14ac:dyDescent="0.35">
      <c r="A33" s="34"/>
      <c r="B33"/>
      <c r="C33"/>
      <c r="D33" s="126"/>
      <c r="E33" s="44"/>
      <c r="F33" s="44"/>
      <c r="G33" s="44"/>
      <c r="H33" s="44"/>
      <c r="I33" s="44"/>
      <c r="J33" s="124"/>
      <c r="K33" s="34"/>
      <c r="L33" s="34"/>
      <c r="M33"/>
      <c r="O33" s="41"/>
      <c r="Q33" s="41"/>
    </row>
    <row r="34" spans="1:17" s="39" customFormat="1" ht="15" thickBot="1" x14ac:dyDescent="0.35">
      <c r="A34" s="34"/>
      <c r="B34"/>
      <c r="C34"/>
      <c r="D34" s="112" t="s">
        <v>37</v>
      </c>
      <c r="E34" s="44"/>
      <c r="F34" s="95">
        <f>IF(OR(F9="&lt; sélectionner &gt;",F9="",F13="",F11="",F4="",H4=""),"",IF(F9="Standard",1200,1800))</f>
        <v>1200</v>
      </c>
      <c r="G34" s="47"/>
      <c r="H34" s="95">
        <f>IF(OR(H9="&lt; sélectionner &gt;",H9="",H13="",H11="",F4="",H4=""),"",IF(H9="Standard",1200,1800))</f>
        <v>1800</v>
      </c>
      <c r="I34" s="47"/>
      <c r="J34" s="116" t="s">
        <v>36</v>
      </c>
      <c r="K34" s="34"/>
      <c r="L34" s="34"/>
      <c r="M34"/>
    </row>
    <row r="35" spans="1:17" s="39" customFormat="1" ht="7.5" customHeight="1" thickBot="1" x14ac:dyDescent="0.35">
      <c r="A35" s="34"/>
      <c r="B35"/>
      <c r="C35"/>
      <c r="D35" s="127"/>
      <c r="E35" s="118"/>
      <c r="F35" s="118"/>
      <c r="G35" s="118"/>
      <c r="H35" s="118"/>
      <c r="I35" s="118"/>
      <c r="J35" s="120"/>
      <c r="K35" s="34"/>
      <c r="L35" s="34"/>
      <c r="M35"/>
    </row>
    <row r="36" spans="1:17" s="39" customFormat="1" ht="15" thickBot="1" x14ac:dyDescent="0.35">
      <c r="A36" s="34"/>
      <c r="B36"/>
      <c r="C36"/>
      <c r="D36" s="34"/>
      <c r="E36" s="34"/>
      <c r="F36" s="34"/>
      <c r="G36" s="34"/>
      <c r="H36" s="34"/>
      <c r="I36" s="34"/>
      <c r="J36" s="34"/>
      <c r="K36" s="34"/>
      <c r="L36" s="34"/>
      <c r="M36"/>
    </row>
    <row r="37" spans="1:17" s="39" customFormat="1" ht="15" customHeight="1" x14ac:dyDescent="0.3">
      <c r="A37" s="34"/>
      <c r="B37"/>
      <c r="C37"/>
      <c r="D37" s="121" t="s">
        <v>38</v>
      </c>
      <c r="E37" s="122"/>
      <c r="F37" s="108" t="s">
        <v>13</v>
      </c>
      <c r="G37" s="108"/>
      <c r="H37" s="108" t="s">
        <v>14</v>
      </c>
      <c r="I37" s="108"/>
      <c r="J37" s="109" t="s">
        <v>15</v>
      </c>
      <c r="K37" s="34"/>
      <c r="L37" s="34"/>
      <c r="M37"/>
    </row>
    <row r="38" spans="1:17" s="39" customFormat="1" ht="6" customHeight="1" thickBot="1" x14ac:dyDescent="0.35">
      <c r="A38" s="34"/>
      <c r="B38"/>
      <c r="C38"/>
      <c r="D38" s="110"/>
      <c r="E38" s="45"/>
      <c r="F38" s="45"/>
      <c r="G38" s="45"/>
      <c r="H38" s="45"/>
      <c r="I38" s="45"/>
      <c r="J38" s="111"/>
      <c r="K38" s="34"/>
      <c r="L38" s="34"/>
      <c r="M38"/>
    </row>
    <row r="39" spans="1:17" s="39" customFormat="1" ht="15" customHeight="1" thickBot="1" x14ac:dyDescent="0.35">
      <c r="A39" s="34"/>
      <c r="B39"/>
      <c r="C39"/>
      <c r="D39" s="112" t="s">
        <v>39</v>
      </c>
      <c r="E39" s="44"/>
      <c r="F39" s="57" t="str">
        <f>IF(OR(F9="&lt; sélectionner &gt;",F9="",F13="",F11="",F4="",H4=""),"",'Outil V3'!I5)</f>
        <v>N/A</v>
      </c>
      <c r="G39" s="74"/>
      <c r="H39" s="57" t="str">
        <f>IF(OR(H9="&lt; sélectionner &gt;",H9="",H13="",H11="",F4="",H4=""),"",'Outil V3'!I20)</f>
        <v>N/A</v>
      </c>
      <c r="I39" s="74"/>
      <c r="J39" s="116"/>
      <c r="K39" s="34"/>
      <c r="L39" s="34"/>
      <c r="M39"/>
    </row>
    <row r="40" spans="1:17" ht="7.2" customHeight="1" thickBot="1" x14ac:dyDescent="0.35">
      <c r="D40" s="123"/>
      <c r="E40" s="44"/>
      <c r="F40" s="115"/>
      <c r="G40" s="115"/>
      <c r="H40" s="115"/>
      <c r="I40" s="44"/>
      <c r="J40" s="124"/>
    </row>
    <row r="41" spans="1:17" ht="15" customHeight="1" thickBot="1" x14ac:dyDescent="0.35">
      <c r="D41" s="112" t="s">
        <v>40</v>
      </c>
      <c r="E41" s="44"/>
      <c r="F41" s="78">
        <f>IF(OR(F9="&lt; sélectionner &gt;",F9="",F13="",F11="",F4="",H4="",J28="&lt; sélectionner &gt;"),"",'Outil V3'!I6 + F34)</f>
        <v>6626.8000000000011</v>
      </c>
      <c r="G41" s="79"/>
      <c r="H41" s="78">
        <f>IF(OR(H9="&lt; sélectionner &gt;",H9="",H13="",H11="",F4="",H4="",J28="&lt; sélectionner &gt;"),"",'Outil V3'!I21 + H34)</f>
        <v>8706.8000000000011</v>
      </c>
      <c r="I41" s="75"/>
      <c r="J41" s="116" t="s">
        <v>36</v>
      </c>
    </row>
    <row r="42" spans="1:17" ht="7.5" customHeight="1" thickBot="1" x14ac:dyDescent="0.35">
      <c r="D42" s="112"/>
      <c r="E42" s="44"/>
      <c r="F42" s="79"/>
      <c r="G42" s="79"/>
      <c r="H42" s="79"/>
      <c r="I42" s="47"/>
      <c r="J42" s="124"/>
    </row>
    <row r="43" spans="1:17" ht="16.2" thickBot="1" x14ac:dyDescent="0.35">
      <c r="D43" s="112" t="s">
        <v>41</v>
      </c>
      <c r="E43" s="44"/>
      <c r="F43" s="78">
        <f>IF(OR(F9="&lt; sélectionner &gt;",F9="",F13="",F11="",F4="",H4="",J28="&lt; sélectionner &gt;"),"",'Outil V3'!I8)</f>
        <v>20374.441485622774</v>
      </c>
      <c r="G43" s="79"/>
      <c r="H43" s="78">
        <f>IF(OR(F9="&lt; sélectionner &gt;",F9="",F13="",F11="",F4="",H4="",J28="&lt; sélectionner &gt;"),"",'Outil V3'!I23)</f>
        <v>17318.27526277936</v>
      </c>
      <c r="I43" s="75"/>
      <c r="J43" s="116" t="s">
        <v>42</v>
      </c>
      <c r="P43" s="41"/>
    </row>
    <row r="44" spans="1:17" ht="7.5" customHeight="1" thickBot="1" x14ac:dyDescent="0.35">
      <c r="D44" s="126"/>
      <c r="E44" s="44"/>
      <c r="F44" s="128"/>
      <c r="G44" s="128"/>
      <c r="H44" s="128"/>
      <c r="I44" s="44"/>
      <c r="J44" s="124"/>
    </row>
    <row r="45" spans="1:17" ht="15" thickBot="1" x14ac:dyDescent="0.35">
      <c r="D45" s="112" t="s">
        <v>43</v>
      </c>
      <c r="E45" s="44"/>
      <c r="F45" s="78">
        <f>IF(OR(F9="&lt; sélectionner &gt;",F9="",F13="",F11="",F4="",H4="",J28="&lt; sélectionner &gt;"),"",'Outil V3'!I9)</f>
        <v>3628.2805397597035</v>
      </c>
      <c r="G45" s="79"/>
      <c r="H45" s="78">
        <f>IF(OR(H9="&lt; sélectionner &gt;",H9="",H13="",H11="",F4="",H4="",J28="&lt; sélectionner &gt;"),"",'Outil V3'!I24)</f>
        <v>3084.0384587957483</v>
      </c>
      <c r="I45" s="47"/>
      <c r="J45" s="116" t="s">
        <v>44</v>
      </c>
    </row>
    <row r="46" spans="1:17" ht="7.5" customHeight="1" thickBot="1" x14ac:dyDescent="0.35">
      <c r="D46" s="127"/>
      <c r="E46" s="118"/>
      <c r="F46" s="118"/>
      <c r="G46" s="118"/>
      <c r="H46" s="118"/>
      <c r="I46" s="118"/>
      <c r="J46" s="120"/>
    </row>
    <row r="50" spans="3:12" ht="25.2" customHeight="1" x14ac:dyDescent="0.45">
      <c r="C50" s="141"/>
      <c r="D50" s="219" t="s">
        <v>45</v>
      </c>
      <c r="E50" s="219"/>
      <c r="F50" s="219"/>
      <c r="G50" s="139"/>
      <c r="H50" s="139"/>
      <c r="I50" s="139"/>
      <c r="J50" s="139"/>
      <c r="K50" s="139"/>
      <c r="L50" s="135"/>
    </row>
    <row r="51" spans="3:12" x14ac:dyDescent="0.3">
      <c r="C51" s="141"/>
      <c r="D51" s="140"/>
      <c r="E51" s="139"/>
      <c r="F51" s="139"/>
      <c r="G51" s="139"/>
      <c r="H51" s="139"/>
      <c r="I51" s="139"/>
      <c r="J51" s="139"/>
      <c r="K51" s="139"/>
      <c r="L51" s="135"/>
    </row>
    <row r="52" spans="3:12" ht="7.5" customHeight="1" x14ac:dyDescent="0.3">
      <c r="C52" s="141"/>
      <c r="D52" s="147"/>
      <c r="E52" s="148"/>
      <c r="F52" s="148"/>
      <c r="G52" s="148"/>
      <c r="H52" s="148"/>
      <c r="I52" s="148"/>
      <c r="J52" s="148"/>
      <c r="K52" s="139"/>
      <c r="L52" s="135"/>
    </row>
    <row r="53" spans="3:12" ht="23.4" x14ac:dyDescent="0.45">
      <c r="C53" s="141"/>
      <c r="D53" s="215" t="s">
        <v>46</v>
      </c>
      <c r="E53" s="215"/>
      <c r="F53" s="215"/>
      <c r="G53" s="215"/>
      <c r="H53" s="215"/>
      <c r="I53" s="215"/>
      <c r="J53" s="215"/>
      <c r="K53" s="142"/>
      <c r="L53" s="136"/>
    </row>
    <row r="54" spans="3:12" ht="7.5" customHeight="1" x14ac:dyDescent="0.3">
      <c r="C54" s="141"/>
      <c r="D54" s="149"/>
      <c r="E54" s="150"/>
      <c r="F54" s="150"/>
      <c r="G54" s="150"/>
      <c r="H54" s="150"/>
      <c r="I54" s="150"/>
      <c r="J54" s="150"/>
      <c r="K54" s="143"/>
      <c r="L54" s="137"/>
    </row>
    <row r="55" spans="3:12" x14ac:dyDescent="0.3">
      <c r="C55" s="141"/>
      <c r="D55" s="222" t="str">
        <f>IF(OR(F9="&lt; sélectionner &gt;",F9="",H9="&lt; sélectionner &gt;",H9=""),"",
IF(AND(F9="Standard",H9=F9,F43&lt;H43),"L'utilisation d'aérotherme(s) standard(s) 1 versus standard(s) 2 génère les économies suivantes:",
IF(AND(F9="Standard",H9=F9,F43&gt;H43),"L'utilisation d'aérotherme(s) standard(s) 2 versus standard(s) 1 génère les économies suivantes:",
IF(AND(F9="Infrarouge",H9=F9,F43&lt;H43),"L'utilisation d'appareil(s) infrarouge(s) 1 versus infrarouge(s) 2 génère les économies suivantes:",
IF(AND(F9="Infrarouge",H9=F9,F43&gt;H43),"L'utilisation d'appareil(s) infrarouge(s) 2 versus d'appareil(s) infrarouge(s) 1 génère les économies suivantes:",
"L'utilisation d'appareil(s) infrarouge(s) versus standard(s) génère les économies suivantes:")))))</f>
        <v>L'utilisation d'appareil(s) infrarouge(s) versus standard(s) génère les économies suivantes:</v>
      </c>
      <c r="E55" s="222"/>
      <c r="F55" s="222"/>
      <c r="G55" s="222"/>
      <c r="H55" s="222"/>
      <c r="I55" s="222"/>
      <c r="J55" s="222"/>
      <c r="K55" s="143"/>
      <c r="L55" s="137"/>
    </row>
    <row r="56" spans="3:12" ht="4.2" customHeight="1" x14ac:dyDescent="0.3">
      <c r="C56" s="141"/>
      <c r="D56" s="152"/>
      <c r="E56" s="150"/>
      <c r="F56" s="150"/>
      <c r="G56" s="150"/>
      <c r="H56" s="150"/>
      <c r="I56" s="150"/>
      <c r="J56" s="150"/>
      <c r="K56" s="143"/>
      <c r="L56" s="137"/>
    </row>
    <row r="57" spans="3:12" ht="16.2" customHeight="1" x14ac:dyDescent="0.3">
      <c r="C57" s="141"/>
      <c r="D57" s="156" t="s">
        <v>47</v>
      </c>
      <c r="E57" s="157"/>
      <c r="F57" s="158">
        <f>IF(OR(F9="&lt; sélectionner &gt;",F9="",H9="&lt; sélectionner &gt;",H9="",F9="",F13="",F11="",H13="",H11="",F4="",H4="",J28="&lt; sélectionner &gt;"),"",'Outil V3'!I8-'Outil V3'!I23)</f>
        <v>3056.1662228434143</v>
      </c>
      <c r="G57" s="150"/>
      <c r="H57" s="150" t="s">
        <v>48</v>
      </c>
      <c r="I57" s="150"/>
      <c r="J57" s="150"/>
      <c r="K57" s="143"/>
      <c r="L57" s="137"/>
    </row>
    <row r="58" spans="3:12" ht="4.2" customHeight="1" x14ac:dyDescent="0.3">
      <c r="C58" s="141"/>
      <c r="D58" s="155"/>
      <c r="E58" s="150"/>
      <c r="F58" s="158"/>
      <c r="G58" s="150"/>
      <c r="H58" s="150"/>
      <c r="I58" s="150"/>
      <c r="J58" s="150"/>
      <c r="K58" s="143"/>
      <c r="L58" s="137"/>
    </row>
    <row r="59" spans="3:12" x14ac:dyDescent="0.3">
      <c r="C59" s="141"/>
      <c r="D59" s="156" t="s">
        <v>49</v>
      </c>
      <c r="E59" s="157"/>
      <c r="F59" s="158">
        <f>IF(OR(F9="&lt; sélectionner &gt;",F9="",H9="&lt; sélectionner &gt;",H9="",F9="",F13="",F11="",H13="",H11="",F4="",H4="",J28="&lt; sélectionner &gt;"),"",'Outil V3'!I9-'Outil V3'!I24)</f>
        <v>544.24208096395523</v>
      </c>
      <c r="G59" s="150"/>
      <c r="H59" s="150" t="s">
        <v>50</v>
      </c>
      <c r="I59" s="150"/>
      <c r="J59" s="150"/>
      <c r="K59" s="143"/>
      <c r="L59" s="137"/>
    </row>
    <row r="60" spans="3:12" ht="5.4" customHeight="1" x14ac:dyDescent="0.3">
      <c r="C60" s="141"/>
      <c r="D60" s="156"/>
      <c r="E60" s="150"/>
      <c r="F60" s="158"/>
      <c r="G60" s="150"/>
      <c r="H60" s="150"/>
      <c r="I60" s="150"/>
      <c r="J60" s="150"/>
      <c r="K60" s="143"/>
      <c r="L60" s="137"/>
    </row>
    <row r="61" spans="3:12" ht="15.6" x14ac:dyDescent="0.35">
      <c r="C61" s="141"/>
      <c r="D61" s="156" t="s">
        <v>51</v>
      </c>
      <c r="E61" s="157"/>
      <c r="F61" s="160">
        <f>IF(OR(F9="&lt; sélectionner &gt;",F9="",H9="&lt; sélectionner &gt;",H9="",F9="",F13="",F11="",H13="",H11="",F4="",H4="",J28="&lt; sélectionner &gt;"),"",'Outil V3'!I10-'Outil V3'!I25)</f>
        <v>5.7578171638369895</v>
      </c>
      <c r="G61" s="150"/>
      <c r="H61" s="150" t="s">
        <v>52</v>
      </c>
      <c r="I61" s="150"/>
      <c r="J61" s="150"/>
      <c r="K61" s="143"/>
      <c r="L61" s="137"/>
    </row>
    <row r="62" spans="3:12" x14ac:dyDescent="0.3">
      <c r="C62" s="141"/>
      <c r="D62" s="147"/>
      <c r="E62" s="148"/>
      <c r="F62" s="153"/>
      <c r="G62" s="148"/>
      <c r="H62" s="148"/>
      <c r="I62" s="148"/>
      <c r="J62" s="148"/>
      <c r="K62" s="139"/>
      <c r="L62" s="135"/>
    </row>
    <row r="63" spans="3:12" x14ac:dyDescent="0.3">
      <c r="C63" s="141"/>
      <c r="D63" s="141"/>
      <c r="E63" s="139"/>
      <c r="F63" s="139"/>
      <c r="G63" s="139"/>
      <c r="H63" s="139"/>
      <c r="I63" s="139"/>
      <c r="J63" s="139"/>
      <c r="K63" s="139"/>
      <c r="L63" s="135"/>
    </row>
    <row r="64" spans="3:12" ht="4.95" customHeight="1" x14ac:dyDescent="0.3">
      <c r="C64" s="141"/>
      <c r="D64" s="147"/>
      <c r="E64" s="148"/>
      <c r="F64" s="148"/>
      <c r="G64" s="148"/>
      <c r="H64" s="148"/>
      <c r="I64" s="148"/>
      <c r="J64" s="148"/>
      <c r="K64" s="139"/>
      <c r="L64" s="135"/>
    </row>
    <row r="65" spans="3:12" ht="23.4" x14ac:dyDescent="0.45">
      <c r="C65" s="141"/>
      <c r="D65" s="215" t="s">
        <v>53</v>
      </c>
      <c r="E65" s="215"/>
      <c r="F65" s="215"/>
      <c r="G65" s="215"/>
      <c r="H65" s="215"/>
      <c r="I65" s="215"/>
      <c r="J65" s="215"/>
      <c r="K65" s="142"/>
      <c r="L65" s="138"/>
    </row>
    <row r="66" spans="3:12" ht="7.2" customHeight="1" x14ac:dyDescent="0.3">
      <c r="C66" s="141"/>
      <c r="D66" s="149"/>
      <c r="E66" s="150"/>
      <c r="F66" s="150"/>
      <c r="G66" s="150"/>
      <c r="H66" s="150"/>
      <c r="I66" s="150"/>
      <c r="J66" s="150"/>
      <c r="K66" s="143"/>
      <c r="L66" s="137"/>
    </row>
    <row r="67" spans="3:12" x14ac:dyDescent="0.3">
      <c r="C67" s="141"/>
      <c r="D67" s="156" t="str">
        <f>IF(F9="Infrarouge","Appareil(s) infrarouge(s) ",IF(F9="Standard","Aérotherme(s) standard(s) "&amp; IF(F9=H9, 1, ""),"Appareil 1"))</f>
        <v xml:space="preserve">Aérotherme(s) standard(s) </v>
      </c>
      <c r="E67" s="156"/>
      <c r="F67" s="151">
        <f>IF(OR(F9="&lt; sélectionner &gt;",F9="",F13="",F11="",F4="",H4="",J28="&lt; sélectionner &gt;"),"",'Outil V3'!I7)</f>
        <v>0</v>
      </c>
      <c r="G67" s="150"/>
      <c r="H67" s="150" t="s">
        <v>36</v>
      </c>
      <c r="I67" s="150"/>
      <c r="J67" s="150"/>
      <c r="K67" s="143"/>
      <c r="L67" s="137"/>
    </row>
    <row r="68" spans="3:12" ht="5.4" customHeight="1" x14ac:dyDescent="0.3">
      <c r="C68" s="141"/>
      <c r="D68" s="156"/>
      <c r="E68" s="156"/>
      <c r="F68" s="151"/>
      <c r="G68" s="150"/>
      <c r="H68" s="150"/>
      <c r="I68" s="150"/>
      <c r="J68" s="150"/>
      <c r="K68" s="143"/>
      <c r="L68" s="137"/>
    </row>
    <row r="69" spans="3:12" x14ac:dyDescent="0.3">
      <c r="C69" s="141"/>
      <c r="D69" s="156" t="str">
        <f>IF(H9="Infrarouge","Appareil(s) infrarouge(s) ",IF(H9="Standard","Aérotherme(s) standard(s) " &amp; IF(F9=H9, 2, ""),"Appareil 2"))</f>
        <v xml:space="preserve">Appareil(s) infrarouge(s) </v>
      </c>
      <c r="E69" s="156"/>
      <c r="F69" s="151">
        <f>IF(OR(H9="&lt; sélectionner &gt;",H9="",H13="",H11="",F4="",H4="",J28="&lt; sélectionner &gt;"),"",'Outil V3'!I22)</f>
        <v>1600</v>
      </c>
      <c r="G69" s="150"/>
      <c r="H69" s="150" t="s">
        <v>36</v>
      </c>
      <c r="I69" s="150"/>
      <c r="J69" s="150"/>
      <c r="K69" s="143"/>
      <c r="L69" s="137"/>
    </row>
    <row r="70" spans="3:12" x14ac:dyDescent="0.3">
      <c r="C70" s="141"/>
      <c r="D70" s="149"/>
      <c r="E70" s="150"/>
      <c r="F70" s="150"/>
      <c r="G70" s="150"/>
      <c r="H70" s="150"/>
      <c r="I70" s="150"/>
      <c r="J70" s="150"/>
      <c r="K70" s="143"/>
      <c r="L70" s="137"/>
    </row>
    <row r="71" spans="3:12" x14ac:dyDescent="0.3">
      <c r="C71" s="141"/>
      <c r="D71" s="141"/>
      <c r="E71" s="139"/>
      <c r="F71" s="146"/>
      <c r="G71" s="139"/>
      <c r="H71" s="139"/>
      <c r="I71" s="139"/>
      <c r="J71" s="139"/>
      <c r="K71" s="139"/>
      <c r="L71" s="135"/>
    </row>
    <row r="72" spans="3:12" ht="6.6" customHeight="1" x14ac:dyDescent="0.3">
      <c r="C72" s="141"/>
      <c r="D72" s="147"/>
      <c r="E72" s="148"/>
      <c r="F72" s="154"/>
      <c r="G72" s="148"/>
      <c r="H72" s="148"/>
      <c r="I72" s="148"/>
      <c r="J72" s="148"/>
      <c r="K72" s="139"/>
      <c r="L72" s="135"/>
    </row>
    <row r="73" spans="3:12" ht="22.2" customHeight="1" x14ac:dyDescent="0.45">
      <c r="C73" s="141"/>
      <c r="D73" s="215" t="s">
        <v>54</v>
      </c>
      <c r="E73" s="215"/>
      <c r="F73" s="215"/>
      <c r="G73" s="215"/>
      <c r="H73" s="215"/>
      <c r="I73" s="215"/>
      <c r="J73" s="215"/>
      <c r="K73" s="142"/>
      <c r="L73" s="138"/>
    </row>
    <row r="74" spans="3:12" ht="5.4" customHeight="1" x14ac:dyDescent="0.3">
      <c r="C74" s="141"/>
      <c r="D74" s="149"/>
      <c r="E74" s="150"/>
      <c r="F74" s="150"/>
      <c r="G74" s="150"/>
      <c r="H74" s="150"/>
      <c r="I74" s="150"/>
      <c r="J74" s="150"/>
      <c r="K74" s="143"/>
      <c r="L74" s="137"/>
    </row>
    <row r="75" spans="3:12" x14ac:dyDescent="0.3">
      <c r="C75" s="141"/>
      <c r="D75" s="222" t="s">
        <v>388</v>
      </c>
      <c r="E75" s="222"/>
      <c r="F75" s="222"/>
      <c r="G75" s="222"/>
      <c r="H75" s="222"/>
      <c r="I75" s="222"/>
      <c r="J75" s="222"/>
      <c r="K75" s="143"/>
      <c r="L75" s="137"/>
    </row>
    <row r="76" spans="3:12" ht="7.95" customHeight="1" x14ac:dyDescent="0.3">
      <c r="C76" s="141"/>
      <c r="D76" s="152"/>
      <c r="E76" s="150"/>
      <c r="F76" s="150"/>
      <c r="G76" s="150"/>
      <c r="H76" s="150"/>
      <c r="I76" s="150"/>
      <c r="J76" s="150"/>
      <c r="K76" s="143"/>
      <c r="L76" s="137"/>
    </row>
    <row r="77" spans="3:12" x14ac:dyDescent="0.3">
      <c r="C77" s="141"/>
      <c r="D77" s="156" t="s">
        <v>55</v>
      </c>
      <c r="E77" s="156"/>
      <c r="F77" s="158">
        <f>IF(OR(F9="&lt; sélectionner &gt;",F9="",H9="&lt; sélectionner &gt;",H9="",F13="",F11="",H13="",H11="",F4="",H4="",J28="&lt; sélectionner &gt;"),"",IF(ABS(F79)-ABS(F69-F67)&gt;ABS(F79),0,ABS(F79)-ABS(F69-F67)))</f>
        <v>480</v>
      </c>
      <c r="G77" s="150"/>
      <c r="H77" s="150" t="s">
        <v>36</v>
      </c>
      <c r="I77" s="150"/>
      <c r="J77" s="150"/>
      <c r="K77" s="143"/>
      <c r="L77" s="137"/>
    </row>
    <row r="78" spans="3:12" ht="4.2" customHeight="1" x14ac:dyDescent="0.3">
      <c r="C78" s="141"/>
      <c r="D78" s="156"/>
      <c r="E78" s="155"/>
      <c r="F78" s="151"/>
      <c r="G78" s="150"/>
      <c r="H78" s="150"/>
      <c r="I78" s="150"/>
      <c r="J78" s="150"/>
      <c r="K78" s="143"/>
      <c r="L78" s="137"/>
    </row>
    <row r="79" spans="3:12" x14ac:dyDescent="0.3">
      <c r="C79" s="141"/>
      <c r="D79" s="156" t="s">
        <v>56</v>
      </c>
      <c r="E79" s="156"/>
      <c r="F79" s="158">
        <f>IF(OR(F9="&lt; sélectionner &gt;",F9="",H9="&lt; sélectionner &gt;",H9="",F13="",F11="",H13="",H11="",F4="",H4="",J28="&lt; sélectionner &gt;"),"",ABS(H41-F41))</f>
        <v>2080</v>
      </c>
      <c r="G79" s="150"/>
      <c r="H79" s="150" t="s">
        <v>36</v>
      </c>
      <c r="I79" s="150"/>
      <c r="J79" s="150"/>
      <c r="K79" s="143"/>
      <c r="L79" s="137"/>
    </row>
    <row r="80" spans="3:12" ht="12.6" customHeight="1" x14ac:dyDescent="0.3">
      <c r="C80" s="141"/>
      <c r="D80" s="149"/>
      <c r="E80" s="150"/>
      <c r="F80" s="155"/>
      <c r="G80" s="150"/>
      <c r="H80" s="150"/>
      <c r="I80" s="150"/>
      <c r="J80" s="150"/>
      <c r="K80" s="143"/>
      <c r="L80" s="137"/>
    </row>
    <row r="81" spans="1:22" x14ac:dyDescent="0.3">
      <c r="C81" s="141"/>
      <c r="D81" s="144"/>
      <c r="E81" s="143"/>
      <c r="F81" s="145"/>
      <c r="G81" s="143"/>
      <c r="H81" s="143"/>
      <c r="I81" s="143"/>
      <c r="J81" s="143"/>
      <c r="K81" s="143"/>
      <c r="L81" s="137"/>
    </row>
    <row r="82" spans="1:22" ht="7.2" customHeight="1" x14ac:dyDescent="0.3">
      <c r="C82" s="141"/>
      <c r="D82" s="149"/>
      <c r="E82" s="150"/>
      <c r="F82" s="155"/>
      <c r="G82" s="150"/>
      <c r="H82" s="150"/>
      <c r="I82" s="150"/>
      <c r="J82" s="150"/>
      <c r="K82" s="143"/>
      <c r="L82" s="137"/>
    </row>
    <row r="83" spans="1:22" ht="23.4" x14ac:dyDescent="0.45">
      <c r="C83" s="141"/>
      <c r="D83" s="215" t="s">
        <v>57</v>
      </c>
      <c r="E83" s="215"/>
      <c r="F83" s="215"/>
      <c r="G83" s="215"/>
      <c r="H83" s="215"/>
      <c r="I83" s="215"/>
      <c r="J83" s="215"/>
      <c r="K83" s="142"/>
      <c r="L83" s="138"/>
    </row>
    <row r="84" spans="1:22" ht="4.2" customHeight="1" x14ac:dyDescent="0.3">
      <c r="C84" s="141"/>
      <c r="D84" s="149"/>
      <c r="E84" s="150"/>
      <c r="F84" s="150"/>
      <c r="G84" s="150"/>
      <c r="H84" s="150"/>
      <c r="I84" s="150"/>
      <c r="J84" s="150"/>
      <c r="K84" s="143"/>
      <c r="L84" s="137"/>
    </row>
    <row r="85" spans="1:22" x14ac:dyDescent="0.3">
      <c r="C85" s="141"/>
      <c r="D85" s="156" t="s">
        <v>58</v>
      </c>
      <c r="E85" s="150"/>
      <c r="F85" s="159">
        <f>IF(OR(F9="&lt; sélectionner &gt;",F9="",H9="&lt; sélectionner &gt;",H9="",F13="",F11="",H13="",H11="",F4="",H4="",J28="&lt; sélectionner &gt;"),"",IF(F59=0,0,ABS(F77/F59)))</f>
        <v>0.88196046720575083</v>
      </c>
      <c r="G85" s="150"/>
      <c r="H85" s="150" t="s">
        <v>59</v>
      </c>
      <c r="I85" s="150"/>
      <c r="J85" s="150"/>
      <c r="K85" s="143"/>
      <c r="L85" s="137"/>
    </row>
    <row r="86" spans="1:22" ht="4.95" customHeight="1" x14ac:dyDescent="0.3">
      <c r="C86" s="141"/>
      <c r="D86" s="156"/>
      <c r="E86" s="150"/>
      <c r="F86" s="151"/>
      <c r="G86" s="150"/>
      <c r="H86" s="150"/>
      <c r="I86" s="150"/>
      <c r="J86" s="150"/>
      <c r="K86" s="143"/>
      <c r="L86" s="137"/>
    </row>
    <row r="87" spans="1:22" x14ac:dyDescent="0.3">
      <c r="C87" s="141"/>
      <c r="D87" s="156" t="s">
        <v>60</v>
      </c>
      <c r="E87" s="150"/>
      <c r="F87" s="159">
        <f>IF(OR(F9="&lt; sélectionner &gt;",F9="",H9="&lt; sélectionner &gt;",H9="",F13="",F11="",H13="",H11="",F4="",H4="",J28="&lt; sélectionner &gt;"),"",IF(F59=0,0,ABS(F79/F59)))</f>
        <v>3.82182869122492</v>
      </c>
      <c r="G87" s="150"/>
      <c r="H87" s="150" t="s">
        <v>59</v>
      </c>
      <c r="I87" s="150"/>
      <c r="J87" s="150"/>
      <c r="K87" s="143"/>
      <c r="L87" s="137"/>
    </row>
    <row r="88" spans="1:22" x14ac:dyDescent="0.3">
      <c r="C88" s="141"/>
      <c r="D88" s="149"/>
      <c r="E88" s="150"/>
      <c r="F88" s="155"/>
      <c r="G88" s="150"/>
      <c r="H88" s="150"/>
      <c r="I88" s="150"/>
      <c r="J88" s="150"/>
      <c r="K88" s="143"/>
      <c r="L88" s="137"/>
    </row>
    <row r="89" spans="1:22" x14ac:dyDescent="0.3">
      <c r="C89" s="141"/>
      <c r="D89" s="141"/>
      <c r="E89" s="139"/>
      <c r="F89" s="139"/>
      <c r="G89" s="139"/>
      <c r="H89" s="139"/>
      <c r="I89" s="139"/>
      <c r="J89" s="139"/>
      <c r="K89" s="139"/>
    </row>
    <row r="91" spans="1:22" ht="15" thickBot="1" x14ac:dyDescent="0.35">
      <c r="D91" s="51"/>
      <c r="E91" s="43"/>
      <c r="F91" s="52"/>
      <c r="G91" s="52"/>
      <c r="H91" s="52"/>
      <c r="I91" s="52"/>
      <c r="J91" s="52"/>
      <c r="K91" s="43"/>
      <c r="L91" s="43"/>
      <c r="V91" s="133"/>
    </row>
    <row r="92" spans="1:22" ht="63.6" customHeight="1" thickBot="1" x14ac:dyDescent="0.35">
      <c r="D92" s="216" t="s">
        <v>61</v>
      </c>
      <c r="E92" s="217"/>
      <c r="F92" s="217"/>
      <c r="G92" s="217"/>
      <c r="H92" s="217"/>
      <c r="I92" s="217"/>
      <c r="J92" s="217"/>
      <c r="K92" s="218"/>
      <c r="L92" s="134"/>
      <c r="V92" s="133"/>
    </row>
    <row r="93" spans="1:22" x14ac:dyDescent="0.3">
      <c r="D93" s="42"/>
      <c r="E93" s="44"/>
      <c r="F93" s="53"/>
      <c r="G93" s="53"/>
      <c r="H93" s="53"/>
      <c r="I93" s="53"/>
      <c r="J93" s="53"/>
      <c r="K93" s="51"/>
      <c r="L93" s="51"/>
      <c r="V93" s="133"/>
    </row>
    <row r="94" spans="1:22" x14ac:dyDescent="0.3">
      <c r="D94" s="42"/>
      <c r="E94" s="43"/>
      <c r="F94" s="54"/>
      <c r="G94" s="54"/>
      <c r="H94" s="54"/>
      <c r="I94" s="54"/>
      <c r="J94" s="54"/>
      <c r="K94" s="51"/>
      <c r="L94" s="51"/>
      <c r="V94" s="133"/>
    </row>
    <row r="95" spans="1:22" x14ac:dyDescent="0.3">
      <c r="D95" s="51"/>
      <c r="E95" s="43"/>
      <c r="F95" s="55"/>
      <c r="G95" s="55"/>
      <c r="H95" s="55"/>
      <c r="I95" s="55"/>
      <c r="J95" s="55"/>
      <c r="K95" s="43"/>
      <c r="L95" s="43"/>
      <c r="V95" s="133"/>
    </row>
    <row r="96" spans="1:22" x14ac:dyDescent="0.3">
      <c r="A96" s="39"/>
      <c r="B96" s="39"/>
      <c r="C96" s="39"/>
      <c r="D96" s="39"/>
      <c r="E96" s="39"/>
      <c r="F96" s="39"/>
      <c r="G96" s="39"/>
      <c r="H96" s="39"/>
      <c r="I96" s="39"/>
      <c r="J96" s="39"/>
      <c r="K96" s="39"/>
      <c r="L96" s="39"/>
      <c r="M96" s="39"/>
      <c r="V96" s="133"/>
    </row>
    <row r="97" spans="1:22" x14ac:dyDescent="0.3">
      <c r="A97" s="39"/>
      <c r="B97" s="39"/>
      <c r="C97" s="39"/>
      <c r="D97" s="39"/>
      <c r="E97" s="39"/>
      <c r="F97" s="39"/>
      <c r="G97" s="39"/>
      <c r="H97" s="39"/>
      <c r="I97" s="39"/>
      <c r="J97" s="39"/>
      <c r="K97" s="39"/>
      <c r="L97" s="39"/>
      <c r="M97" s="39"/>
      <c r="V97" s="133"/>
    </row>
    <row r="98" spans="1:22" x14ac:dyDescent="0.3">
      <c r="A98" s="39"/>
      <c r="B98" s="39"/>
      <c r="C98" s="39"/>
      <c r="D98" s="39"/>
      <c r="E98" s="39"/>
      <c r="F98" s="39"/>
      <c r="G98" s="39"/>
      <c r="H98" s="39"/>
      <c r="I98" s="39"/>
      <c r="J98" s="39"/>
      <c r="K98" s="39"/>
      <c r="L98" s="39"/>
      <c r="M98" s="39"/>
      <c r="V98" s="133"/>
    </row>
    <row r="99" spans="1:22" x14ac:dyDescent="0.3">
      <c r="A99" s="39"/>
      <c r="B99" s="39"/>
      <c r="C99" s="39"/>
      <c r="D99" s="39"/>
      <c r="E99" s="39"/>
      <c r="F99" s="39"/>
      <c r="G99" s="39"/>
      <c r="H99" s="39"/>
      <c r="I99" s="39"/>
      <c r="J99" s="39"/>
      <c r="K99" s="39"/>
      <c r="L99" s="39"/>
      <c r="M99" s="39"/>
      <c r="V99" s="133"/>
    </row>
    <row r="100" spans="1:22" x14ac:dyDescent="0.3">
      <c r="A100" s="39"/>
      <c r="B100" s="39"/>
      <c r="C100" s="39"/>
      <c r="D100" s="39"/>
      <c r="E100" s="39"/>
      <c r="F100" s="39"/>
      <c r="G100" s="39"/>
      <c r="H100" s="39"/>
      <c r="I100" s="39"/>
      <c r="J100" s="39"/>
      <c r="K100" s="39"/>
      <c r="L100" s="39"/>
      <c r="M100" s="39"/>
      <c r="V100" s="133"/>
    </row>
    <row r="101" spans="1:22" x14ac:dyDescent="0.3">
      <c r="A101" s="39"/>
      <c r="B101" s="39"/>
      <c r="C101" s="39"/>
      <c r="D101" s="39"/>
      <c r="E101" s="39"/>
      <c r="F101" s="39"/>
      <c r="G101" s="39"/>
      <c r="H101" s="39"/>
      <c r="I101" s="39"/>
      <c r="J101" s="39"/>
      <c r="K101" s="39"/>
      <c r="L101" s="39"/>
      <c r="M101" s="39"/>
      <c r="V101" s="133"/>
    </row>
    <row r="102" spans="1:22" x14ac:dyDescent="0.3">
      <c r="A102" s="39"/>
      <c r="B102" s="39"/>
      <c r="C102" s="39"/>
      <c r="D102" s="39"/>
      <c r="E102" s="39"/>
      <c r="F102" s="39"/>
      <c r="G102" s="39"/>
      <c r="H102" s="39"/>
      <c r="I102" s="39"/>
      <c r="J102" s="39"/>
      <c r="K102" s="39"/>
      <c r="L102" s="39"/>
      <c r="M102" s="39"/>
      <c r="V102" s="133"/>
    </row>
    <row r="103" spans="1:22" x14ac:dyDescent="0.3">
      <c r="A103" s="39"/>
      <c r="B103" s="39"/>
      <c r="C103" s="39"/>
      <c r="D103" s="39"/>
      <c r="E103" s="39"/>
      <c r="F103" s="39"/>
      <c r="G103" s="39"/>
      <c r="H103" s="39"/>
      <c r="I103" s="39"/>
      <c r="J103" s="39"/>
      <c r="K103" s="39"/>
      <c r="L103" s="39"/>
      <c r="M103" s="39"/>
      <c r="V103" s="133"/>
    </row>
    <row r="104" spans="1:22" x14ac:dyDescent="0.3">
      <c r="A104" s="39"/>
      <c r="B104" s="39"/>
      <c r="C104" s="39"/>
      <c r="D104" s="39"/>
      <c r="E104" s="39"/>
      <c r="F104" s="39"/>
      <c r="G104" s="39"/>
      <c r="H104" s="39"/>
      <c r="I104" s="39"/>
      <c r="J104" s="39"/>
      <c r="K104" s="39"/>
      <c r="L104" s="39"/>
      <c r="M104" s="39"/>
      <c r="V104" s="133"/>
    </row>
    <row r="105" spans="1:22" x14ac:dyDescent="0.3">
      <c r="A105" s="39"/>
      <c r="B105" s="39"/>
      <c r="C105" s="39"/>
      <c r="D105" s="39"/>
      <c r="E105" s="39"/>
      <c r="F105" s="39"/>
      <c r="G105" s="39"/>
      <c r="H105" s="39"/>
      <c r="I105" s="39"/>
      <c r="J105" s="39"/>
      <c r="K105" s="39"/>
      <c r="L105" s="39"/>
      <c r="M105" s="39"/>
      <c r="V105" s="133"/>
    </row>
    <row r="106" spans="1:22" x14ac:dyDescent="0.3">
      <c r="A106" s="39"/>
      <c r="B106" s="39"/>
      <c r="C106" s="39"/>
      <c r="D106" s="39"/>
      <c r="E106" s="39"/>
      <c r="F106" s="39"/>
      <c r="G106" s="39"/>
      <c r="H106" s="39"/>
      <c r="I106" s="39"/>
      <c r="J106" s="39"/>
      <c r="K106" s="39"/>
      <c r="L106" s="39"/>
      <c r="M106" s="39"/>
      <c r="V106" s="133"/>
    </row>
    <row r="107" spans="1:22" x14ac:dyDescent="0.3">
      <c r="A107" s="39"/>
      <c r="B107" s="39"/>
      <c r="C107" s="39"/>
      <c r="D107" s="39"/>
      <c r="E107" s="39"/>
      <c r="F107" s="39"/>
      <c r="G107" s="39"/>
      <c r="H107" s="39"/>
      <c r="I107" s="39"/>
      <c r="J107" s="39"/>
      <c r="K107" s="39"/>
      <c r="L107" s="39"/>
      <c r="M107" s="39"/>
      <c r="V107" s="133"/>
    </row>
    <row r="108" spans="1:22" x14ac:dyDescent="0.3">
      <c r="A108" s="39"/>
      <c r="B108" s="39"/>
      <c r="C108" s="39"/>
      <c r="D108" s="39"/>
      <c r="E108" s="39"/>
      <c r="F108" s="39"/>
      <c r="G108" s="39"/>
      <c r="H108" s="39"/>
      <c r="I108" s="39"/>
      <c r="J108" s="39"/>
      <c r="K108" s="39"/>
      <c r="L108" s="39"/>
      <c r="M108" s="39"/>
      <c r="V108" s="133"/>
    </row>
    <row r="109" spans="1:22" x14ac:dyDescent="0.3">
      <c r="A109" s="39"/>
      <c r="B109" s="39"/>
      <c r="C109" s="39"/>
      <c r="D109" s="39"/>
      <c r="E109" s="39"/>
      <c r="F109" s="39"/>
      <c r="G109" s="39"/>
      <c r="H109" s="39"/>
      <c r="I109" s="39"/>
      <c r="J109" s="39"/>
      <c r="K109" s="39"/>
      <c r="L109" s="39"/>
      <c r="M109" s="39"/>
      <c r="V109" s="133"/>
    </row>
    <row r="110" spans="1:22" x14ac:dyDescent="0.3">
      <c r="A110" s="39"/>
      <c r="B110" s="39"/>
      <c r="C110" s="39"/>
      <c r="D110" s="39"/>
      <c r="E110" s="39"/>
      <c r="F110" s="39"/>
      <c r="G110" s="39"/>
      <c r="H110" s="39"/>
      <c r="I110" s="39"/>
      <c r="J110" s="39"/>
      <c r="K110" s="39"/>
      <c r="L110" s="39"/>
      <c r="M110" s="39"/>
      <c r="V110" s="133"/>
    </row>
    <row r="111" spans="1:22" x14ac:dyDescent="0.3">
      <c r="A111" s="39"/>
      <c r="B111" s="39"/>
      <c r="C111" s="39"/>
      <c r="D111" s="39"/>
      <c r="E111" s="39"/>
      <c r="F111" s="39"/>
      <c r="G111" s="39"/>
      <c r="H111" s="39"/>
      <c r="I111" s="39"/>
      <c r="J111" s="39"/>
      <c r="K111" s="39"/>
      <c r="L111" s="39"/>
      <c r="M111" s="39"/>
      <c r="V111" s="133"/>
    </row>
    <row r="112" spans="1:22" x14ac:dyDescent="0.3">
      <c r="A112" s="39"/>
      <c r="B112" s="39"/>
      <c r="C112" s="39"/>
      <c r="D112" s="39"/>
      <c r="E112" s="39"/>
      <c r="F112" s="39"/>
      <c r="G112" s="39"/>
      <c r="H112" s="39"/>
      <c r="I112" s="39"/>
      <c r="J112" s="39"/>
      <c r="K112" s="39"/>
      <c r="L112" s="39"/>
      <c r="M112" s="39"/>
      <c r="V112" s="133"/>
    </row>
    <row r="113" spans="1:22" x14ac:dyDescent="0.3">
      <c r="A113" s="39"/>
      <c r="B113" s="39"/>
      <c r="C113" s="39"/>
      <c r="D113" s="39"/>
      <c r="E113" s="39"/>
      <c r="F113" s="39"/>
      <c r="G113" s="39"/>
      <c r="H113" s="39"/>
      <c r="I113" s="39"/>
      <c r="J113" s="39"/>
      <c r="K113" s="39"/>
      <c r="L113" s="39"/>
      <c r="M113" s="39"/>
      <c r="V113" s="133"/>
    </row>
    <row r="114" spans="1:22" x14ac:dyDescent="0.3">
      <c r="A114" s="39"/>
      <c r="B114" s="39"/>
      <c r="C114" s="39"/>
      <c r="D114" s="39"/>
      <c r="E114" s="39"/>
      <c r="F114" s="39"/>
      <c r="G114" s="39"/>
      <c r="H114" s="39"/>
      <c r="I114" s="39"/>
      <c r="J114" s="39"/>
      <c r="K114" s="39"/>
      <c r="L114" s="39"/>
      <c r="M114" s="39"/>
      <c r="V114" s="133"/>
    </row>
    <row r="115" spans="1:22" s="39" customFormat="1" x14ac:dyDescent="0.3">
      <c r="V115" s="133"/>
    </row>
    <row r="116" spans="1:22" s="39" customFormat="1" x14ac:dyDescent="0.3">
      <c r="E116" s="41"/>
      <c r="F116" s="41"/>
      <c r="G116" s="41"/>
      <c r="H116" s="41"/>
      <c r="I116" s="41"/>
      <c r="J116" s="41"/>
      <c r="K116" s="41"/>
      <c r="L116" s="41"/>
      <c r="V116" s="133"/>
    </row>
    <row r="117" spans="1:22" s="39" customFormat="1" x14ac:dyDescent="0.3">
      <c r="E117" s="41"/>
      <c r="F117" s="41"/>
      <c r="G117" s="41"/>
      <c r="H117" s="41"/>
      <c r="I117" s="41"/>
      <c r="J117" s="41"/>
      <c r="K117" s="41"/>
      <c r="L117" s="41"/>
      <c r="V117" s="133"/>
    </row>
    <row r="118" spans="1:22" s="39" customFormat="1" x14ac:dyDescent="0.3">
      <c r="E118" s="41"/>
      <c r="F118" s="41"/>
      <c r="G118" s="41"/>
      <c r="H118" s="41"/>
      <c r="I118" s="41"/>
      <c r="J118" s="41"/>
      <c r="K118" s="41"/>
      <c r="L118" s="41"/>
      <c r="V118" s="133"/>
    </row>
    <row r="119" spans="1:22" s="39" customFormat="1" x14ac:dyDescent="0.3">
      <c r="E119" s="41"/>
      <c r="F119" s="41"/>
      <c r="G119" s="41"/>
      <c r="H119" s="41"/>
      <c r="I119" s="41"/>
      <c r="J119" s="41"/>
      <c r="K119" s="41"/>
      <c r="L119" s="41"/>
      <c r="V119" s="133"/>
    </row>
    <row r="120" spans="1:22" s="39" customFormat="1" x14ac:dyDescent="0.3">
      <c r="E120" s="41"/>
      <c r="F120" s="41"/>
      <c r="G120" s="41"/>
      <c r="H120" s="41"/>
      <c r="I120" s="41"/>
      <c r="J120" s="41"/>
      <c r="K120" s="41"/>
      <c r="L120" s="41"/>
      <c r="V120" s="133"/>
    </row>
    <row r="121" spans="1:22" s="39" customFormat="1" x14ac:dyDescent="0.3">
      <c r="E121" s="41"/>
      <c r="F121" s="41"/>
      <c r="G121" s="41"/>
      <c r="H121" s="41"/>
      <c r="I121" s="41"/>
      <c r="J121" s="41"/>
      <c r="K121" s="41"/>
      <c r="L121" s="41"/>
      <c r="V121" s="133"/>
    </row>
    <row r="122" spans="1:22" s="39" customFormat="1" x14ac:dyDescent="0.3">
      <c r="E122" s="41"/>
      <c r="F122" s="41"/>
      <c r="G122" s="41"/>
      <c r="H122" s="41"/>
      <c r="I122" s="41"/>
      <c r="J122" s="41"/>
      <c r="K122" s="41"/>
      <c r="L122" s="41"/>
      <c r="V122" s="133"/>
    </row>
    <row r="123" spans="1:22" s="39" customFormat="1" x14ac:dyDescent="0.3">
      <c r="E123" s="41"/>
      <c r="F123" s="41"/>
      <c r="G123" s="41"/>
      <c r="H123" s="41"/>
      <c r="I123" s="41"/>
      <c r="J123" s="41"/>
      <c r="K123" s="41"/>
      <c r="L123" s="41"/>
      <c r="V123" s="133"/>
    </row>
    <row r="124" spans="1:22" s="39" customFormat="1" x14ac:dyDescent="0.3">
      <c r="E124" s="41"/>
      <c r="F124" s="41"/>
      <c r="G124" s="41"/>
      <c r="H124" s="41"/>
      <c r="I124" s="41"/>
      <c r="J124" s="41"/>
      <c r="K124" s="41"/>
      <c r="L124" s="41"/>
      <c r="V124" s="133"/>
    </row>
    <row r="125" spans="1:22" s="39" customFormat="1" x14ac:dyDescent="0.3">
      <c r="E125" s="41"/>
      <c r="F125" s="41"/>
      <c r="G125" s="41"/>
      <c r="H125" s="41"/>
      <c r="I125" s="41"/>
      <c r="J125" s="41"/>
      <c r="K125" s="41"/>
      <c r="L125" s="41"/>
      <c r="V125" s="133"/>
    </row>
    <row r="126" spans="1:22" s="39" customFormat="1" x14ac:dyDescent="0.3">
      <c r="E126" s="41"/>
      <c r="F126" s="41"/>
      <c r="G126" s="41"/>
      <c r="H126" s="41"/>
      <c r="I126" s="41"/>
      <c r="J126" s="41"/>
      <c r="K126" s="41"/>
      <c r="L126" s="41"/>
      <c r="V126" s="133"/>
    </row>
    <row r="127" spans="1:22" s="39" customFormat="1" x14ac:dyDescent="0.3">
      <c r="E127" s="41"/>
      <c r="F127" s="41"/>
      <c r="G127" s="41"/>
      <c r="H127" s="41"/>
      <c r="I127" s="41"/>
      <c r="J127" s="41"/>
      <c r="K127" s="41"/>
      <c r="L127" s="41"/>
      <c r="V127" s="133"/>
    </row>
    <row r="128" spans="1:22" s="39" customFormat="1" x14ac:dyDescent="0.3">
      <c r="E128" s="41"/>
      <c r="F128" s="41"/>
      <c r="G128" s="41"/>
      <c r="H128" s="41"/>
      <c r="I128" s="41"/>
      <c r="J128" s="41"/>
      <c r="K128" s="41"/>
      <c r="L128" s="41"/>
      <c r="N128" s="132"/>
      <c r="O128" s="133"/>
      <c r="P128" s="133"/>
      <c r="Q128" s="133"/>
      <c r="R128" s="133"/>
      <c r="S128" s="133"/>
      <c r="T128" s="133"/>
      <c r="U128" s="133"/>
      <c r="V128" s="133"/>
    </row>
    <row r="129" spans="5:12" s="39" customFormat="1" x14ac:dyDescent="0.3">
      <c r="E129" s="41"/>
      <c r="F129" s="41"/>
      <c r="G129" s="41"/>
      <c r="H129" s="41"/>
      <c r="I129" s="41"/>
      <c r="J129" s="41"/>
      <c r="K129" s="41"/>
      <c r="L129" s="41"/>
    </row>
    <row r="130" spans="5:12" s="39" customFormat="1" x14ac:dyDescent="0.3">
      <c r="E130" s="41"/>
      <c r="F130" s="41"/>
      <c r="G130" s="41"/>
      <c r="H130" s="41"/>
      <c r="I130" s="41"/>
      <c r="J130" s="41"/>
      <c r="K130" s="41"/>
      <c r="L130" s="41"/>
    </row>
    <row r="131" spans="5:12" s="39" customFormat="1" x14ac:dyDescent="0.3">
      <c r="E131" s="41"/>
      <c r="F131" s="41"/>
      <c r="G131" s="41"/>
      <c r="H131" s="41"/>
      <c r="I131" s="41"/>
      <c r="J131" s="41"/>
      <c r="K131" s="41"/>
      <c r="L131" s="41"/>
    </row>
    <row r="132" spans="5:12" s="39" customFormat="1" x14ac:dyDescent="0.3">
      <c r="E132" s="41"/>
      <c r="F132" s="41"/>
      <c r="G132" s="41"/>
      <c r="H132" s="41"/>
      <c r="I132" s="41"/>
      <c r="J132" s="41"/>
      <c r="K132" s="41"/>
      <c r="L132" s="41"/>
    </row>
    <row r="133" spans="5:12" s="39" customFormat="1" x14ac:dyDescent="0.3">
      <c r="E133" s="41"/>
      <c r="F133" s="41"/>
      <c r="G133" s="41"/>
      <c r="H133" s="41"/>
      <c r="I133" s="41"/>
      <c r="J133" s="41"/>
      <c r="K133" s="41"/>
      <c r="L133" s="41"/>
    </row>
    <row r="134" spans="5:12" s="39" customFormat="1" x14ac:dyDescent="0.3">
      <c r="E134" s="41"/>
      <c r="F134" s="41"/>
      <c r="G134" s="41"/>
      <c r="H134" s="41"/>
      <c r="I134" s="41"/>
      <c r="J134" s="41"/>
      <c r="K134" s="41"/>
      <c r="L134" s="41"/>
    </row>
    <row r="135" spans="5:12" s="39" customFormat="1" x14ac:dyDescent="0.3">
      <c r="E135" s="41"/>
      <c r="F135" s="41"/>
      <c r="G135" s="41"/>
      <c r="H135" s="41"/>
      <c r="I135" s="41"/>
      <c r="J135" s="41"/>
      <c r="K135" s="41"/>
      <c r="L135" s="41"/>
    </row>
    <row r="136" spans="5:12" s="39" customFormat="1" x14ac:dyDescent="0.3">
      <c r="E136" s="41"/>
      <c r="F136" s="41"/>
      <c r="G136" s="41"/>
      <c r="H136" s="41"/>
      <c r="I136" s="41"/>
      <c r="J136" s="41"/>
      <c r="K136" s="41"/>
      <c r="L136" s="41"/>
    </row>
    <row r="137" spans="5:12" s="39" customFormat="1" x14ac:dyDescent="0.3">
      <c r="E137" s="41"/>
      <c r="F137" s="41"/>
      <c r="G137" s="41"/>
      <c r="H137" s="41"/>
      <c r="I137" s="41"/>
      <c r="J137" s="41"/>
      <c r="K137" s="41"/>
      <c r="L137" s="41"/>
    </row>
    <row r="138" spans="5:12" s="39" customFormat="1" x14ac:dyDescent="0.3">
      <c r="E138" s="41"/>
      <c r="F138" s="41"/>
      <c r="G138" s="41"/>
      <c r="H138" s="41"/>
      <c r="I138" s="41"/>
      <c r="J138" s="41"/>
      <c r="K138" s="41"/>
      <c r="L138" s="41"/>
    </row>
    <row r="139" spans="5:12" s="39" customFormat="1" x14ac:dyDescent="0.3">
      <c r="E139" s="41"/>
      <c r="F139" s="41"/>
      <c r="G139" s="41"/>
      <c r="H139" s="41"/>
      <c r="I139" s="41"/>
      <c r="J139" s="41"/>
      <c r="K139" s="41"/>
      <c r="L139" s="41"/>
    </row>
    <row r="140" spans="5:12" s="39" customFormat="1" x14ac:dyDescent="0.3">
      <c r="E140" s="41"/>
      <c r="F140" s="41"/>
      <c r="G140" s="41"/>
      <c r="H140" s="41"/>
      <c r="I140" s="41"/>
      <c r="J140" s="41"/>
      <c r="K140" s="41"/>
      <c r="L140" s="41"/>
    </row>
    <row r="141" spans="5:12" s="39" customFormat="1" x14ac:dyDescent="0.3">
      <c r="E141" s="41"/>
      <c r="F141" s="41"/>
      <c r="G141" s="41"/>
      <c r="H141" s="41"/>
      <c r="I141" s="41"/>
      <c r="J141" s="41"/>
      <c r="K141" s="41"/>
      <c r="L141" s="41"/>
    </row>
    <row r="142" spans="5:12" s="39" customFormat="1" x14ac:dyDescent="0.3">
      <c r="E142" s="41"/>
      <c r="F142" s="41"/>
      <c r="G142" s="41"/>
      <c r="H142" s="41"/>
      <c r="I142" s="41"/>
      <c r="J142" s="41"/>
      <c r="K142" s="41"/>
      <c r="L142" s="41"/>
    </row>
    <row r="143" spans="5:12" s="39" customFormat="1" x14ac:dyDescent="0.3">
      <c r="E143" s="41"/>
      <c r="F143" s="41"/>
      <c r="G143" s="41"/>
      <c r="H143" s="41"/>
      <c r="I143" s="41"/>
      <c r="J143" s="41"/>
      <c r="K143" s="41"/>
      <c r="L143" s="41"/>
    </row>
    <row r="144" spans="5:12" s="39" customFormat="1" x14ac:dyDescent="0.3">
      <c r="E144" s="41"/>
      <c r="F144" s="41"/>
      <c r="G144" s="41"/>
      <c r="H144" s="41"/>
      <c r="I144" s="41"/>
      <c r="J144" s="41"/>
      <c r="K144" s="41"/>
      <c r="L144" s="41"/>
    </row>
    <row r="145" spans="5:12" s="39" customFormat="1" x14ac:dyDescent="0.3">
      <c r="E145" s="41"/>
      <c r="F145" s="41"/>
      <c r="G145" s="41"/>
      <c r="H145" s="41"/>
      <c r="I145" s="41"/>
      <c r="J145" s="41"/>
      <c r="K145" s="41"/>
      <c r="L145" s="41"/>
    </row>
    <row r="146" spans="5:12" s="39" customFormat="1" x14ac:dyDescent="0.3">
      <c r="E146" s="41"/>
      <c r="F146" s="41"/>
      <c r="G146" s="41"/>
      <c r="H146" s="41"/>
      <c r="I146" s="41"/>
      <c r="J146" s="41"/>
      <c r="K146" s="41"/>
      <c r="L146" s="41"/>
    </row>
    <row r="147" spans="5:12" s="39" customFormat="1" x14ac:dyDescent="0.3">
      <c r="E147" s="41"/>
      <c r="F147" s="41"/>
      <c r="G147" s="41"/>
      <c r="H147" s="41"/>
      <c r="I147" s="41"/>
      <c r="J147" s="41"/>
      <c r="K147" s="41"/>
      <c r="L147" s="41"/>
    </row>
    <row r="148" spans="5:12" s="39" customFormat="1" x14ac:dyDescent="0.3">
      <c r="E148" s="41"/>
      <c r="F148" s="41"/>
      <c r="G148" s="41"/>
      <c r="H148" s="41"/>
      <c r="I148" s="41"/>
      <c r="J148" s="41"/>
      <c r="K148" s="41"/>
      <c r="L148" s="41"/>
    </row>
    <row r="149" spans="5:12" s="39" customFormat="1" x14ac:dyDescent="0.3">
      <c r="E149" s="41"/>
      <c r="F149" s="41"/>
      <c r="G149" s="41"/>
      <c r="H149" s="41"/>
      <c r="I149" s="41"/>
      <c r="J149" s="41"/>
      <c r="K149" s="41"/>
      <c r="L149" s="41"/>
    </row>
    <row r="150" spans="5:12" s="39" customFormat="1" x14ac:dyDescent="0.3">
      <c r="E150" s="41"/>
      <c r="F150" s="41"/>
      <c r="G150" s="41"/>
      <c r="H150" s="41"/>
      <c r="I150" s="41"/>
      <c r="J150" s="41"/>
      <c r="K150" s="41"/>
      <c r="L150" s="41"/>
    </row>
    <row r="151" spans="5:12" s="39" customFormat="1" x14ac:dyDescent="0.3">
      <c r="E151" s="41"/>
      <c r="F151" s="41"/>
      <c r="G151" s="41"/>
      <c r="H151" s="41"/>
      <c r="I151" s="41"/>
      <c r="J151" s="41"/>
      <c r="K151" s="41"/>
      <c r="L151" s="41"/>
    </row>
    <row r="152" spans="5:12" s="39" customFormat="1" x14ac:dyDescent="0.3">
      <c r="E152" s="41"/>
      <c r="F152" s="41"/>
      <c r="G152" s="41"/>
      <c r="H152" s="41"/>
      <c r="I152" s="41"/>
      <c r="J152" s="41"/>
      <c r="K152" s="41"/>
      <c r="L152" s="41"/>
    </row>
    <row r="153" spans="5:12" s="39" customFormat="1" x14ac:dyDescent="0.3">
      <c r="E153" s="41"/>
      <c r="F153" s="41"/>
      <c r="G153" s="41"/>
      <c r="H153" s="41"/>
      <c r="I153" s="41"/>
      <c r="J153" s="41"/>
      <c r="K153" s="41"/>
      <c r="L153" s="41"/>
    </row>
    <row r="154" spans="5:12" s="39" customFormat="1" x14ac:dyDescent="0.3">
      <c r="E154" s="41"/>
      <c r="F154" s="41"/>
      <c r="G154" s="41"/>
      <c r="H154" s="41"/>
      <c r="I154" s="41"/>
      <c r="J154" s="41"/>
      <c r="K154" s="41"/>
      <c r="L154" s="41"/>
    </row>
    <row r="155" spans="5:12" s="39" customFormat="1" x14ac:dyDescent="0.3">
      <c r="E155" s="41"/>
      <c r="F155" s="41"/>
      <c r="G155" s="41"/>
      <c r="H155" s="41"/>
      <c r="I155" s="41"/>
      <c r="J155" s="41"/>
      <c r="K155" s="41"/>
      <c r="L155" s="41"/>
    </row>
    <row r="156" spans="5:12" s="39" customFormat="1" x14ac:dyDescent="0.3">
      <c r="E156" s="41"/>
      <c r="F156" s="41"/>
      <c r="G156" s="41"/>
      <c r="H156" s="41"/>
      <c r="I156" s="41"/>
      <c r="J156" s="41"/>
      <c r="K156" s="41"/>
      <c r="L156" s="41"/>
    </row>
    <row r="157" spans="5:12" s="39" customFormat="1" x14ac:dyDescent="0.3">
      <c r="E157" s="41"/>
      <c r="F157" s="41"/>
      <c r="G157" s="41"/>
      <c r="H157" s="41"/>
      <c r="I157" s="41"/>
      <c r="J157" s="41"/>
      <c r="K157" s="41"/>
      <c r="L157" s="41"/>
    </row>
    <row r="158" spans="5:12" s="39" customFormat="1" x14ac:dyDescent="0.3">
      <c r="E158" s="41"/>
      <c r="F158" s="41"/>
      <c r="G158" s="41"/>
      <c r="H158" s="41"/>
      <c r="I158" s="41"/>
      <c r="J158" s="41"/>
      <c r="K158" s="41"/>
      <c r="L158" s="41"/>
    </row>
    <row r="159" spans="5:12" s="39" customFormat="1" x14ac:dyDescent="0.3">
      <c r="E159" s="41"/>
      <c r="F159" s="41"/>
      <c r="G159" s="41"/>
      <c r="H159" s="41"/>
      <c r="I159" s="41"/>
      <c r="J159" s="41"/>
      <c r="K159" s="41"/>
      <c r="L159" s="41"/>
    </row>
    <row r="160" spans="5:12" s="39" customFormat="1" x14ac:dyDescent="0.3">
      <c r="E160" s="41"/>
      <c r="F160" s="41"/>
      <c r="G160" s="41"/>
      <c r="H160" s="41"/>
      <c r="I160" s="41"/>
      <c r="J160" s="41"/>
      <c r="K160" s="41"/>
      <c r="L160" s="41"/>
    </row>
    <row r="161" spans="5:12" s="39" customFormat="1" x14ac:dyDescent="0.3">
      <c r="E161" s="41"/>
      <c r="F161" s="41"/>
      <c r="G161" s="41"/>
      <c r="H161" s="41"/>
      <c r="I161" s="41"/>
      <c r="J161" s="41"/>
      <c r="K161" s="41"/>
      <c r="L161" s="41"/>
    </row>
    <row r="162" spans="5:12" s="39" customFormat="1" x14ac:dyDescent="0.3">
      <c r="E162" s="41"/>
      <c r="F162" s="41"/>
      <c r="G162" s="41"/>
      <c r="H162" s="41"/>
      <c r="I162" s="41"/>
      <c r="J162" s="41"/>
      <c r="K162" s="41"/>
      <c r="L162" s="41"/>
    </row>
    <row r="163" spans="5:12" s="39" customFormat="1" x14ac:dyDescent="0.3">
      <c r="E163" s="41"/>
      <c r="F163" s="41"/>
      <c r="G163" s="41"/>
      <c r="H163" s="41"/>
      <c r="I163" s="41"/>
      <c r="J163" s="41"/>
      <c r="K163" s="41"/>
      <c r="L163" s="41"/>
    </row>
    <row r="164" spans="5:12" s="39" customFormat="1" x14ac:dyDescent="0.3">
      <c r="E164" s="41"/>
      <c r="F164" s="41"/>
      <c r="G164" s="41"/>
      <c r="H164" s="41"/>
      <c r="I164" s="41"/>
      <c r="J164" s="41"/>
      <c r="K164" s="41"/>
      <c r="L164" s="41"/>
    </row>
    <row r="165" spans="5:12" s="39" customFormat="1" x14ac:dyDescent="0.3">
      <c r="E165" s="41"/>
      <c r="F165" s="41"/>
      <c r="G165" s="41"/>
      <c r="H165" s="41"/>
      <c r="I165" s="41"/>
      <c r="J165" s="41"/>
      <c r="K165" s="41"/>
      <c r="L165" s="41"/>
    </row>
    <row r="166" spans="5:12" s="39" customFormat="1" x14ac:dyDescent="0.3">
      <c r="E166" s="41"/>
      <c r="F166" s="41"/>
      <c r="G166" s="41"/>
      <c r="H166" s="41"/>
      <c r="I166" s="41"/>
      <c r="J166" s="41"/>
      <c r="K166" s="41"/>
      <c r="L166" s="41"/>
    </row>
    <row r="167" spans="5:12" s="39" customFormat="1" x14ac:dyDescent="0.3">
      <c r="E167" s="41"/>
      <c r="F167" s="41"/>
      <c r="G167" s="41"/>
      <c r="H167" s="41"/>
      <c r="I167" s="41"/>
      <c r="J167" s="41"/>
      <c r="K167" s="41"/>
      <c r="L167" s="41"/>
    </row>
    <row r="168" spans="5:12" s="39" customFormat="1" x14ac:dyDescent="0.3">
      <c r="E168" s="41"/>
      <c r="F168" s="41"/>
      <c r="G168" s="41"/>
      <c r="H168" s="41"/>
      <c r="I168" s="41"/>
      <c r="J168" s="41"/>
      <c r="K168" s="41"/>
      <c r="L168" s="41"/>
    </row>
    <row r="169" spans="5:12" s="39" customFormat="1" x14ac:dyDescent="0.3">
      <c r="E169" s="41"/>
      <c r="F169" s="41"/>
      <c r="G169" s="41"/>
      <c r="H169" s="41"/>
      <c r="I169" s="41"/>
      <c r="J169" s="41"/>
      <c r="K169" s="41"/>
      <c r="L169" s="41"/>
    </row>
    <row r="170" spans="5:12" s="39" customFormat="1" x14ac:dyDescent="0.3">
      <c r="E170" s="41"/>
      <c r="F170" s="41"/>
      <c r="G170" s="41"/>
      <c r="H170" s="41"/>
      <c r="I170" s="41"/>
      <c r="J170" s="41"/>
      <c r="K170" s="41"/>
      <c r="L170" s="41"/>
    </row>
    <row r="171" spans="5:12" s="39" customFormat="1" x14ac:dyDescent="0.3">
      <c r="E171" s="41"/>
      <c r="F171" s="41"/>
      <c r="G171" s="41"/>
      <c r="H171" s="41"/>
      <c r="I171" s="41"/>
      <c r="J171" s="41"/>
      <c r="K171" s="41"/>
      <c r="L171" s="41"/>
    </row>
    <row r="172" spans="5:12" s="39" customFormat="1" x14ac:dyDescent="0.3">
      <c r="E172" s="41"/>
      <c r="F172" s="41"/>
      <c r="G172" s="41"/>
      <c r="H172" s="41"/>
      <c r="I172" s="41"/>
      <c r="J172" s="41"/>
      <c r="K172" s="41"/>
      <c r="L172" s="41"/>
    </row>
    <row r="173" spans="5:12" s="39" customFormat="1" x14ac:dyDescent="0.3">
      <c r="E173" s="41"/>
      <c r="F173" s="41"/>
      <c r="G173" s="41"/>
      <c r="H173" s="41"/>
      <c r="I173" s="41"/>
      <c r="J173" s="41"/>
      <c r="K173" s="41"/>
      <c r="L173" s="41"/>
    </row>
    <row r="174" spans="5:12" s="39" customFormat="1" x14ac:dyDescent="0.3">
      <c r="E174" s="41"/>
      <c r="F174" s="41"/>
      <c r="G174" s="41"/>
      <c r="H174" s="41"/>
      <c r="I174" s="41"/>
      <c r="J174" s="41"/>
      <c r="K174" s="41"/>
      <c r="L174" s="41"/>
    </row>
    <row r="175" spans="5:12" s="39" customFormat="1" x14ac:dyDescent="0.3">
      <c r="E175" s="41"/>
      <c r="F175" s="41"/>
      <c r="G175" s="41"/>
      <c r="H175" s="41"/>
      <c r="I175" s="41"/>
      <c r="J175" s="41"/>
      <c r="K175" s="41"/>
      <c r="L175" s="41"/>
    </row>
    <row r="176" spans="5:12" s="39" customFormat="1" x14ac:dyDescent="0.3">
      <c r="E176" s="41"/>
      <c r="F176" s="41"/>
      <c r="G176" s="41"/>
      <c r="H176" s="41"/>
      <c r="I176" s="41"/>
      <c r="J176" s="41"/>
      <c r="K176" s="41"/>
      <c r="L176" s="41"/>
    </row>
    <row r="177" spans="5:12" s="39" customFormat="1" x14ac:dyDescent="0.3">
      <c r="E177" s="41"/>
      <c r="F177" s="41"/>
      <c r="G177" s="41"/>
      <c r="H177" s="41"/>
      <c r="I177" s="41"/>
      <c r="J177" s="41"/>
      <c r="K177" s="41"/>
      <c r="L177" s="41"/>
    </row>
    <row r="178" spans="5:12" s="39" customFormat="1" x14ac:dyDescent="0.3">
      <c r="E178" s="41"/>
      <c r="F178" s="41"/>
      <c r="G178" s="41"/>
      <c r="H178" s="41"/>
      <c r="I178" s="41"/>
      <c r="J178" s="41"/>
      <c r="K178" s="41"/>
      <c r="L178" s="41"/>
    </row>
    <row r="179" spans="5:12" s="39" customFormat="1" x14ac:dyDescent="0.3">
      <c r="E179" s="41"/>
      <c r="F179" s="41"/>
      <c r="G179" s="41"/>
      <c r="H179" s="41"/>
      <c r="I179" s="41"/>
      <c r="J179" s="41"/>
      <c r="K179" s="41"/>
      <c r="L179" s="41"/>
    </row>
    <row r="180" spans="5:12" s="39" customFormat="1" x14ac:dyDescent="0.3">
      <c r="E180" s="41"/>
      <c r="F180" s="41"/>
      <c r="G180" s="41"/>
      <c r="H180" s="41"/>
      <c r="I180" s="41"/>
      <c r="J180" s="41"/>
      <c r="K180" s="41"/>
      <c r="L180" s="41"/>
    </row>
    <row r="181" spans="5:12" s="39" customFormat="1" x14ac:dyDescent="0.3">
      <c r="E181" s="41"/>
      <c r="F181" s="41"/>
      <c r="G181" s="41"/>
      <c r="H181" s="41"/>
      <c r="I181" s="41"/>
      <c r="J181" s="41"/>
      <c r="K181" s="41"/>
      <c r="L181" s="41"/>
    </row>
    <row r="182" spans="5:12" s="39" customFormat="1" x14ac:dyDescent="0.3">
      <c r="E182" s="41"/>
      <c r="F182" s="41"/>
      <c r="G182" s="41"/>
      <c r="H182" s="41"/>
      <c r="I182" s="41"/>
      <c r="J182" s="41"/>
      <c r="K182" s="41"/>
      <c r="L182" s="41"/>
    </row>
    <row r="183" spans="5:12" s="39" customFormat="1" x14ac:dyDescent="0.3">
      <c r="E183" s="41"/>
      <c r="F183" s="41"/>
      <c r="G183" s="41"/>
      <c r="H183" s="41"/>
      <c r="I183" s="41"/>
      <c r="J183" s="41"/>
      <c r="K183" s="41"/>
      <c r="L183" s="41"/>
    </row>
    <row r="184" spans="5:12" s="39" customFormat="1" x14ac:dyDescent="0.3">
      <c r="E184" s="41"/>
      <c r="F184" s="41"/>
      <c r="G184" s="41"/>
      <c r="H184" s="41"/>
      <c r="I184" s="41"/>
      <c r="J184" s="41"/>
      <c r="K184" s="41"/>
      <c r="L184" s="41"/>
    </row>
    <row r="185" spans="5:12" s="39" customFormat="1" x14ac:dyDescent="0.3">
      <c r="E185" s="41"/>
      <c r="F185" s="41"/>
      <c r="G185" s="41"/>
      <c r="H185" s="41"/>
      <c r="I185" s="41"/>
      <c r="J185" s="41"/>
      <c r="K185" s="41"/>
      <c r="L185" s="41"/>
    </row>
    <row r="186" spans="5:12" s="39" customFormat="1" x14ac:dyDescent="0.3">
      <c r="E186" s="41"/>
      <c r="F186" s="41"/>
      <c r="G186" s="41"/>
      <c r="H186" s="41"/>
      <c r="I186" s="41"/>
      <c r="J186" s="41"/>
      <c r="K186" s="41"/>
      <c r="L186" s="41"/>
    </row>
    <row r="187" spans="5:12" s="39" customFormat="1" x14ac:dyDescent="0.3">
      <c r="E187" s="41"/>
      <c r="F187" s="41"/>
      <c r="G187" s="41"/>
      <c r="H187" s="41"/>
      <c r="I187" s="41"/>
      <c r="J187" s="41"/>
      <c r="K187" s="41"/>
      <c r="L187" s="41"/>
    </row>
    <row r="188" spans="5:12" s="39" customFormat="1" x14ac:dyDescent="0.3">
      <c r="E188" s="41"/>
      <c r="F188" s="41"/>
      <c r="G188" s="41"/>
      <c r="H188" s="41"/>
      <c r="I188" s="41"/>
      <c r="J188" s="41"/>
      <c r="K188" s="41"/>
      <c r="L188" s="41"/>
    </row>
    <row r="189" spans="5:12" s="39" customFormat="1" x14ac:dyDescent="0.3">
      <c r="E189" s="41"/>
      <c r="F189" s="41"/>
      <c r="G189" s="41"/>
      <c r="H189" s="41"/>
      <c r="I189" s="41"/>
      <c r="J189" s="41"/>
      <c r="K189" s="41"/>
      <c r="L189" s="41"/>
    </row>
    <row r="190" spans="5:12" s="39" customFormat="1" x14ac:dyDescent="0.3">
      <c r="E190" s="41"/>
      <c r="F190" s="41"/>
      <c r="G190" s="41"/>
      <c r="H190" s="41"/>
      <c r="I190" s="41"/>
      <c r="J190" s="41"/>
      <c r="K190" s="41"/>
      <c r="L190" s="41"/>
    </row>
    <row r="191" spans="5:12" s="39" customFormat="1" x14ac:dyDescent="0.3">
      <c r="E191" s="41"/>
      <c r="F191" s="41"/>
      <c r="G191" s="41"/>
      <c r="H191" s="41"/>
      <c r="I191" s="41"/>
      <c r="J191" s="41"/>
      <c r="K191" s="41"/>
      <c r="L191" s="41"/>
    </row>
    <row r="192" spans="5:12" s="39" customFormat="1" x14ac:dyDescent="0.3">
      <c r="E192" s="41"/>
      <c r="F192" s="41"/>
      <c r="G192" s="41"/>
      <c r="H192" s="41"/>
      <c r="I192" s="41"/>
      <c r="J192" s="41"/>
      <c r="K192" s="41"/>
      <c r="L192" s="41"/>
    </row>
    <row r="193" spans="5:12" s="39" customFormat="1" x14ac:dyDescent="0.3">
      <c r="E193" s="41"/>
      <c r="F193" s="41"/>
      <c r="G193" s="41"/>
      <c r="H193" s="41"/>
      <c r="I193" s="41"/>
      <c r="J193" s="41"/>
      <c r="K193" s="41"/>
      <c r="L193" s="41"/>
    </row>
    <row r="194" spans="5:12" s="39" customFormat="1" x14ac:dyDescent="0.3">
      <c r="E194" s="41"/>
      <c r="F194" s="41"/>
      <c r="G194" s="41"/>
      <c r="H194" s="41"/>
      <c r="I194" s="41"/>
      <c r="J194" s="41"/>
      <c r="K194" s="41"/>
      <c r="L194" s="41"/>
    </row>
    <row r="195" spans="5:12" s="39" customFormat="1" x14ac:dyDescent="0.3">
      <c r="E195" s="41"/>
      <c r="F195" s="41"/>
      <c r="G195" s="41"/>
      <c r="H195" s="41"/>
      <c r="I195" s="41"/>
      <c r="J195" s="41"/>
      <c r="K195" s="41"/>
      <c r="L195" s="41"/>
    </row>
    <row r="196" spans="5:12" s="39" customFormat="1" x14ac:dyDescent="0.3">
      <c r="E196" s="41"/>
      <c r="F196" s="41"/>
      <c r="G196" s="41"/>
      <c r="H196" s="41"/>
      <c r="I196" s="41"/>
      <c r="J196" s="41"/>
      <c r="K196" s="41"/>
      <c r="L196" s="41"/>
    </row>
    <row r="197" spans="5:12" s="39" customFormat="1" x14ac:dyDescent="0.3">
      <c r="E197" s="41"/>
      <c r="F197" s="41"/>
      <c r="G197" s="41"/>
      <c r="H197" s="41"/>
      <c r="I197" s="41"/>
      <c r="J197" s="41"/>
      <c r="K197" s="41"/>
      <c r="L197" s="41"/>
    </row>
    <row r="198" spans="5:12" s="39" customFormat="1" x14ac:dyDescent="0.3">
      <c r="E198" s="41"/>
      <c r="F198" s="41"/>
      <c r="G198" s="41"/>
      <c r="H198" s="41"/>
      <c r="I198" s="41"/>
      <c r="J198" s="41"/>
      <c r="K198" s="41"/>
      <c r="L198" s="41"/>
    </row>
    <row r="199" spans="5:12" s="39" customFormat="1" x14ac:dyDescent="0.3">
      <c r="E199" s="41"/>
      <c r="F199" s="41"/>
      <c r="G199" s="41"/>
      <c r="H199" s="41"/>
      <c r="I199" s="41"/>
      <c r="J199" s="41"/>
      <c r="K199" s="41"/>
      <c r="L199" s="41"/>
    </row>
    <row r="200" spans="5:12" s="39" customFormat="1" x14ac:dyDescent="0.3">
      <c r="E200" s="41"/>
      <c r="F200" s="41"/>
      <c r="G200" s="41"/>
      <c r="H200" s="41"/>
      <c r="I200" s="41"/>
      <c r="J200" s="41"/>
      <c r="K200" s="41"/>
      <c r="L200" s="41"/>
    </row>
    <row r="201" spans="5:12" s="39" customFormat="1" x14ac:dyDescent="0.3">
      <c r="E201" s="41"/>
      <c r="F201" s="41"/>
      <c r="G201" s="41"/>
      <c r="H201" s="41"/>
      <c r="I201" s="41"/>
      <c r="J201" s="41"/>
      <c r="K201" s="41"/>
      <c r="L201" s="41"/>
    </row>
    <row r="202" spans="5:12" s="39" customFormat="1" x14ac:dyDescent="0.3">
      <c r="E202" s="41"/>
      <c r="F202" s="41"/>
      <c r="G202" s="41"/>
      <c r="H202" s="41"/>
      <c r="I202" s="41"/>
      <c r="J202" s="41"/>
      <c r="K202" s="41"/>
      <c r="L202" s="41"/>
    </row>
    <row r="203" spans="5:12" s="39" customFormat="1" x14ac:dyDescent="0.3">
      <c r="E203" s="41"/>
      <c r="F203" s="41"/>
      <c r="G203" s="41"/>
      <c r="H203" s="41"/>
      <c r="I203" s="41"/>
      <c r="J203" s="41"/>
      <c r="K203" s="41"/>
      <c r="L203" s="41"/>
    </row>
    <row r="204" spans="5:12" s="39" customFormat="1" x14ac:dyDescent="0.3">
      <c r="E204" s="41"/>
      <c r="F204" s="41"/>
      <c r="G204" s="41"/>
      <c r="H204" s="41"/>
      <c r="I204" s="41"/>
      <c r="J204" s="41"/>
      <c r="K204" s="41"/>
      <c r="L204" s="41"/>
    </row>
    <row r="205" spans="5:12" s="39" customFormat="1" x14ac:dyDescent="0.3">
      <c r="E205" s="41"/>
      <c r="F205" s="41"/>
      <c r="G205" s="41"/>
      <c r="H205" s="41"/>
      <c r="I205" s="41"/>
      <c r="J205" s="41"/>
      <c r="K205" s="41"/>
      <c r="L205" s="41"/>
    </row>
    <row r="206" spans="5:12" s="39" customFormat="1" x14ac:dyDescent="0.3">
      <c r="E206" s="41"/>
      <c r="F206" s="41"/>
      <c r="G206" s="41"/>
      <c r="H206" s="41"/>
      <c r="I206" s="41"/>
      <c r="J206" s="41"/>
      <c r="K206" s="41"/>
      <c r="L206" s="41"/>
    </row>
    <row r="207" spans="5:12" s="39" customFormat="1" x14ac:dyDescent="0.3">
      <c r="E207" s="41"/>
      <c r="F207" s="41"/>
      <c r="G207" s="41"/>
      <c r="H207" s="41"/>
      <c r="I207" s="41"/>
      <c r="J207" s="41"/>
      <c r="K207" s="41"/>
      <c r="L207" s="41"/>
    </row>
    <row r="208" spans="5:12" s="39" customFormat="1" x14ac:dyDescent="0.3">
      <c r="E208" s="41"/>
      <c r="F208" s="41"/>
      <c r="G208" s="41"/>
      <c r="H208" s="41"/>
      <c r="I208" s="41"/>
      <c r="J208" s="41"/>
      <c r="K208" s="41"/>
      <c r="L208" s="41"/>
    </row>
    <row r="209" spans="5:12" s="39" customFormat="1" x14ac:dyDescent="0.3">
      <c r="E209" s="41"/>
      <c r="F209" s="41"/>
      <c r="G209" s="41"/>
      <c r="H209" s="41"/>
      <c r="I209" s="41"/>
      <c r="J209" s="41"/>
      <c r="K209" s="41"/>
      <c r="L209" s="41"/>
    </row>
    <row r="210" spans="5:12" s="39" customFormat="1" x14ac:dyDescent="0.3">
      <c r="E210" s="41"/>
      <c r="F210" s="41"/>
      <c r="G210" s="41"/>
      <c r="H210" s="41"/>
      <c r="I210" s="41"/>
      <c r="J210" s="41"/>
      <c r="K210" s="41"/>
      <c r="L210" s="41"/>
    </row>
    <row r="211" spans="5:12" s="39" customFormat="1" x14ac:dyDescent="0.3">
      <c r="E211" s="41"/>
      <c r="F211" s="41"/>
      <c r="G211" s="41"/>
      <c r="H211" s="41"/>
      <c r="I211" s="41"/>
      <c r="J211" s="41"/>
      <c r="K211" s="41"/>
      <c r="L211" s="41"/>
    </row>
    <row r="212" spans="5:12" s="39" customFormat="1" x14ac:dyDescent="0.3">
      <c r="E212" s="41"/>
      <c r="F212" s="41"/>
      <c r="G212" s="41"/>
      <c r="H212" s="41"/>
      <c r="I212" s="41"/>
      <c r="J212" s="41"/>
      <c r="K212" s="41"/>
      <c r="L212" s="41"/>
    </row>
    <row r="213" spans="5:12" s="39" customFormat="1" x14ac:dyDescent="0.3">
      <c r="E213" s="41"/>
      <c r="F213" s="41"/>
      <c r="G213" s="41"/>
      <c r="H213" s="41"/>
      <c r="I213" s="41"/>
      <c r="J213" s="41"/>
      <c r="K213" s="41"/>
      <c r="L213" s="41"/>
    </row>
    <row r="214" spans="5:12" s="39" customFormat="1" x14ac:dyDescent="0.3">
      <c r="E214" s="41"/>
      <c r="F214" s="41"/>
      <c r="G214" s="41"/>
      <c r="H214" s="41"/>
      <c r="I214" s="41"/>
      <c r="J214" s="41"/>
      <c r="K214" s="41"/>
      <c r="L214" s="41"/>
    </row>
    <row r="215" spans="5:12" s="39" customFormat="1" x14ac:dyDescent="0.3">
      <c r="E215" s="41"/>
      <c r="F215" s="41"/>
      <c r="G215" s="41"/>
      <c r="H215" s="41"/>
      <c r="I215" s="41"/>
      <c r="J215" s="41"/>
      <c r="K215" s="41"/>
      <c r="L215" s="41"/>
    </row>
    <row r="216" spans="5:12" s="39" customFormat="1" x14ac:dyDescent="0.3">
      <c r="E216" s="41"/>
      <c r="F216" s="41"/>
      <c r="G216" s="41"/>
      <c r="H216" s="41"/>
      <c r="I216" s="41"/>
      <c r="J216" s="41"/>
      <c r="K216" s="41"/>
      <c r="L216" s="41"/>
    </row>
    <row r="217" spans="5:12" s="39" customFormat="1" x14ac:dyDescent="0.3">
      <c r="E217" s="41"/>
      <c r="F217" s="41"/>
      <c r="G217" s="41"/>
      <c r="H217" s="41"/>
      <c r="I217" s="41"/>
      <c r="J217" s="41"/>
      <c r="K217" s="41"/>
      <c r="L217" s="41"/>
    </row>
    <row r="218" spans="5:12" s="39" customFormat="1" x14ac:dyDescent="0.3">
      <c r="E218" s="41"/>
      <c r="F218" s="41"/>
      <c r="G218" s="41"/>
      <c r="H218" s="41"/>
      <c r="I218" s="41"/>
      <c r="J218" s="41"/>
      <c r="K218" s="41"/>
      <c r="L218" s="41"/>
    </row>
    <row r="219" spans="5:12" s="39" customFormat="1" x14ac:dyDescent="0.3">
      <c r="E219" s="41"/>
      <c r="F219" s="41"/>
      <c r="G219" s="41"/>
      <c r="H219" s="41"/>
      <c r="I219" s="41"/>
      <c r="J219" s="41"/>
      <c r="K219" s="41"/>
      <c r="L219" s="41"/>
    </row>
    <row r="220" spans="5:12" s="39" customFormat="1" x14ac:dyDescent="0.3">
      <c r="E220" s="41"/>
      <c r="F220" s="41"/>
      <c r="G220" s="41"/>
      <c r="H220" s="41"/>
      <c r="I220" s="41"/>
      <c r="J220" s="41"/>
      <c r="K220" s="41"/>
      <c r="L220" s="41"/>
    </row>
    <row r="221" spans="5:12" s="39" customFormat="1" x14ac:dyDescent="0.3">
      <c r="E221" s="41"/>
      <c r="F221" s="41"/>
      <c r="G221" s="41"/>
      <c r="H221" s="41"/>
      <c r="I221" s="41"/>
      <c r="J221" s="41"/>
      <c r="K221" s="41"/>
      <c r="L221" s="41"/>
    </row>
    <row r="222" spans="5:12" s="39" customFormat="1" x14ac:dyDescent="0.3">
      <c r="E222" s="41"/>
      <c r="F222" s="41"/>
      <c r="G222" s="41"/>
      <c r="H222" s="41"/>
      <c r="I222" s="41"/>
      <c r="J222" s="41"/>
      <c r="K222" s="41"/>
      <c r="L222" s="41"/>
    </row>
    <row r="223" spans="5:12" s="39" customFormat="1" x14ac:dyDescent="0.3">
      <c r="E223" s="41"/>
      <c r="F223" s="41"/>
      <c r="G223" s="41"/>
      <c r="H223" s="41"/>
      <c r="I223" s="41"/>
      <c r="J223" s="41"/>
      <c r="K223" s="41"/>
      <c r="L223" s="41"/>
    </row>
    <row r="224" spans="5:12" s="39" customFormat="1" x14ac:dyDescent="0.3">
      <c r="E224" s="41"/>
      <c r="F224" s="41"/>
      <c r="G224" s="41"/>
      <c r="H224" s="41"/>
      <c r="I224" s="41"/>
      <c r="J224" s="41"/>
      <c r="K224" s="41"/>
      <c r="L224" s="41"/>
    </row>
    <row r="225" spans="5:12" s="39" customFormat="1" x14ac:dyDescent="0.3">
      <c r="E225" s="41"/>
      <c r="F225" s="41"/>
      <c r="G225" s="41"/>
      <c r="H225" s="41"/>
      <c r="I225" s="41"/>
      <c r="J225" s="41"/>
      <c r="K225" s="41"/>
      <c r="L225" s="41"/>
    </row>
    <row r="226" spans="5:12" s="39" customFormat="1" x14ac:dyDescent="0.3">
      <c r="E226" s="41"/>
      <c r="F226" s="41"/>
      <c r="G226" s="41"/>
      <c r="H226" s="41"/>
      <c r="I226" s="41"/>
      <c r="J226" s="41"/>
      <c r="K226" s="41"/>
      <c r="L226" s="41"/>
    </row>
    <row r="227" spans="5:12" s="39" customFormat="1" x14ac:dyDescent="0.3">
      <c r="E227" s="41"/>
      <c r="F227" s="41"/>
      <c r="G227" s="41"/>
      <c r="H227" s="41"/>
      <c r="I227" s="41"/>
      <c r="J227" s="41"/>
      <c r="K227" s="41"/>
      <c r="L227" s="41"/>
    </row>
    <row r="228" spans="5:12" s="39" customFormat="1" x14ac:dyDescent="0.3">
      <c r="E228" s="41"/>
      <c r="F228" s="41"/>
      <c r="G228" s="41"/>
      <c r="H228" s="41"/>
      <c r="I228" s="41"/>
      <c r="J228" s="41"/>
      <c r="K228" s="41"/>
      <c r="L228" s="41"/>
    </row>
    <row r="229" spans="5:12" s="39" customFormat="1" x14ac:dyDescent="0.3">
      <c r="E229" s="41"/>
      <c r="F229" s="41"/>
      <c r="G229" s="41"/>
      <c r="H229" s="41"/>
      <c r="I229" s="41"/>
      <c r="J229" s="41"/>
      <c r="K229" s="41"/>
      <c r="L229" s="41"/>
    </row>
    <row r="230" spans="5:12" s="39" customFormat="1" x14ac:dyDescent="0.3">
      <c r="E230" s="41"/>
      <c r="F230" s="41"/>
      <c r="G230" s="41"/>
      <c r="H230" s="41"/>
      <c r="I230" s="41"/>
      <c r="J230" s="41"/>
      <c r="K230" s="41"/>
      <c r="L230" s="41"/>
    </row>
    <row r="231" spans="5:12" s="39" customFormat="1" x14ac:dyDescent="0.3">
      <c r="E231" s="41"/>
      <c r="F231" s="41"/>
      <c r="G231" s="41"/>
      <c r="H231" s="41"/>
      <c r="I231" s="41"/>
      <c r="J231" s="41"/>
      <c r="K231" s="41"/>
      <c r="L231" s="41"/>
    </row>
    <row r="232" spans="5:12" s="39" customFormat="1" x14ac:dyDescent="0.3">
      <c r="E232" s="41"/>
      <c r="F232" s="41"/>
      <c r="G232" s="41"/>
      <c r="H232" s="41"/>
      <c r="I232" s="41"/>
      <c r="J232" s="41"/>
      <c r="K232" s="41"/>
      <c r="L232" s="41"/>
    </row>
    <row r="233" spans="5:12" s="39" customFormat="1" x14ac:dyDescent="0.3">
      <c r="E233" s="41"/>
      <c r="F233" s="41"/>
      <c r="G233" s="41"/>
      <c r="H233" s="41"/>
      <c r="I233" s="41"/>
      <c r="J233" s="41"/>
      <c r="K233" s="41"/>
      <c r="L233" s="41"/>
    </row>
    <row r="234" spans="5:12" s="39" customFormat="1" x14ac:dyDescent="0.3">
      <c r="E234" s="41"/>
      <c r="F234" s="41"/>
      <c r="G234" s="41"/>
      <c r="H234" s="41"/>
      <c r="I234" s="41"/>
      <c r="J234" s="41"/>
      <c r="K234" s="41"/>
      <c r="L234" s="41"/>
    </row>
    <row r="235" spans="5:12" s="39" customFormat="1" x14ac:dyDescent="0.3">
      <c r="E235" s="41"/>
      <c r="F235" s="41"/>
      <c r="G235" s="41"/>
      <c r="H235" s="41"/>
      <c r="I235" s="41"/>
      <c r="J235" s="41"/>
      <c r="K235" s="41"/>
      <c r="L235" s="41"/>
    </row>
    <row r="236" spans="5:12" s="39" customFormat="1" x14ac:dyDescent="0.3">
      <c r="E236" s="41"/>
      <c r="F236" s="41"/>
      <c r="G236" s="41"/>
      <c r="H236" s="41"/>
      <c r="I236" s="41"/>
      <c r="J236" s="41"/>
      <c r="K236" s="41"/>
      <c r="L236" s="41"/>
    </row>
    <row r="237" spans="5:12" s="39" customFormat="1" x14ac:dyDescent="0.3">
      <c r="E237" s="41"/>
      <c r="F237" s="41"/>
      <c r="G237" s="41"/>
      <c r="H237" s="41"/>
      <c r="I237" s="41"/>
      <c r="J237" s="41"/>
      <c r="K237" s="41"/>
      <c r="L237" s="41"/>
    </row>
    <row r="238" spans="5:12" s="39" customFormat="1" x14ac:dyDescent="0.3">
      <c r="E238" s="41"/>
      <c r="F238" s="41"/>
      <c r="G238" s="41"/>
      <c r="H238" s="41"/>
      <c r="I238" s="41"/>
      <c r="J238" s="41"/>
      <c r="K238" s="41"/>
      <c r="L238" s="41"/>
    </row>
    <row r="239" spans="5:12" s="39" customFormat="1" x14ac:dyDescent="0.3">
      <c r="E239" s="41"/>
      <c r="F239" s="41"/>
      <c r="G239" s="41"/>
      <c r="H239" s="41"/>
      <c r="I239" s="41"/>
      <c r="J239" s="41"/>
      <c r="K239" s="41"/>
      <c r="L239" s="41"/>
    </row>
    <row r="240" spans="5:12" s="39" customFormat="1" x14ac:dyDescent="0.3">
      <c r="E240" s="41"/>
      <c r="F240" s="41"/>
      <c r="G240" s="41"/>
      <c r="H240" s="41"/>
      <c r="I240" s="41"/>
      <c r="J240" s="41"/>
      <c r="K240" s="41"/>
      <c r="L240" s="41"/>
    </row>
    <row r="241" spans="5:12" s="39" customFormat="1" x14ac:dyDescent="0.3">
      <c r="E241" s="41"/>
      <c r="F241" s="41"/>
      <c r="G241" s="41"/>
      <c r="H241" s="41"/>
      <c r="I241" s="41"/>
      <c r="J241" s="41"/>
      <c r="K241" s="41"/>
      <c r="L241" s="41"/>
    </row>
    <row r="242" spans="5:12" s="39" customFormat="1" x14ac:dyDescent="0.3">
      <c r="E242" s="41"/>
      <c r="F242" s="41"/>
      <c r="G242" s="41"/>
      <c r="H242" s="41"/>
      <c r="I242" s="41"/>
      <c r="J242" s="41"/>
      <c r="K242" s="41"/>
      <c r="L242" s="41"/>
    </row>
    <row r="243" spans="5:12" s="39" customFormat="1" x14ac:dyDescent="0.3">
      <c r="E243" s="41"/>
      <c r="F243" s="41"/>
      <c r="G243" s="41"/>
      <c r="H243" s="41"/>
      <c r="I243" s="41"/>
      <c r="J243" s="41"/>
      <c r="K243" s="41"/>
      <c r="L243" s="41"/>
    </row>
    <row r="244" spans="5:12" s="39" customFormat="1" x14ac:dyDescent="0.3">
      <c r="E244" s="41"/>
      <c r="F244" s="41"/>
      <c r="G244" s="41"/>
      <c r="H244" s="41"/>
      <c r="I244" s="41"/>
      <c r="J244" s="41"/>
      <c r="K244" s="41"/>
      <c r="L244" s="41"/>
    </row>
    <row r="245" spans="5:12" s="39" customFormat="1" x14ac:dyDescent="0.3">
      <c r="E245" s="41"/>
      <c r="F245" s="41"/>
      <c r="G245" s="41"/>
      <c r="H245" s="41"/>
      <c r="I245" s="41"/>
      <c r="J245" s="41"/>
      <c r="K245" s="41"/>
      <c r="L245" s="41"/>
    </row>
    <row r="246" spans="5:12" s="39" customFormat="1" x14ac:dyDescent="0.3">
      <c r="E246" s="41"/>
      <c r="F246" s="41"/>
      <c r="G246" s="41"/>
      <c r="H246" s="41"/>
      <c r="I246" s="41"/>
      <c r="J246" s="41"/>
      <c r="K246" s="41"/>
      <c r="L246" s="41"/>
    </row>
    <row r="247" spans="5:12" s="39" customFormat="1" x14ac:dyDescent="0.3">
      <c r="E247" s="41"/>
      <c r="F247" s="41"/>
      <c r="G247" s="41"/>
      <c r="H247" s="41"/>
      <c r="I247" s="41"/>
      <c r="J247" s="41"/>
      <c r="K247" s="41"/>
      <c r="L247" s="41"/>
    </row>
    <row r="248" spans="5:12" s="39" customFormat="1" x14ac:dyDescent="0.3">
      <c r="E248" s="41"/>
      <c r="F248" s="41"/>
      <c r="G248" s="41"/>
      <c r="H248" s="41"/>
      <c r="I248" s="41"/>
      <c r="J248" s="41"/>
      <c r="K248" s="41"/>
      <c r="L248" s="41"/>
    </row>
    <row r="249" spans="5:12" s="39" customFormat="1" x14ac:dyDescent="0.3">
      <c r="E249" s="41"/>
      <c r="F249" s="41"/>
      <c r="G249" s="41"/>
      <c r="H249" s="41"/>
      <c r="I249" s="41"/>
      <c r="J249" s="41"/>
      <c r="K249" s="41"/>
      <c r="L249" s="41"/>
    </row>
    <row r="250" spans="5:12" s="39" customFormat="1" x14ac:dyDescent="0.3">
      <c r="E250" s="41"/>
      <c r="F250" s="41"/>
      <c r="G250" s="41"/>
      <c r="H250" s="41"/>
      <c r="I250" s="41"/>
      <c r="J250" s="41"/>
      <c r="K250" s="41"/>
      <c r="L250" s="41"/>
    </row>
    <row r="251" spans="5:12" s="39" customFormat="1" x14ac:dyDescent="0.3">
      <c r="E251" s="41"/>
      <c r="F251" s="41"/>
      <c r="G251" s="41"/>
      <c r="H251" s="41"/>
      <c r="I251" s="41"/>
      <c r="J251" s="41"/>
      <c r="K251" s="41"/>
      <c r="L251" s="41"/>
    </row>
    <row r="252" spans="5:12" s="39" customFormat="1" x14ac:dyDescent="0.3">
      <c r="E252" s="41"/>
      <c r="F252" s="41"/>
      <c r="G252" s="41"/>
      <c r="H252" s="41"/>
      <c r="I252" s="41"/>
      <c r="J252" s="41"/>
      <c r="K252" s="41"/>
      <c r="L252" s="41"/>
    </row>
    <row r="253" spans="5:12" s="39" customFormat="1" x14ac:dyDescent="0.3">
      <c r="E253" s="41"/>
      <c r="F253" s="41"/>
      <c r="G253" s="41"/>
      <c r="H253" s="41"/>
      <c r="I253" s="41"/>
      <c r="J253" s="41"/>
      <c r="K253" s="41"/>
      <c r="L253" s="41"/>
    </row>
    <row r="254" spans="5:12" s="39" customFormat="1" x14ac:dyDescent="0.3">
      <c r="E254" s="41"/>
      <c r="F254" s="41"/>
      <c r="G254" s="41"/>
      <c r="H254" s="41"/>
      <c r="I254" s="41"/>
      <c r="J254" s="41"/>
      <c r="K254" s="41"/>
      <c r="L254" s="41"/>
    </row>
    <row r="255" spans="5:12" s="39" customFormat="1" x14ac:dyDescent="0.3">
      <c r="E255" s="41"/>
      <c r="F255" s="41"/>
      <c r="G255" s="41"/>
      <c r="H255" s="41"/>
      <c r="I255" s="41"/>
      <c r="J255" s="41"/>
      <c r="K255" s="41"/>
      <c r="L255" s="41"/>
    </row>
    <row r="256" spans="5:12" s="39" customFormat="1" x14ac:dyDescent="0.3">
      <c r="E256" s="41"/>
      <c r="F256" s="41"/>
      <c r="G256" s="41"/>
      <c r="H256" s="41"/>
      <c r="I256" s="41"/>
      <c r="J256" s="41"/>
      <c r="K256" s="41"/>
      <c r="L256" s="41"/>
    </row>
    <row r="257" spans="5:12" s="39" customFormat="1" x14ac:dyDescent="0.3">
      <c r="E257" s="41"/>
      <c r="F257" s="41"/>
      <c r="G257" s="41"/>
      <c r="H257" s="41"/>
      <c r="I257" s="41"/>
      <c r="J257" s="41"/>
      <c r="K257" s="41"/>
      <c r="L257" s="41"/>
    </row>
    <row r="258" spans="5:12" s="39" customFormat="1" x14ac:dyDescent="0.3">
      <c r="E258" s="41"/>
      <c r="F258" s="41"/>
      <c r="G258" s="41"/>
      <c r="H258" s="41"/>
      <c r="I258" s="41"/>
      <c r="J258" s="41"/>
      <c r="K258" s="41"/>
      <c r="L258" s="41"/>
    </row>
    <row r="259" spans="5:12" s="39" customFormat="1" x14ac:dyDescent="0.3">
      <c r="E259" s="41"/>
      <c r="F259" s="41"/>
      <c r="G259" s="41"/>
      <c r="H259" s="41"/>
      <c r="I259" s="41"/>
      <c r="J259" s="41"/>
      <c r="K259" s="41"/>
      <c r="L259" s="41"/>
    </row>
    <row r="260" spans="5:12" s="39" customFormat="1" x14ac:dyDescent="0.3">
      <c r="E260" s="41"/>
      <c r="F260" s="41"/>
      <c r="G260" s="41"/>
      <c r="H260" s="41"/>
      <c r="I260" s="41"/>
      <c r="J260" s="41"/>
      <c r="K260" s="41"/>
      <c r="L260" s="41"/>
    </row>
    <row r="261" spans="5:12" s="39" customFormat="1" x14ac:dyDescent="0.3">
      <c r="E261" s="41"/>
      <c r="F261" s="41"/>
      <c r="G261" s="41"/>
      <c r="H261" s="41"/>
      <c r="I261" s="41"/>
      <c r="J261" s="41"/>
      <c r="K261" s="41"/>
      <c r="L261" s="41"/>
    </row>
    <row r="262" spans="5:12" s="39" customFormat="1" x14ac:dyDescent="0.3">
      <c r="E262" s="41"/>
      <c r="F262" s="41"/>
      <c r="G262" s="41"/>
      <c r="H262" s="41"/>
      <c r="I262" s="41"/>
      <c r="J262" s="41"/>
      <c r="K262" s="41"/>
      <c r="L262" s="41"/>
    </row>
    <row r="263" spans="5:12" s="39" customFormat="1" x14ac:dyDescent="0.3">
      <c r="E263" s="41"/>
      <c r="F263" s="41"/>
      <c r="G263" s="41"/>
      <c r="H263" s="41"/>
      <c r="I263" s="41"/>
      <c r="J263" s="41"/>
      <c r="K263" s="41"/>
      <c r="L263" s="41"/>
    </row>
    <row r="264" spans="5:12" s="39" customFormat="1" x14ac:dyDescent="0.3">
      <c r="E264" s="41"/>
      <c r="F264" s="41"/>
      <c r="G264" s="41"/>
      <c r="H264" s="41"/>
      <c r="I264" s="41"/>
      <c r="J264" s="41"/>
      <c r="K264" s="41"/>
      <c r="L264" s="41"/>
    </row>
    <row r="265" spans="5:12" s="39" customFormat="1" x14ac:dyDescent="0.3">
      <c r="E265" s="41"/>
      <c r="F265" s="41"/>
      <c r="G265" s="41"/>
      <c r="H265" s="41"/>
      <c r="I265" s="41"/>
      <c r="J265" s="41"/>
      <c r="K265" s="41"/>
      <c r="L265" s="41"/>
    </row>
    <row r="266" spans="5:12" s="39" customFormat="1" x14ac:dyDescent="0.3">
      <c r="E266" s="41"/>
      <c r="F266" s="41"/>
      <c r="G266" s="41"/>
      <c r="H266" s="41"/>
      <c r="I266" s="41"/>
      <c r="J266" s="41"/>
      <c r="K266" s="41"/>
      <c r="L266" s="41"/>
    </row>
    <row r="267" spans="5:12" s="39" customFormat="1" x14ac:dyDescent="0.3">
      <c r="E267" s="41"/>
      <c r="F267" s="41"/>
      <c r="G267" s="41"/>
      <c r="H267" s="41"/>
      <c r="I267" s="41"/>
      <c r="J267" s="41"/>
      <c r="K267" s="41"/>
      <c r="L267" s="41"/>
    </row>
    <row r="268" spans="5:12" s="39" customFormat="1" x14ac:dyDescent="0.3">
      <c r="E268" s="41"/>
      <c r="F268" s="41"/>
      <c r="G268" s="41"/>
      <c r="H268" s="41"/>
      <c r="I268" s="41"/>
      <c r="J268" s="41"/>
      <c r="K268" s="41"/>
      <c r="L268" s="41"/>
    </row>
    <row r="269" spans="5:12" s="39" customFormat="1" x14ac:dyDescent="0.3">
      <c r="E269" s="41"/>
      <c r="F269" s="41"/>
      <c r="G269" s="41"/>
      <c r="H269" s="41"/>
      <c r="I269" s="41"/>
      <c r="J269" s="41"/>
      <c r="K269" s="41"/>
      <c r="L269" s="41"/>
    </row>
    <row r="270" spans="5:12" s="39" customFormat="1" x14ac:dyDescent="0.3">
      <c r="E270" s="41"/>
      <c r="F270" s="41"/>
      <c r="G270" s="41"/>
      <c r="H270" s="41"/>
      <c r="I270" s="41"/>
      <c r="J270" s="41"/>
      <c r="K270" s="41"/>
      <c r="L270" s="41"/>
    </row>
    <row r="271" spans="5:12" s="39" customFormat="1" x14ac:dyDescent="0.3">
      <c r="E271" s="41"/>
      <c r="F271" s="41"/>
      <c r="G271" s="41"/>
      <c r="H271" s="41"/>
      <c r="I271" s="41"/>
      <c r="J271" s="41"/>
      <c r="K271" s="41"/>
      <c r="L271" s="41"/>
    </row>
    <row r="272" spans="5:12" s="39" customFormat="1" x14ac:dyDescent="0.3">
      <c r="E272" s="41"/>
      <c r="F272" s="41"/>
      <c r="G272" s="41"/>
      <c r="H272" s="41"/>
      <c r="I272" s="41"/>
      <c r="J272" s="41"/>
      <c r="K272" s="41"/>
      <c r="L272" s="41"/>
    </row>
    <row r="273" spans="5:12" s="39" customFormat="1" x14ac:dyDescent="0.3">
      <c r="E273" s="41"/>
      <c r="F273" s="41"/>
      <c r="G273" s="41"/>
      <c r="H273" s="41"/>
      <c r="I273" s="41"/>
      <c r="J273" s="41"/>
      <c r="K273" s="41"/>
      <c r="L273" s="41"/>
    </row>
    <row r="274" spans="5:12" s="39" customFormat="1" x14ac:dyDescent="0.3">
      <c r="E274" s="41"/>
      <c r="F274" s="41"/>
      <c r="G274" s="41"/>
      <c r="H274" s="41"/>
      <c r="I274" s="41"/>
      <c r="J274" s="41"/>
      <c r="K274" s="41"/>
      <c r="L274" s="41"/>
    </row>
    <row r="275" spans="5:12" s="39" customFormat="1" x14ac:dyDescent="0.3">
      <c r="E275" s="41"/>
      <c r="F275" s="41"/>
      <c r="G275" s="41"/>
      <c r="H275" s="41"/>
      <c r="I275" s="41"/>
      <c r="J275" s="41"/>
      <c r="K275" s="41"/>
      <c r="L275" s="41"/>
    </row>
    <row r="276" spans="5:12" s="39" customFormat="1" x14ac:dyDescent="0.3">
      <c r="E276" s="41"/>
      <c r="F276" s="41"/>
      <c r="G276" s="41"/>
      <c r="H276" s="41"/>
      <c r="I276" s="41"/>
      <c r="J276" s="41"/>
      <c r="K276" s="41"/>
      <c r="L276" s="41"/>
    </row>
    <row r="277" spans="5:12" s="39" customFormat="1" x14ac:dyDescent="0.3">
      <c r="E277" s="41"/>
      <c r="F277" s="41"/>
      <c r="G277" s="41"/>
      <c r="H277" s="41"/>
      <c r="I277" s="41"/>
      <c r="J277" s="41"/>
      <c r="K277" s="41"/>
      <c r="L277" s="41"/>
    </row>
    <row r="278" spans="5:12" s="39" customFormat="1" x14ac:dyDescent="0.3">
      <c r="E278" s="41"/>
      <c r="F278" s="41"/>
      <c r="G278" s="41"/>
      <c r="H278" s="41"/>
      <c r="I278" s="41"/>
      <c r="J278" s="41"/>
      <c r="K278" s="41"/>
      <c r="L278" s="41"/>
    </row>
    <row r="279" spans="5:12" s="39" customFormat="1" x14ac:dyDescent="0.3">
      <c r="E279" s="41"/>
      <c r="F279" s="41"/>
      <c r="G279" s="41"/>
      <c r="H279" s="41"/>
      <c r="I279" s="41"/>
      <c r="J279" s="41"/>
      <c r="K279" s="41"/>
      <c r="L279" s="41"/>
    </row>
    <row r="280" spans="5:12" s="39" customFormat="1" x14ac:dyDescent="0.3">
      <c r="E280" s="41"/>
      <c r="F280" s="41"/>
      <c r="G280" s="41"/>
      <c r="H280" s="41"/>
      <c r="I280" s="41"/>
      <c r="J280" s="41"/>
      <c r="K280" s="41"/>
      <c r="L280" s="41"/>
    </row>
    <row r="281" spans="5:12" s="39" customFormat="1" x14ac:dyDescent="0.3">
      <c r="E281" s="41"/>
      <c r="F281" s="41"/>
      <c r="G281" s="41"/>
      <c r="H281" s="41"/>
      <c r="I281" s="41"/>
      <c r="J281" s="41"/>
      <c r="K281" s="41"/>
      <c r="L281" s="41"/>
    </row>
    <row r="282" spans="5:12" s="39" customFormat="1" x14ac:dyDescent="0.3">
      <c r="E282" s="41"/>
      <c r="F282" s="41"/>
      <c r="G282" s="41"/>
      <c r="H282" s="41"/>
      <c r="I282" s="41"/>
      <c r="J282" s="41"/>
      <c r="K282" s="41"/>
      <c r="L282" s="41"/>
    </row>
    <row r="283" spans="5:12" s="39" customFormat="1" x14ac:dyDescent="0.3">
      <c r="E283" s="41"/>
      <c r="F283" s="41"/>
      <c r="G283" s="41"/>
      <c r="H283" s="41"/>
      <c r="I283" s="41"/>
      <c r="J283" s="41"/>
      <c r="K283" s="41"/>
      <c r="L283" s="41"/>
    </row>
    <row r="284" spans="5:12" s="39" customFormat="1" x14ac:dyDescent="0.3">
      <c r="E284" s="41"/>
      <c r="F284" s="41"/>
      <c r="G284" s="41"/>
      <c r="H284" s="41"/>
      <c r="I284" s="41"/>
      <c r="J284" s="41"/>
      <c r="K284" s="41"/>
      <c r="L284" s="41"/>
    </row>
    <row r="285" spans="5:12" s="39" customFormat="1" x14ac:dyDescent="0.3">
      <c r="E285" s="41"/>
      <c r="F285" s="41"/>
      <c r="G285" s="41"/>
      <c r="H285" s="41"/>
      <c r="I285" s="41"/>
      <c r="J285" s="41"/>
      <c r="K285" s="41"/>
      <c r="L285" s="41"/>
    </row>
    <row r="286" spans="5:12" s="39" customFormat="1" x14ac:dyDescent="0.3">
      <c r="E286" s="41"/>
      <c r="F286" s="41"/>
      <c r="G286" s="41"/>
      <c r="H286" s="41"/>
      <c r="I286" s="41"/>
      <c r="J286" s="41"/>
      <c r="K286" s="41"/>
      <c r="L286" s="41"/>
    </row>
    <row r="287" spans="5:12" s="39" customFormat="1" x14ac:dyDescent="0.3">
      <c r="E287" s="41"/>
      <c r="F287" s="41"/>
      <c r="G287" s="41"/>
      <c r="H287" s="41"/>
      <c r="I287" s="41"/>
      <c r="J287" s="41"/>
      <c r="K287" s="41"/>
      <c r="L287" s="41"/>
    </row>
    <row r="288" spans="5:12" s="39" customFormat="1" x14ac:dyDescent="0.3">
      <c r="E288" s="41"/>
      <c r="F288" s="41"/>
      <c r="G288" s="41"/>
      <c r="H288" s="41"/>
      <c r="I288" s="41"/>
      <c r="J288" s="41"/>
      <c r="K288" s="41"/>
      <c r="L288" s="41"/>
    </row>
    <row r="289" spans="5:12" s="39" customFormat="1" x14ac:dyDescent="0.3">
      <c r="E289" s="41"/>
      <c r="F289" s="41"/>
      <c r="G289" s="41"/>
      <c r="H289" s="41"/>
      <c r="I289" s="41"/>
      <c r="J289" s="41"/>
      <c r="K289" s="41"/>
      <c r="L289" s="41"/>
    </row>
    <row r="290" spans="5:12" s="39" customFormat="1" x14ac:dyDescent="0.3">
      <c r="E290" s="41"/>
      <c r="F290" s="41"/>
      <c r="G290" s="41"/>
      <c r="H290" s="41"/>
      <c r="I290" s="41"/>
      <c r="J290" s="41"/>
      <c r="K290" s="41"/>
      <c r="L290" s="41"/>
    </row>
    <row r="291" spans="5:12" s="39" customFormat="1" x14ac:dyDescent="0.3">
      <c r="E291" s="41"/>
      <c r="F291" s="41"/>
      <c r="G291" s="41"/>
      <c r="H291" s="41"/>
      <c r="I291" s="41"/>
      <c r="J291" s="41"/>
      <c r="K291" s="41"/>
      <c r="L291" s="41"/>
    </row>
    <row r="292" spans="5:12" s="39" customFormat="1" x14ac:dyDescent="0.3">
      <c r="E292" s="41"/>
      <c r="F292" s="41"/>
      <c r="G292" s="41"/>
      <c r="H292" s="41"/>
      <c r="I292" s="41"/>
      <c r="J292" s="41"/>
      <c r="K292" s="41"/>
      <c r="L292" s="41"/>
    </row>
    <row r="293" spans="5:12" s="39" customFormat="1" x14ac:dyDescent="0.3">
      <c r="E293" s="41"/>
      <c r="F293" s="41"/>
      <c r="G293" s="41"/>
      <c r="H293" s="41"/>
      <c r="I293" s="41"/>
      <c r="J293" s="41"/>
      <c r="K293" s="41"/>
      <c r="L293" s="41"/>
    </row>
    <row r="294" spans="5:12" s="39" customFormat="1" x14ac:dyDescent="0.3">
      <c r="E294" s="41"/>
      <c r="F294" s="41"/>
      <c r="G294" s="41"/>
      <c r="H294" s="41"/>
      <c r="I294" s="41"/>
      <c r="J294" s="41"/>
      <c r="K294" s="41"/>
      <c r="L294" s="41"/>
    </row>
    <row r="295" spans="5:12" s="39" customFormat="1" x14ac:dyDescent="0.3">
      <c r="E295" s="41"/>
      <c r="F295" s="41"/>
      <c r="G295" s="41"/>
      <c r="H295" s="41"/>
      <c r="I295" s="41"/>
      <c r="J295" s="41"/>
      <c r="K295" s="41"/>
      <c r="L295" s="41"/>
    </row>
    <row r="296" spans="5:12" s="39" customFormat="1" x14ac:dyDescent="0.3">
      <c r="E296" s="41"/>
      <c r="F296" s="41"/>
      <c r="G296" s="41"/>
      <c r="H296" s="41"/>
      <c r="I296" s="41"/>
      <c r="J296" s="41"/>
      <c r="K296" s="41"/>
      <c r="L296" s="41"/>
    </row>
    <row r="297" spans="5:12" s="39" customFormat="1" x14ac:dyDescent="0.3">
      <c r="E297" s="41"/>
      <c r="F297" s="41"/>
      <c r="G297" s="41"/>
      <c r="H297" s="41"/>
      <c r="I297" s="41"/>
      <c r="J297" s="41"/>
      <c r="K297" s="41"/>
      <c r="L297" s="41"/>
    </row>
    <row r="298" spans="5:12" s="39" customFormat="1" x14ac:dyDescent="0.3">
      <c r="E298" s="41"/>
      <c r="F298" s="41"/>
      <c r="G298" s="41"/>
      <c r="H298" s="41"/>
      <c r="I298" s="41"/>
      <c r="J298" s="41"/>
      <c r="K298" s="41"/>
      <c r="L298" s="41"/>
    </row>
    <row r="299" spans="5:12" s="39" customFormat="1" x14ac:dyDescent="0.3">
      <c r="E299" s="41"/>
      <c r="F299" s="41"/>
      <c r="G299" s="41"/>
      <c r="H299" s="41"/>
      <c r="I299" s="41"/>
      <c r="J299" s="41"/>
      <c r="K299" s="41"/>
      <c r="L299" s="41"/>
    </row>
    <row r="300" spans="5:12" s="39" customFormat="1" x14ac:dyDescent="0.3">
      <c r="E300" s="41"/>
      <c r="F300" s="41"/>
      <c r="G300" s="41"/>
      <c r="H300" s="41"/>
      <c r="I300" s="41"/>
      <c r="J300" s="41"/>
      <c r="K300" s="41"/>
      <c r="L300" s="41"/>
    </row>
    <row r="301" spans="5:12" s="39" customFormat="1" x14ac:dyDescent="0.3">
      <c r="E301" s="41"/>
      <c r="F301" s="41"/>
      <c r="G301" s="41"/>
      <c r="H301" s="41"/>
      <c r="I301" s="41"/>
      <c r="J301" s="41"/>
      <c r="K301" s="41"/>
      <c r="L301" s="41"/>
    </row>
    <row r="302" spans="5:12" s="39" customFormat="1" x14ac:dyDescent="0.3">
      <c r="E302" s="41"/>
      <c r="F302" s="41"/>
      <c r="G302" s="41"/>
      <c r="H302" s="41"/>
      <c r="I302" s="41"/>
      <c r="J302" s="41"/>
      <c r="K302" s="41"/>
      <c r="L302" s="41"/>
    </row>
    <row r="303" spans="5:12" s="39" customFormat="1" x14ac:dyDescent="0.3">
      <c r="E303" s="41"/>
      <c r="F303" s="41"/>
      <c r="G303" s="41"/>
      <c r="H303" s="41"/>
      <c r="I303" s="41"/>
      <c r="J303" s="41"/>
      <c r="K303" s="41"/>
      <c r="L303" s="41"/>
    </row>
    <row r="304" spans="5:12" s="39" customFormat="1" x14ac:dyDescent="0.3">
      <c r="E304" s="41"/>
      <c r="F304" s="41"/>
      <c r="G304" s="41"/>
      <c r="H304" s="41"/>
      <c r="I304" s="41"/>
      <c r="J304" s="41"/>
      <c r="K304" s="41"/>
      <c r="L304" s="41"/>
    </row>
    <row r="305" spans="5:12" s="39" customFormat="1" x14ac:dyDescent="0.3">
      <c r="E305" s="41"/>
      <c r="F305" s="41"/>
      <c r="G305" s="41"/>
      <c r="H305" s="41"/>
      <c r="I305" s="41"/>
      <c r="J305" s="41"/>
      <c r="K305" s="41"/>
      <c r="L305" s="41"/>
    </row>
    <row r="306" spans="5:12" s="39" customFormat="1" x14ac:dyDescent="0.3">
      <c r="E306" s="41"/>
      <c r="F306" s="41"/>
      <c r="G306" s="41"/>
      <c r="H306" s="41"/>
      <c r="I306" s="41"/>
      <c r="J306" s="41"/>
      <c r="K306" s="41"/>
      <c r="L306" s="41"/>
    </row>
    <row r="307" spans="5:12" s="39" customFormat="1" x14ac:dyDescent="0.3">
      <c r="E307" s="41"/>
      <c r="F307" s="41"/>
      <c r="G307" s="41"/>
      <c r="H307" s="41"/>
      <c r="I307" s="41"/>
      <c r="J307" s="41"/>
      <c r="K307" s="41"/>
      <c r="L307" s="41"/>
    </row>
    <row r="308" spans="5:12" s="39" customFormat="1" x14ac:dyDescent="0.3">
      <c r="E308" s="41"/>
      <c r="F308" s="41"/>
      <c r="G308" s="41"/>
      <c r="H308" s="41"/>
      <c r="I308" s="41"/>
      <c r="J308" s="41"/>
      <c r="K308" s="41"/>
      <c r="L308" s="41"/>
    </row>
    <row r="309" spans="5:12" s="39" customFormat="1" x14ac:dyDescent="0.3">
      <c r="E309" s="41"/>
      <c r="F309" s="41"/>
      <c r="G309" s="41"/>
      <c r="H309" s="41"/>
      <c r="I309" s="41"/>
      <c r="J309" s="41"/>
      <c r="K309" s="41"/>
      <c r="L309" s="41"/>
    </row>
    <row r="310" spans="5:12" s="39" customFormat="1" x14ac:dyDescent="0.3">
      <c r="E310" s="41"/>
      <c r="F310" s="41"/>
      <c r="G310" s="41"/>
      <c r="H310" s="41"/>
      <c r="I310" s="41"/>
      <c r="J310" s="41"/>
      <c r="K310" s="41"/>
      <c r="L310" s="41"/>
    </row>
    <row r="311" spans="5:12" s="39" customFormat="1" x14ac:dyDescent="0.3">
      <c r="E311" s="41"/>
      <c r="F311" s="41"/>
      <c r="G311" s="41"/>
      <c r="H311" s="41"/>
      <c r="I311" s="41"/>
      <c r="J311" s="41"/>
      <c r="K311" s="41"/>
      <c r="L311" s="41"/>
    </row>
    <row r="312" spans="5:12" s="39" customFormat="1" x14ac:dyDescent="0.3">
      <c r="E312" s="41"/>
      <c r="F312" s="41"/>
      <c r="G312" s="41"/>
      <c r="H312" s="41"/>
      <c r="I312" s="41"/>
      <c r="J312" s="41"/>
      <c r="K312" s="41"/>
      <c r="L312" s="41"/>
    </row>
    <row r="313" spans="5:12" s="39" customFormat="1" x14ac:dyDescent="0.3">
      <c r="E313" s="41"/>
      <c r="F313" s="41"/>
      <c r="G313" s="41"/>
      <c r="H313" s="41"/>
      <c r="I313" s="41"/>
      <c r="J313" s="41"/>
      <c r="K313" s="41"/>
      <c r="L313" s="41"/>
    </row>
    <row r="314" spans="5:12" s="39" customFormat="1" x14ac:dyDescent="0.3">
      <c r="E314" s="41"/>
      <c r="F314" s="41"/>
      <c r="G314" s="41"/>
      <c r="H314" s="41"/>
      <c r="I314" s="41"/>
      <c r="J314" s="41"/>
      <c r="K314" s="41"/>
      <c r="L314" s="41"/>
    </row>
    <row r="315" spans="5:12" s="39" customFormat="1" x14ac:dyDescent="0.3">
      <c r="E315" s="41"/>
      <c r="F315" s="41"/>
      <c r="G315" s="41"/>
      <c r="H315" s="41"/>
      <c r="I315" s="41"/>
      <c r="J315" s="41"/>
      <c r="K315" s="41"/>
      <c r="L315" s="41"/>
    </row>
    <row r="316" spans="5:12" s="39" customFormat="1" x14ac:dyDescent="0.3">
      <c r="E316" s="41"/>
      <c r="F316" s="41"/>
      <c r="G316" s="41"/>
      <c r="H316" s="41"/>
      <c r="I316" s="41"/>
      <c r="J316" s="41"/>
      <c r="K316" s="41"/>
      <c r="L316" s="41"/>
    </row>
    <row r="317" spans="5:12" s="39" customFormat="1" x14ac:dyDescent="0.3">
      <c r="E317" s="41"/>
      <c r="F317" s="41"/>
      <c r="G317" s="41"/>
      <c r="H317" s="41"/>
      <c r="I317" s="41"/>
      <c r="J317" s="41"/>
      <c r="K317" s="41"/>
      <c r="L317" s="41"/>
    </row>
    <row r="318" spans="5:12" s="39" customFormat="1" x14ac:dyDescent="0.3">
      <c r="E318" s="41"/>
      <c r="F318" s="41"/>
      <c r="G318" s="41"/>
      <c r="H318" s="41"/>
      <c r="I318" s="41"/>
      <c r="J318" s="41"/>
      <c r="K318" s="41"/>
      <c r="L318" s="41"/>
    </row>
    <row r="319" spans="5:12" s="39" customFormat="1" x14ac:dyDescent="0.3">
      <c r="E319" s="41"/>
      <c r="F319" s="41"/>
      <c r="G319" s="41"/>
      <c r="H319" s="41"/>
      <c r="I319" s="41"/>
      <c r="J319" s="41"/>
      <c r="K319" s="41"/>
      <c r="L319" s="41"/>
    </row>
    <row r="320" spans="5:12" s="39" customFormat="1" x14ac:dyDescent="0.3">
      <c r="E320" s="41"/>
      <c r="F320" s="41"/>
      <c r="G320" s="41"/>
      <c r="H320" s="41"/>
      <c r="I320" s="41"/>
      <c r="J320" s="41"/>
      <c r="K320" s="41"/>
      <c r="L320" s="41"/>
    </row>
    <row r="321" spans="5:12" s="39" customFormat="1" x14ac:dyDescent="0.3">
      <c r="E321" s="41"/>
      <c r="F321" s="41"/>
      <c r="G321" s="41"/>
      <c r="H321" s="41"/>
      <c r="I321" s="41"/>
      <c r="J321" s="41"/>
      <c r="K321" s="41"/>
      <c r="L321" s="41"/>
    </row>
    <row r="322" spans="5:12" s="39" customFormat="1" x14ac:dyDescent="0.3">
      <c r="E322" s="41"/>
      <c r="F322" s="41"/>
      <c r="G322" s="41"/>
      <c r="H322" s="41"/>
      <c r="I322" s="41"/>
      <c r="J322" s="41"/>
      <c r="K322" s="41"/>
      <c r="L322" s="41"/>
    </row>
    <row r="323" spans="5:12" s="39" customFormat="1" x14ac:dyDescent="0.3">
      <c r="E323" s="41"/>
      <c r="F323" s="41"/>
      <c r="G323" s="41"/>
      <c r="H323" s="41"/>
      <c r="I323" s="41"/>
      <c r="J323" s="41"/>
      <c r="K323" s="41"/>
      <c r="L323" s="41"/>
    </row>
    <row r="324" spans="5:12" s="39" customFormat="1" x14ac:dyDescent="0.3">
      <c r="E324" s="41"/>
      <c r="F324" s="41"/>
      <c r="G324" s="41"/>
      <c r="H324" s="41"/>
      <c r="I324" s="41"/>
      <c r="J324" s="41"/>
      <c r="K324" s="41"/>
      <c r="L324" s="41"/>
    </row>
    <row r="325" spans="5:12" s="39" customFormat="1" x14ac:dyDescent="0.3">
      <c r="E325" s="41"/>
      <c r="F325" s="41"/>
      <c r="G325" s="41"/>
      <c r="H325" s="41"/>
      <c r="I325" s="41"/>
      <c r="J325" s="41"/>
      <c r="K325" s="41"/>
      <c r="L325" s="41"/>
    </row>
    <row r="326" spans="5:12" s="39" customFormat="1" x14ac:dyDescent="0.3">
      <c r="E326" s="41"/>
      <c r="F326" s="41"/>
      <c r="G326" s="41"/>
      <c r="H326" s="41"/>
      <c r="I326" s="41"/>
      <c r="J326" s="41"/>
      <c r="K326" s="41"/>
      <c r="L326" s="41"/>
    </row>
    <row r="327" spans="5:12" s="39" customFormat="1" x14ac:dyDescent="0.3">
      <c r="E327" s="41"/>
      <c r="F327" s="41"/>
      <c r="G327" s="41"/>
      <c r="H327" s="41"/>
      <c r="I327" s="41"/>
      <c r="J327" s="41"/>
      <c r="K327" s="41"/>
      <c r="L327" s="41"/>
    </row>
    <row r="328" spans="5:12" s="39" customFormat="1" x14ac:dyDescent="0.3">
      <c r="E328" s="41"/>
      <c r="F328" s="41"/>
      <c r="G328" s="41"/>
      <c r="H328" s="41"/>
      <c r="I328" s="41"/>
      <c r="J328" s="41"/>
      <c r="K328" s="41"/>
      <c r="L328" s="41"/>
    </row>
    <row r="329" spans="5:12" s="39" customFormat="1" x14ac:dyDescent="0.3">
      <c r="E329" s="41"/>
      <c r="F329" s="41"/>
      <c r="G329" s="41"/>
      <c r="H329" s="41"/>
      <c r="I329" s="41"/>
      <c r="J329" s="41"/>
      <c r="K329" s="41"/>
      <c r="L329" s="41"/>
    </row>
    <row r="330" spans="5:12" s="39" customFormat="1" x14ac:dyDescent="0.3">
      <c r="E330" s="41"/>
      <c r="F330" s="41"/>
      <c r="G330" s="41"/>
      <c r="H330" s="41"/>
      <c r="I330" s="41"/>
      <c r="J330" s="41"/>
      <c r="K330" s="41"/>
      <c r="L330" s="41"/>
    </row>
    <row r="331" spans="5:12" s="39" customFormat="1" x14ac:dyDescent="0.3">
      <c r="E331" s="41"/>
      <c r="F331" s="41"/>
      <c r="G331" s="41"/>
      <c r="H331" s="41"/>
      <c r="I331" s="41"/>
      <c r="J331" s="41"/>
      <c r="K331" s="41"/>
      <c r="L331" s="41"/>
    </row>
    <row r="332" spans="5:12" s="39" customFormat="1" x14ac:dyDescent="0.3">
      <c r="E332" s="41"/>
      <c r="F332" s="41"/>
      <c r="G332" s="41"/>
      <c r="H332" s="41"/>
      <c r="I332" s="41"/>
      <c r="J332" s="41"/>
      <c r="K332" s="41"/>
      <c r="L332" s="41"/>
    </row>
    <row r="333" spans="5:12" s="39" customFormat="1" x14ac:dyDescent="0.3">
      <c r="E333" s="41"/>
      <c r="F333" s="41"/>
      <c r="G333" s="41"/>
      <c r="H333" s="41"/>
      <c r="I333" s="41"/>
      <c r="J333" s="41"/>
      <c r="K333" s="41"/>
      <c r="L333" s="41"/>
    </row>
    <row r="334" spans="5:12" s="39" customFormat="1" x14ac:dyDescent="0.3">
      <c r="E334" s="41"/>
      <c r="F334" s="41"/>
      <c r="G334" s="41"/>
      <c r="H334" s="41"/>
      <c r="I334" s="41"/>
      <c r="J334" s="41"/>
      <c r="K334" s="41"/>
      <c r="L334" s="41"/>
    </row>
    <row r="335" spans="5:12" s="39" customFormat="1" x14ac:dyDescent="0.3">
      <c r="E335" s="41"/>
      <c r="F335" s="41"/>
      <c r="G335" s="41"/>
      <c r="H335" s="41"/>
      <c r="I335" s="41"/>
      <c r="J335" s="41"/>
      <c r="K335" s="41"/>
      <c r="L335" s="41"/>
    </row>
    <row r="336" spans="5:12" s="39" customFormat="1" x14ac:dyDescent="0.3">
      <c r="E336" s="41"/>
      <c r="F336" s="41"/>
      <c r="G336" s="41"/>
      <c r="H336" s="41"/>
      <c r="I336" s="41"/>
      <c r="J336" s="41"/>
      <c r="K336" s="41"/>
      <c r="L336" s="41"/>
    </row>
    <row r="337" spans="5:12" s="39" customFormat="1" x14ac:dyDescent="0.3">
      <c r="E337" s="41"/>
      <c r="F337" s="41"/>
      <c r="G337" s="41"/>
      <c r="H337" s="41"/>
      <c r="I337" s="41"/>
      <c r="J337" s="41"/>
      <c r="K337" s="41"/>
      <c r="L337" s="41"/>
    </row>
    <row r="338" spans="5:12" s="39" customFormat="1" x14ac:dyDescent="0.3">
      <c r="E338" s="41"/>
      <c r="F338" s="41"/>
      <c r="G338" s="41"/>
      <c r="H338" s="41"/>
      <c r="I338" s="41"/>
      <c r="J338" s="41"/>
      <c r="K338" s="41"/>
      <c r="L338" s="41"/>
    </row>
    <row r="339" spans="5:12" s="39" customFormat="1" x14ac:dyDescent="0.3">
      <c r="E339" s="41"/>
      <c r="F339" s="41"/>
      <c r="G339" s="41"/>
      <c r="H339" s="41"/>
      <c r="I339" s="41"/>
      <c r="J339" s="41"/>
      <c r="K339" s="41"/>
      <c r="L339" s="41"/>
    </row>
    <row r="340" spans="5:12" s="39" customFormat="1" x14ac:dyDescent="0.3">
      <c r="E340" s="41"/>
      <c r="F340" s="41"/>
      <c r="G340" s="41"/>
      <c r="H340" s="41"/>
      <c r="I340" s="41"/>
      <c r="J340" s="41"/>
      <c r="K340" s="41"/>
      <c r="L340" s="41"/>
    </row>
    <row r="341" spans="5:12" s="39" customFormat="1" x14ac:dyDescent="0.3">
      <c r="E341" s="41"/>
      <c r="F341" s="41"/>
      <c r="G341" s="41"/>
      <c r="H341" s="41"/>
      <c r="I341" s="41"/>
      <c r="J341" s="41"/>
      <c r="K341" s="41"/>
      <c r="L341" s="41"/>
    </row>
    <row r="342" spans="5:12" s="39" customFormat="1" x14ac:dyDescent="0.3">
      <c r="E342" s="41"/>
      <c r="F342" s="41"/>
      <c r="G342" s="41"/>
      <c r="H342" s="41"/>
      <c r="I342" s="41"/>
      <c r="J342" s="41"/>
      <c r="K342" s="41"/>
      <c r="L342" s="41"/>
    </row>
    <row r="343" spans="5:12" s="39" customFormat="1" x14ac:dyDescent="0.3">
      <c r="E343" s="41"/>
      <c r="F343" s="41"/>
      <c r="G343" s="41"/>
      <c r="H343" s="41"/>
      <c r="I343" s="41"/>
      <c r="J343" s="41"/>
      <c r="K343" s="41"/>
      <c r="L343" s="41"/>
    </row>
    <row r="344" spans="5:12" s="39" customFormat="1" x14ac:dyDescent="0.3">
      <c r="E344" s="41"/>
      <c r="F344" s="41"/>
      <c r="G344" s="41"/>
      <c r="H344" s="41"/>
      <c r="I344" s="41"/>
      <c r="J344" s="41"/>
      <c r="K344" s="41"/>
      <c r="L344" s="41"/>
    </row>
    <row r="345" spans="5:12" s="39" customFormat="1" x14ac:dyDescent="0.3">
      <c r="E345" s="41"/>
      <c r="F345" s="41"/>
      <c r="G345" s="41"/>
      <c r="H345" s="41"/>
      <c r="I345" s="41"/>
      <c r="J345" s="41"/>
      <c r="K345" s="41"/>
      <c r="L345" s="41"/>
    </row>
    <row r="346" spans="5:12" s="39" customFormat="1" x14ac:dyDescent="0.3">
      <c r="E346" s="41"/>
      <c r="F346" s="41"/>
      <c r="G346" s="41"/>
      <c r="H346" s="41"/>
      <c r="I346" s="41"/>
      <c r="J346" s="41"/>
      <c r="K346" s="41"/>
      <c r="L346" s="41"/>
    </row>
    <row r="347" spans="5:12" s="39" customFormat="1" x14ac:dyDescent="0.3">
      <c r="E347" s="41"/>
      <c r="F347" s="41"/>
      <c r="G347" s="41"/>
      <c r="H347" s="41"/>
      <c r="I347" s="41"/>
      <c r="J347" s="41"/>
      <c r="K347" s="41"/>
      <c r="L347" s="41"/>
    </row>
    <row r="348" spans="5:12" s="39" customFormat="1" x14ac:dyDescent="0.3">
      <c r="E348" s="41"/>
      <c r="F348" s="41"/>
      <c r="G348" s="41"/>
      <c r="H348" s="41"/>
      <c r="I348" s="41"/>
      <c r="J348" s="41"/>
      <c r="K348" s="41"/>
      <c r="L348" s="41"/>
    </row>
    <row r="349" spans="5:12" s="39" customFormat="1" x14ac:dyDescent="0.3">
      <c r="E349" s="41"/>
      <c r="F349" s="41"/>
      <c r="G349" s="41"/>
      <c r="H349" s="41"/>
      <c r="I349" s="41"/>
      <c r="J349" s="41"/>
      <c r="K349" s="41"/>
      <c r="L349" s="41"/>
    </row>
    <row r="350" spans="5:12" s="39" customFormat="1" x14ac:dyDescent="0.3">
      <c r="E350" s="41"/>
      <c r="F350" s="41"/>
      <c r="G350" s="41"/>
      <c r="H350" s="41"/>
      <c r="I350" s="41"/>
      <c r="J350" s="41"/>
      <c r="K350" s="41"/>
      <c r="L350" s="41"/>
    </row>
    <row r="351" spans="5:12" s="39" customFormat="1" x14ac:dyDescent="0.3">
      <c r="E351" s="41"/>
      <c r="F351" s="41"/>
      <c r="G351" s="41"/>
      <c r="H351" s="41"/>
      <c r="I351" s="41"/>
      <c r="J351" s="41"/>
      <c r="K351" s="41"/>
      <c r="L351" s="41"/>
    </row>
    <row r="352" spans="5:12" s="39" customFormat="1" x14ac:dyDescent="0.3">
      <c r="E352" s="41"/>
      <c r="F352" s="41"/>
      <c r="G352" s="41"/>
      <c r="H352" s="41"/>
      <c r="I352" s="41"/>
      <c r="J352" s="41"/>
      <c r="K352" s="41"/>
      <c r="L352" s="41"/>
    </row>
    <row r="353" spans="5:12" s="39" customFormat="1" x14ac:dyDescent="0.3">
      <c r="E353" s="41"/>
      <c r="F353" s="41"/>
      <c r="G353" s="41"/>
      <c r="H353" s="41"/>
      <c r="I353" s="41"/>
      <c r="J353" s="41"/>
      <c r="K353" s="41"/>
      <c r="L353" s="41"/>
    </row>
    <row r="354" spans="5:12" s="39" customFormat="1" x14ac:dyDescent="0.3">
      <c r="E354" s="41"/>
      <c r="F354" s="41"/>
      <c r="G354" s="41"/>
      <c r="H354" s="41"/>
      <c r="I354" s="41"/>
      <c r="J354" s="41"/>
      <c r="K354" s="41"/>
      <c r="L354" s="41"/>
    </row>
    <row r="355" spans="5:12" s="39" customFormat="1" x14ac:dyDescent="0.3">
      <c r="E355" s="41"/>
      <c r="F355" s="41"/>
      <c r="G355" s="41"/>
      <c r="H355" s="41"/>
      <c r="I355" s="41"/>
      <c r="J355" s="41"/>
      <c r="K355" s="41"/>
      <c r="L355" s="41"/>
    </row>
    <row r="356" spans="5:12" s="39" customFormat="1" x14ac:dyDescent="0.3">
      <c r="E356" s="41"/>
      <c r="F356" s="41"/>
      <c r="G356" s="41"/>
      <c r="H356" s="41"/>
      <c r="I356" s="41"/>
      <c r="J356" s="41"/>
      <c r="K356" s="41"/>
      <c r="L356" s="41"/>
    </row>
    <row r="357" spans="5:12" s="39" customFormat="1" x14ac:dyDescent="0.3">
      <c r="E357" s="41"/>
      <c r="F357" s="41"/>
      <c r="G357" s="41"/>
      <c r="H357" s="41"/>
      <c r="I357" s="41"/>
      <c r="J357" s="41"/>
      <c r="K357" s="41"/>
      <c r="L357" s="41"/>
    </row>
    <row r="358" spans="5:12" s="39" customFormat="1" x14ac:dyDescent="0.3">
      <c r="E358" s="41"/>
      <c r="F358" s="41"/>
      <c r="G358" s="41"/>
      <c r="H358" s="41"/>
      <c r="I358" s="41"/>
      <c r="J358" s="41"/>
      <c r="K358" s="41"/>
      <c r="L358" s="41"/>
    </row>
    <row r="359" spans="5:12" s="39" customFormat="1" x14ac:dyDescent="0.3">
      <c r="E359" s="41"/>
      <c r="F359" s="41"/>
      <c r="G359" s="41"/>
      <c r="H359" s="41"/>
      <c r="I359" s="41"/>
      <c r="J359" s="41"/>
      <c r="K359" s="41"/>
      <c r="L359" s="41"/>
    </row>
    <row r="360" spans="5:12" s="39" customFormat="1" x14ac:dyDescent="0.3">
      <c r="E360" s="41"/>
      <c r="F360" s="41"/>
      <c r="G360" s="41"/>
      <c r="H360" s="41"/>
      <c r="I360" s="41"/>
      <c r="J360" s="41"/>
      <c r="K360" s="41"/>
      <c r="L360" s="41"/>
    </row>
    <row r="361" spans="5:12" s="39" customFormat="1" x14ac:dyDescent="0.3">
      <c r="E361" s="41"/>
      <c r="F361" s="41"/>
      <c r="G361" s="41"/>
      <c r="H361" s="41"/>
      <c r="I361" s="41"/>
      <c r="J361" s="41"/>
      <c r="K361" s="41"/>
      <c r="L361" s="41"/>
    </row>
    <row r="362" spans="5:12" s="39" customFormat="1" x14ac:dyDescent="0.3">
      <c r="E362" s="41"/>
      <c r="F362" s="41"/>
      <c r="G362" s="41"/>
      <c r="H362" s="41"/>
      <c r="I362" s="41"/>
      <c r="J362" s="41"/>
      <c r="K362" s="41"/>
      <c r="L362" s="41"/>
    </row>
    <row r="363" spans="5:12" s="39" customFormat="1" x14ac:dyDescent="0.3">
      <c r="E363" s="41"/>
      <c r="F363" s="41"/>
      <c r="G363" s="41"/>
      <c r="H363" s="41"/>
      <c r="I363" s="41"/>
      <c r="J363" s="41"/>
      <c r="K363" s="41"/>
      <c r="L363" s="41"/>
    </row>
    <row r="364" spans="5:12" s="39" customFormat="1" x14ac:dyDescent="0.3">
      <c r="E364" s="41"/>
      <c r="F364" s="41"/>
      <c r="G364" s="41"/>
      <c r="H364" s="41"/>
      <c r="I364" s="41"/>
      <c r="J364" s="41"/>
      <c r="K364" s="41"/>
      <c r="L364" s="41"/>
    </row>
    <row r="365" spans="5:12" s="39" customFormat="1" x14ac:dyDescent="0.3">
      <c r="E365" s="41"/>
      <c r="F365" s="41"/>
      <c r="G365" s="41"/>
      <c r="H365" s="41"/>
      <c r="I365" s="41"/>
      <c r="J365" s="41"/>
      <c r="K365" s="41"/>
      <c r="L365" s="41"/>
    </row>
    <row r="366" spans="5:12" s="39" customFormat="1" x14ac:dyDescent="0.3">
      <c r="E366" s="41"/>
      <c r="F366" s="41"/>
      <c r="G366" s="41"/>
      <c r="H366" s="41"/>
      <c r="I366" s="41"/>
      <c r="J366" s="41"/>
      <c r="K366" s="41"/>
      <c r="L366" s="41"/>
    </row>
    <row r="367" spans="5:12" s="39" customFormat="1" x14ac:dyDescent="0.3">
      <c r="E367" s="41"/>
      <c r="F367" s="41"/>
      <c r="G367" s="41"/>
      <c r="H367" s="41"/>
      <c r="I367" s="41"/>
      <c r="J367" s="41"/>
      <c r="K367" s="41"/>
      <c r="L367" s="41"/>
    </row>
    <row r="368" spans="5:12" s="39" customFormat="1" x14ac:dyDescent="0.3">
      <c r="E368" s="41"/>
      <c r="F368" s="41"/>
      <c r="G368" s="41"/>
      <c r="H368" s="41"/>
      <c r="I368" s="41"/>
      <c r="J368" s="41"/>
      <c r="K368" s="41"/>
      <c r="L368" s="41"/>
    </row>
    <row r="369" spans="5:12" s="39" customFormat="1" x14ac:dyDescent="0.3">
      <c r="E369" s="41"/>
      <c r="F369" s="41"/>
      <c r="G369" s="41"/>
      <c r="H369" s="41"/>
      <c r="I369" s="41"/>
      <c r="J369" s="41"/>
      <c r="K369" s="41"/>
      <c r="L369" s="41"/>
    </row>
    <row r="370" spans="5:12" s="39" customFormat="1" x14ac:dyDescent="0.3">
      <c r="E370" s="41"/>
      <c r="F370" s="41"/>
      <c r="G370" s="41"/>
      <c r="H370" s="41"/>
      <c r="I370" s="41"/>
      <c r="J370" s="41"/>
      <c r="K370" s="41"/>
      <c r="L370" s="41"/>
    </row>
    <row r="371" spans="5:12" s="39" customFormat="1" x14ac:dyDescent="0.3">
      <c r="E371" s="41"/>
      <c r="F371" s="41"/>
      <c r="G371" s="41"/>
      <c r="H371" s="41"/>
      <c r="I371" s="41"/>
      <c r="J371" s="41"/>
      <c r="K371" s="41"/>
      <c r="L371" s="41"/>
    </row>
    <row r="372" spans="5:12" s="39" customFormat="1" x14ac:dyDescent="0.3">
      <c r="E372" s="41"/>
      <c r="F372" s="41"/>
      <c r="G372" s="41"/>
      <c r="H372" s="41"/>
      <c r="I372" s="41"/>
      <c r="J372" s="41"/>
      <c r="K372" s="41"/>
      <c r="L372" s="41"/>
    </row>
    <row r="373" spans="5:12" s="39" customFormat="1" x14ac:dyDescent="0.3">
      <c r="E373" s="41"/>
      <c r="F373" s="41"/>
      <c r="G373" s="41"/>
      <c r="H373" s="41"/>
      <c r="I373" s="41"/>
      <c r="J373" s="41"/>
      <c r="K373" s="41"/>
      <c r="L373" s="41"/>
    </row>
    <row r="374" spans="5:12" s="39" customFormat="1" x14ac:dyDescent="0.3">
      <c r="E374" s="41"/>
      <c r="F374" s="41"/>
      <c r="G374" s="41"/>
      <c r="H374" s="41"/>
      <c r="I374" s="41"/>
      <c r="J374" s="41"/>
      <c r="K374" s="41"/>
      <c r="L374" s="41"/>
    </row>
    <row r="375" spans="5:12" s="39" customFormat="1" x14ac:dyDescent="0.3">
      <c r="E375" s="41"/>
      <c r="F375" s="41"/>
      <c r="G375" s="41"/>
      <c r="H375" s="41"/>
      <c r="I375" s="41"/>
      <c r="J375" s="41"/>
      <c r="K375" s="41"/>
      <c r="L375" s="41"/>
    </row>
    <row r="376" spans="5:12" s="39" customFormat="1" x14ac:dyDescent="0.3">
      <c r="E376" s="41"/>
      <c r="F376" s="41"/>
      <c r="G376" s="41"/>
      <c r="H376" s="41"/>
      <c r="I376" s="41"/>
      <c r="J376" s="41"/>
      <c r="K376" s="41"/>
      <c r="L376" s="41"/>
    </row>
    <row r="377" spans="5:12" s="39" customFormat="1" x14ac:dyDescent="0.3">
      <c r="E377" s="41"/>
      <c r="F377" s="41"/>
      <c r="G377" s="41"/>
      <c r="H377" s="41"/>
      <c r="I377" s="41"/>
      <c r="J377" s="41"/>
      <c r="K377" s="41"/>
      <c r="L377" s="41"/>
    </row>
    <row r="378" spans="5:12" s="39" customFormat="1" x14ac:dyDescent="0.3">
      <c r="E378" s="41"/>
      <c r="F378" s="41"/>
      <c r="G378" s="41"/>
      <c r="H378" s="41"/>
      <c r="I378" s="41"/>
      <c r="J378" s="41"/>
      <c r="K378" s="41"/>
      <c r="L378" s="41"/>
    </row>
    <row r="379" spans="5:12" s="39" customFormat="1" x14ac:dyDescent="0.3">
      <c r="E379" s="41"/>
      <c r="F379" s="41"/>
      <c r="G379" s="41"/>
      <c r="H379" s="41"/>
      <c r="I379" s="41"/>
      <c r="J379" s="41"/>
      <c r="K379" s="41"/>
      <c r="L379" s="41"/>
    </row>
    <row r="380" spans="5:12" s="39" customFormat="1" x14ac:dyDescent="0.3">
      <c r="E380" s="41"/>
      <c r="F380" s="41"/>
      <c r="G380" s="41"/>
      <c r="H380" s="41"/>
      <c r="I380" s="41"/>
      <c r="J380" s="41"/>
      <c r="K380" s="41"/>
      <c r="L380" s="41"/>
    </row>
    <row r="381" spans="5:12" s="39" customFormat="1" x14ac:dyDescent="0.3">
      <c r="E381" s="41"/>
      <c r="F381" s="41"/>
      <c r="G381" s="41"/>
      <c r="H381" s="41"/>
      <c r="I381" s="41"/>
      <c r="J381" s="41"/>
      <c r="K381" s="41"/>
      <c r="L381" s="41"/>
    </row>
    <row r="382" spans="5:12" s="39" customFormat="1" x14ac:dyDescent="0.3">
      <c r="E382" s="41"/>
      <c r="F382" s="41"/>
      <c r="G382" s="41"/>
      <c r="H382" s="41"/>
      <c r="I382" s="41"/>
      <c r="J382" s="41"/>
      <c r="K382" s="41"/>
      <c r="L382" s="41"/>
    </row>
    <row r="383" spans="5:12" s="39" customFormat="1" x14ac:dyDescent="0.3">
      <c r="E383" s="41"/>
      <c r="F383" s="41"/>
      <c r="G383" s="41"/>
      <c r="H383" s="41"/>
      <c r="I383" s="41"/>
      <c r="J383" s="41"/>
      <c r="K383" s="41"/>
      <c r="L383" s="41"/>
    </row>
    <row r="384" spans="5:12" s="39" customFormat="1" x14ac:dyDescent="0.3">
      <c r="E384" s="41"/>
      <c r="F384" s="41"/>
      <c r="G384" s="41"/>
      <c r="H384" s="41"/>
      <c r="I384" s="41"/>
      <c r="J384" s="41"/>
      <c r="K384" s="41"/>
      <c r="L384" s="41"/>
    </row>
    <row r="385" spans="5:12" s="39" customFormat="1" x14ac:dyDescent="0.3">
      <c r="E385" s="41"/>
      <c r="F385" s="41"/>
      <c r="G385" s="41"/>
      <c r="H385" s="41"/>
      <c r="I385" s="41"/>
      <c r="J385" s="41"/>
      <c r="K385" s="41"/>
      <c r="L385" s="41"/>
    </row>
    <row r="386" spans="5:12" s="39" customFormat="1" x14ac:dyDescent="0.3">
      <c r="E386" s="41"/>
      <c r="F386" s="41"/>
      <c r="G386" s="41"/>
      <c r="H386" s="41"/>
      <c r="I386" s="41"/>
      <c r="J386" s="41"/>
      <c r="K386" s="41"/>
      <c r="L386" s="41"/>
    </row>
    <row r="387" spans="5:12" s="39" customFormat="1" x14ac:dyDescent="0.3">
      <c r="E387" s="41"/>
      <c r="F387" s="41"/>
      <c r="G387" s="41"/>
      <c r="H387" s="41"/>
      <c r="I387" s="41"/>
      <c r="J387" s="41"/>
      <c r="K387" s="41"/>
      <c r="L387" s="41"/>
    </row>
    <row r="388" spans="5:12" s="39" customFormat="1" x14ac:dyDescent="0.3">
      <c r="E388" s="41"/>
      <c r="F388" s="41"/>
      <c r="G388" s="41"/>
      <c r="H388" s="41"/>
      <c r="I388" s="41"/>
      <c r="J388" s="41"/>
      <c r="K388" s="41"/>
      <c r="L388" s="41"/>
    </row>
    <row r="389" spans="5:12" s="39" customFormat="1" x14ac:dyDescent="0.3">
      <c r="E389" s="41"/>
      <c r="F389" s="41"/>
      <c r="G389" s="41"/>
      <c r="H389" s="41"/>
      <c r="I389" s="41"/>
      <c r="J389" s="41"/>
      <c r="K389" s="41"/>
      <c r="L389" s="41"/>
    </row>
    <row r="390" spans="5:12" s="39" customFormat="1" x14ac:dyDescent="0.3">
      <c r="E390" s="41"/>
      <c r="F390" s="41"/>
      <c r="G390" s="41"/>
      <c r="H390" s="41"/>
      <c r="I390" s="41"/>
      <c r="J390" s="41"/>
      <c r="K390" s="41"/>
      <c r="L390" s="41"/>
    </row>
    <row r="391" spans="5:12" s="39" customFormat="1" x14ac:dyDescent="0.3">
      <c r="E391" s="41"/>
      <c r="F391" s="41"/>
      <c r="G391" s="41"/>
      <c r="H391" s="41"/>
      <c r="I391" s="41"/>
      <c r="J391" s="41"/>
      <c r="K391" s="41"/>
      <c r="L391" s="41"/>
    </row>
    <row r="392" spans="5:12" s="39" customFormat="1" x14ac:dyDescent="0.3">
      <c r="E392" s="41"/>
      <c r="F392" s="41"/>
      <c r="G392" s="41"/>
      <c r="H392" s="41"/>
      <c r="I392" s="41"/>
      <c r="J392" s="41"/>
      <c r="K392" s="41"/>
      <c r="L392" s="41"/>
    </row>
    <row r="393" spans="5:12" s="39" customFormat="1" x14ac:dyDescent="0.3">
      <c r="E393" s="41"/>
      <c r="F393" s="41"/>
      <c r="G393" s="41"/>
      <c r="H393" s="41"/>
      <c r="I393" s="41"/>
      <c r="J393" s="41"/>
      <c r="K393" s="41"/>
      <c r="L393" s="41"/>
    </row>
    <row r="394" spans="5:12" s="39" customFormat="1" x14ac:dyDescent="0.3">
      <c r="E394" s="41"/>
      <c r="F394" s="41"/>
      <c r="G394" s="41"/>
      <c r="H394" s="41"/>
      <c r="I394" s="41"/>
      <c r="J394" s="41"/>
      <c r="K394" s="41"/>
      <c r="L394" s="41"/>
    </row>
    <row r="395" spans="5:12" s="39" customFormat="1" x14ac:dyDescent="0.3">
      <c r="E395" s="41"/>
      <c r="F395" s="41"/>
      <c r="G395" s="41"/>
      <c r="H395" s="41"/>
      <c r="I395" s="41"/>
      <c r="J395" s="41"/>
      <c r="K395" s="41"/>
      <c r="L395" s="41"/>
    </row>
    <row r="396" spans="5:12" s="39" customFormat="1" x14ac:dyDescent="0.3">
      <c r="E396" s="41"/>
      <c r="F396" s="41"/>
      <c r="G396" s="41"/>
      <c r="H396" s="41"/>
      <c r="I396" s="41"/>
      <c r="J396" s="41"/>
      <c r="K396" s="41"/>
      <c r="L396" s="41"/>
    </row>
    <row r="397" spans="5:12" s="39" customFormat="1" x14ac:dyDescent="0.3">
      <c r="E397" s="41"/>
      <c r="F397" s="41"/>
      <c r="G397" s="41"/>
      <c r="H397" s="41"/>
      <c r="I397" s="41"/>
      <c r="J397" s="41"/>
      <c r="K397" s="41"/>
      <c r="L397" s="41"/>
    </row>
    <row r="398" spans="5:12" s="39" customFormat="1" x14ac:dyDescent="0.3">
      <c r="E398" s="41"/>
      <c r="F398" s="41"/>
      <c r="G398" s="41"/>
      <c r="H398" s="41"/>
      <c r="I398" s="41"/>
      <c r="J398" s="41"/>
      <c r="K398" s="41"/>
      <c r="L398" s="41"/>
    </row>
    <row r="399" spans="5:12" s="39" customFormat="1" x14ac:dyDescent="0.3">
      <c r="E399" s="41"/>
      <c r="F399" s="41"/>
      <c r="G399" s="41"/>
      <c r="H399" s="41"/>
      <c r="I399" s="41"/>
      <c r="J399" s="41"/>
      <c r="K399" s="41"/>
      <c r="L399" s="41"/>
    </row>
    <row r="400" spans="5:12" s="39" customFormat="1" x14ac:dyDescent="0.3">
      <c r="E400" s="41"/>
      <c r="F400" s="41"/>
      <c r="G400" s="41"/>
      <c r="H400" s="41"/>
      <c r="I400" s="41"/>
      <c r="J400" s="41"/>
      <c r="K400" s="41"/>
      <c r="L400" s="41"/>
    </row>
    <row r="401" spans="5:12" s="39" customFormat="1" x14ac:dyDescent="0.3">
      <c r="E401" s="41"/>
      <c r="F401" s="41"/>
      <c r="G401" s="41"/>
      <c r="H401" s="41"/>
      <c r="I401" s="41"/>
      <c r="J401" s="41"/>
      <c r="K401" s="41"/>
      <c r="L401" s="41"/>
    </row>
    <row r="402" spans="5:12" s="39" customFormat="1" x14ac:dyDescent="0.3">
      <c r="E402" s="41"/>
      <c r="F402" s="41"/>
      <c r="G402" s="41"/>
      <c r="H402" s="41"/>
      <c r="I402" s="41"/>
      <c r="J402" s="41"/>
      <c r="K402" s="41"/>
      <c r="L402" s="41"/>
    </row>
    <row r="403" spans="5:12" s="39" customFormat="1" x14ac:dyDescent="0.3">
      <c r="E403" s="41"/>
      <c r="F403" s="41"/>
      <c r="G403" s="41"/>
      <c r="H403" s="41"/>
      <c r="I403" s="41"/>
      <c r="J403" s="41"/>
      <c r="K403" s="41"/>
      <c r="L403" s="41"/>
    </row>
    <row r="404" spans="5:12" s="39" customFormat="1" x14ac:dyDescent="0.3">
      <c r="E404" s="41"/>
      <c r="F404" s="41"/>
      <c r="G404" s="41"/>
      <c r="H404" s="41"/>
      <c r="I404" s="41"/>
      <c r="J404" s="41"/>
      <c r="K404" s="41"/>
      <c r="L404" s="41"/>
    </row>
    <row r="405" spans="5:12" s="39" customFormat="1" x14ac:dyDescent="0.3">
      <c r="E405" s="41"/>
      <c r="F405" s="41"/>
      <c r="G405" s="41"/>
      <c r="H405" s="41"/>
      <c r="I405" s="41"/>
      <c r="J405" s="41"/>
      <c r="K405" s="41"/>
      <c r="L405" s="41"/>
    </row>
    <row r="406" spans="5:12" s="39" customFormat="1" x14ac:dyDescent="0.3">
      <c r="E406" s="41"/>
      <c r="F406" s="41"/>
      <c r="G406" s="41"/>
      <c r="H406" s="41"/>
      <c r="I406" s="41"/>
      <c r="J406" s="41"/>
      <c r="K406" s="41"/>
      <c r="L406" s="41"/>
    </row>
    <row r="407" spans="5:12" s="39" customFormat="1" x14ac:dyDescent="0.3">
      <c r="E407" s="41"/>
      <c r="F407" s="41"/>
      <c r="G407" s="41"/>
      <c r="H407" s="41"/>
      <c r="I407" s="41"/>
      <c r="J407" s="41"/>
      <c r="K407" s="41"/>
      <c r="L407" s="41"/>
    </row>
    <row r="408" spans="5:12" s="39" customFormat="1" x14ac:dyDescent="0.3">
      <c r="E408" s="41"/>
      <c r="F408" s="41"/>
      <c r="G408" s="41"/>
      <c r="H408" s="41"/>
      <c r="I408" s="41"/>
      <c r="J408" s="41"/>
      <c r="K408" s="41"/>
      <c r="L408" s="41"/>
    </row>
    <row r="409" spans="5:12" s="39" customFormat="1" x14ac:dyDescent="0.3">
      <c r="E409" s="41"/>
      <c r="F409" s="41"/>
      <c r="G409" s="41"/>
      <c r="H409" s="41"/>
      <c r="I409" s="41"/>
      <c r="J409" s="41"/>
      <c r="K409" s="41"/>
      <c r="L409" s="41"/>
    </row>
    <row r="410" spans="5:12" s="39" customFormat="1" x14ac:dyDescent="0.3">
      <c r="E410" s="41"/>
      <c r="F410" s="41"/>
      <c r="G410" s="41"/>
      <c r="H410" s="41"/>
      <c r="I410" s="41"/>
      <c r="J410" s="41"/>
      <c r="K410" s="41"/>
      <c r="L410" s="41"/>
    </row>
    <row r="411" spans="5:12" s="39" customFormat="1" x14ac:dyDescent="0.3">
      <c r="E411" s="41"/>
      <c r="F411" s="41"/>
      <c r="G411" s="41"/>
      <c r="H411" s="41"/>
      <c r="I411" s="41"/>
      <c r="J411" s="41"/>
      <c r="K411" s="41"/>
      <c r="L411" s="41"/>
    </row>
    <row r="412" spans="5:12" s="39" customFormat="1" x14ac:dyDescent="0.3">
      <c r="E412" s="41"/>
      <c r="F412" s="41"/>
      <c r="G412" s="41"/>
      <c r="H412" s="41"/>
      <c r="I412" s="41"/>
      <c r="J412" s="41"/>
      <c r="K412" s="41"/>
      <c r="L412" s="41"/>
    </row>
    <row r="413" spans="5:12" s="39" customFormat="1" x14ac:dyDescent="0.3">
      <c r="E413" s="41"/>
      <c r="F413" s="41"/>
      <c r="G413" s="41"/>
      <c r="H413" s="41"/>
      <c r="I413" s="41"/>
      <c r="J413" s="41"/>
      <c r="K413" s="41"/>
      <c r="L413" s="41"/>
    </row>
    <row r="414" spans="5:12" s="39" customFormat="1" x14ac:dyDescent="0.3">
      <c r="E414" s="41"/>
      <c r="F414" s="41"/>
      <c r="G414" s="41"/>
      <c r="H414" s="41"/>
      <c r="I414" s="41"/>
      <c r="J414" s="41"/>
      <c r="K414" s="41"/>
      <c r="L414" s="41"/>
    </row>
    <row r="415" spans="5:12" s="39" customFormat="1" x14ac:dyDescent="0.3">
      <c r="E415" s="41"/>
      <c r="F415" s="41"/>
      <c r="G415" s="41"/>
      <c r="H415" s="41"/>
      <c r="I415" s="41"/>
      <c r="J415" s="41"/>
      <c r="K415" s="41"/>
      <c r="L415" s="41"/>
    </row>
    <row r="416" spans="5:12" s="39" customFormat="1" x14ac:dyDescent="0.3">
      <c r="E416" s="41"/>
      <c r="F416" s="41"/>
      <c r="G416" s="41"/>
      <c r="H416" s="41"/>
      <c r="I416" s="41"/>
      <c r="J416" s="41"/>
      <c r="K416" s="41"/>
      <c r="L416" s="41"/>
    </row>
    <row r="417" spans="5:12" s="39" customFormat="1" x14ac:dyDescent="0.3">
      <c r="E417" s="41"/>
      <c r="F417" s="41"/>
      <c r="G417" s="41"/>
      <c r="H417" s="41"/>
      <c r="I417" s="41"/>
      <c r="J417" s="41"/>
      <c r="K417" s="41"/>
      <c r="L417" s="41"/>
    </row>
    <row r="418" spans="5:12" s="39" customFormat="1" x14ac:dyDescent="0.3">
      <c r="E418" s="41"/>
      <c r="F418" s="41"/>
      <c r="G418" s="41"/>
      <c r="H418" s="41"/>
      <c r="I418" s="41"/>
      <c r="J418" s="41"/>
      <c r="K418" s="41"/>
      <c r="L418" s="41"/>
    </row>
    <row r="419" spans="5:12" s="39" customFormat="1" x14ac:dyDescent="0.3">
      <c r="E419" s="41"/>
      <c r="F419" s="41"/>
      <c r="G419" s="41"/>
      <c r="H419" s="41"/>
      <c r="I419" s="41"/>
      <c r="J419" s="41"/>
      <c r="K419" s="41"/>
      <c r="L419" s="41"/>
    </row>
    <row r="420" spans="5:12" s="39" customFormat="1" x14ac:dyDescent="0.3">
      <c r="E420" s="41"/>
      <c r="F420" s="41"/>
      <c r="G420" s="41"/>
      <c r="H420" s="41"/>
      <c r="I420" s="41"/>
      <c r="J420" s="41"/>
      <c r="K420" s="41"/>
      <c r="L420" s="41"/>
    </row>
    <row r="421" spans="5:12" s="39" customFormat="1" x14ac:dyDescent="0.3">
      <c r="E421" s="41"/>
      <c r="F421" s="41"/>
      <c r="G421" s="41"/>
      <c r="H421" s="41"/>
      <c r="I421" s="41"/>
      <c r="J421" s="41"/>
      <c r="K421" s="41"/>
      <c r="L421" s="41"/>
    </row>
    <row r="422" spans="5:12" s="39" customFormat="1" x14ac:dyDescent="0.3">
      <c r="E422" s="41"/>
      <c r="F422" s="41"/>
      <c r="G422" s="41"/>
      <c r="H422" s="41"/>
      <c r="I422" s="41"/>
      <c r="J422" s="41"/>
      <c r="K422" s="41"/>
      <c r="L422" s="41"/>
    </row>
    <row r="423" spans="5:12" s="39" customFormat="1" x14ac:dyDescent="0.3">
      <c r="E423" s="41"/>
      <c r="F423" s="41"/>
      <c r="G423" s="41"/>
      <c r="H423" s="41"/>
      <c r="I423" s="41"/>
      <c r="J423" s="41"/>
      <c r="K423" s="41"/>
      <c r="L423" s="41"/>
    </row>
    <row r="424" spans="5:12" s="39" customFormat="1" x14ac:dyDescent="0.3">
      <c r="E424" s="41"/>
      <c r="F424" s="41"/>
      <c r="G424" s="41"/>
      <c r="H424" s="41"/>
      <c r="I424" s="41"/>
      <c r="J424" s="41"/>
      <c r="K424" s="41"/>
      <c r="L424" s="41"/>
    </row>
    <row r="425" spans="5:12" s="39" customFormat="1" x14ac:dyDescent="0.3">
      <c r="E425" s="41"/>
      <c r="F425" s="41"/>
      <c r="G425" s="41"/>
      <c r="H425" s="41"/>
      <c r="I425" s="41"/>
      <c r="J425" s="41"/>
      <c r="K425" s="41"/>
      <c r="L425" s="41"/>
    </row>
    <row r="426" spans="5:12" s="39" customFormat="1" x14ac:dyDescent="0.3">
      <c r="E426" s="41"/>
      <c r="F426" s="41"/>
      <c r="G426" s="41"/>
      <c r="H426" s="41"/>
      <c r="I426" s="41"/>
      <c r="J426" s="41"/>
      <c r="K426" s="41"/>
      <c r="L426" s="41"/>
    </row>
    <row r="427" spans="5:12" s="39" customFormat="1" x14ac:dyDescent="0.3">
      <c r="E427" s="41"/>
      <c r="F427" s="41"/>
      <c r="G427" s="41"/>
      <c r="H427" s="41"/>
      <c r="I427" s="41"/>
      <c r="J427" s="41"/>
      <c r="K427" s="41"/>
      <c r="L427" s="41"/>
    </row>
    <row r="428" spans="5:12" s="39" customFormat="1" x14ac:dyDescent="0.3">
      <c r="E428" s="41"/>
      <c r="F428" s="41"/>
      <c r="G428" s="41"/>
      <c r="H428" s="41"/>
      <c r="I428" s="41"/>
      <c r="J428" s="41"/>
      <c r="K428" s="41"/>
      <c r="L428" s="41"/>
    </row>
    <row r="429" spans="5:12" s="39" customFormat="1" x14ac:dyDescent="0.3">
      <c r="E429" s="41"/>
      <c r="F429" s="41"/>
      <c r="G429" s="41"/>
      <c r="H429" s="41"/>
      <c r="I429" s="41"/>
      <c r="J429" s="41"/>
      <c r="K429" s="41"/>
      <c r="L429" s="41"/>
    </row>
    <row r="430" spans="5:12" s="39" customFormat="1" x14ac:dyDescent="0.3">
      <c r="E430" s="41"/>
      <c r="F430" s="41"/>
      <c r="G430" s="41"/>
      <c r="H430" s="41"/>
      <c r="I430" s="41"/>
      <c r="J430" s="41"/>
      <c r="K430" s="41"/>
      <c r="L430" s="41"/>
    </row>
    <row r="431" spans="5:12" s="39" customFormat="1" x14ac:dyDescent="0.3">
      <c r="E431" s="41"/>
      <c r="F431" s="41"/>
      <c r="G431" s="41"/>
      <c r="H431" s="41"/>
      <c r="I431" s="41"/>
      <c r="J431" s="41"/>
      <c r="K431" s="41"/>
      <c r="L431" s="41"/>
    </row>
    <row r="432" spans="5:12" s="39" customFormat="1" x14ac:dyDescent="0.3">
      <c r="E432" s="41"/>
      <c r="F432" s="41"/>
      <c r="G432" s="41"/>
      <c r="H432" s="41"/>
      <c r="I432" s="41"/>
      <c r="J432" s="41"/>
      <c r="K432" s="41"/>
      <c r="L432" s="41"/>
    </row>
    <row r="433" spans="5:12" s="39" customFormat="1" x14ac:dyDescent="0.3">
      <c r="E433" s="41"/>
      <c r="F433" s="41"/>
      <c r="G433" s="41"/>
      <c r="H433" s="41"/>
      <c r="I433" s="41"/>
      <c r="J433" s="41"/>
      <c r="K433" s="41"/>
      <c r="L433" s="41"/>
    </row>
    <row r="434" spans="5:12" s="39" customFormat="1" x14ac:dyDescent="0.3">
      <c r="E434" s="41"/>
      <c r="F434" s="41"/>
      <c r="G434" s="41"/>
      <c r="H434" s="41"/>
      <c r="I434" s="41"/>
      <c r="J434" s="41"/>
      <c r="K434" s="41"/>
      <c r="L434" s="41"/>
    </row>
    <row r="435" spans="5:12" s="39" customFormat="1" x14ac:dyDescent="0.3">
      <c r="E435" s="41"/>
      <c r="F435" s="41"/>
      <c r="G435" s="41"/>
      <c r="H435" s="41"/>
      <c r="I435" s="41"/>
      <c r="J435" s="41"/>
      <c r="K435" s="41"/>
      <c r="L435" s="41"/>
    </row>
    <row r="436" spans="5:12" s="39" customFormat="1" x14ac:dyDescent="0.3">
      <c r="E436" s="41"/>
      <c r="F436" s="41"/>
      <c r="G436" s="41"/>
      <c r="H436" s="41"/>
      <c r="I436" s="41"/>
      <c r="J436" s="41"/>
      <c r="K436" s="41"/>
      <c r="L436" s="41"/>
    </row>
    <row r="437" spans="5:12" s="39" customFormat="1" x14ac:dyDescent="0.3">
      <c r="E437" s="41"/>
      <c r="F437" s="41"/>
      <c r="G437" s="41"/>
      <c r="H437" s="41"/>
      <c r="I437" s="41"/>
      <c r="J437" s="41"/>
      <c r="K437" s="41"/>
      <c r="L437" s="41"/>
    </row>
    <row r="438" spans="5:12" s="39" customFormat="1" x14ac:dyDescent="0.3">
      <c r="E438" s="41"/>
      <c r="F438" s="41"/>
      <c r="G438" s="41"/>
      <c r="H438" s="41"/>
      <c r="I438" s="41"/>
      <c r="J438" s="41"/>
      <c r="K438" s="41"/>
      <c r="L438" s="41"/>
    </row>
    <row r="439" spans="5:12" s="39" customFormat="1" x14ac:dyDescent="0.3">
      <c r="E439" s="41"/>
      <c r="F439" s="41"/>
      <c r="G439" s="41"/>
      <c r="H439" s="41"/>
      <c r="I439" s="41"/>
      <c r="J439" s="41"/>
      <c r="K439" s="41"/>
      <c r="L439" s="41"/>
    </row>
    <row r="440" spans="5:12" s="39" customFormat="1" x14ac:dyDescent="0.3">
      <c r="E440" s="41"/>
      <c r="F440" s="41"/>
      <c r="G440" s="41"/>
      <c r="H440" s="41"/>
      <c r="I440" s="41"/>
      <c r="J440" s="41"/>
      <c r="K440" s="41"/>
      <c r="L440" s="41"/>
    </row>
    <row r="441" spans="5:12" s="39" customFormat="1" x14ac:dyDescent="0.3">
      <c r="E441" s="41"/>
      <c r="F441" s="41"/>
      <c r="G441" s="41"/>
      <c r="H441" s="41"/>
      <c r="I441" s="41"/>
      <c r="J441" s="41"/>
      <c r="K441" s="41"/>
      <c r="L441" s="41"/>
    </row>
    <row r="442" spans="5:12" s="39" customFormat="1" x14ac:dyDescent="0.3">
      <c r="E442" s="41"/>
      <c r="F442" s="41"/>
      <c r="G442" s="41"/>
      <c r="H442" s="41"/>
      <c r="I442" s="41"/>
      <c r="J442" s="41"/>
      <c r="K442" s="41"/>
      <c r="L442" s="41"/>
    </row>
    <row r="443" spans="5:12" s="39" customFormat="1" x14ac:dyDescent="0.3">
      <c r="E443" s="41"/>
      <c r="F443" s="41"/>
      <c r="G443" s="41"/>
      <c r="H443" s="41"/>
      <c r="I443" s="41"/>
      <c r="J443" s="41"/>
      <c r="K443" s="41"/>
      <c r="L443" s="41"/>
    </row>
    <row r="444" spans="5:12" s="39" customFormat="1" x14ac:dyDescent="0.3">
      <c r="E444" s="41"/>
      <c r="F444" s="41"/>
      <c r="G444" s="41"/>
      <c r="H444" s="41"/>
      <c r="I444" s="41"/>
      <c r="J444" s="41"/>
      <c r="K444" s="41"/>
      <c r="L444" s="41"/>
    </row>
    <row r="445" spans="5:12" s="39" customFormat="1" x14ac:dyDescent="0.3">
      <c r="E445" s="41"/>
      <c r="F445" s="41"/>
      <c r="G445" s="41"/>
      <c r="H445" s="41"/>
      <c r="I445" s="41"/>
      <c r="J445" s="41"/>
      <c r="K445" s="41"/>
      <c r="L445" s="41"/>
    </row>
    <row r="446" spans="5:12" s="39" customFormat="1" x14ac:dyDescent="0.3">
      <c r="E446" s="41"/>
      <c r="F446" s="41"/>
      <c r="G446" s="41"/>
      <c r="H446" s="41"/>
      <c r="I446" s="41"/>
      <c r="J446" s="41"/>
      <c r="K446" s="41"/>
      <c r="L446" s="41"/>
    </row>
    <row r="447" spans="5:12" s="39" customFormat="1" x14ac:dyDescent="0.3">
      <c r="E447" s="41"/>
      <c r="F447" s="41"/>
      <c r="G447" s="41"/>
      <c r="H447" s="41"/>
      <c r="I447" s="41"/>
      <c r="J447" s="41"/>
      <c r="K447" s="41"/>
      <c r="L447" s="41"/>
    </row>
    <row r="448" spans="5:12" s="39" customFormat="1" x14ac:dyDescent="0.3">
      <c r="E448" s="41"/>
      <c r="F448" s="41"/>
      <c r="G448" s="41"/>
      <c r="H448" s="41"/>
      <c r="I448" s="41"/>
      <c r="J448" s="41"/>
      <c r="K448" s="41"/>
      <c r="L448" s="41"/>
    </row>
    <row r="449" spans="5:12" s="39" customFormat="1" x14ac:dyDescent="0.3">
      <c r="E449" s="41"/>
      <c r="F449" s="41"/>
      <c r="G449" s="41"/>
      <c r="H449" s="41"/>
      <c r="I449" s="41"/>
      <c r="J449" s="41"/>
      <c r="K449" s="41"/>
      <c r="L449" s="41"/>
    </row>
    <row r="450" spans="5:12" s="39" customFormat="1" x14ac:dyDescent="0.3">
      <c r="E450" s="41"/>
      <c r="F450" s="41"/>
      <c r="G450" s="41"/>
      <c r="H450" s="41"/>
      <c r="I450" s="41"/>
      <c r="J450" s="41"/>
      <c r="K450" s="41"/>
      <c r="L450" s="41"/>
    </row>
    <row r="451" spans="5:12" s="39" customFormat="1" x14ac:dyDescent="0.3">
      <c r="E451" s="41"/>
      <c r="F451" s="41"/>
      <c r="G451" s="41"/>
      <c r="H451" s="41"/>
      <c r="I451" s="41"/>
      <c r="J451" s="41"/>
      <c r="K451" s="41"/>
      <c r="L451" s="41"/>
    </row>
    <row r="452" spans="5:12" s="39" customFormat="1" x14ac:dyDescent="0.3">
      <c r="E452" s="41"/>
      <c r="F452" s="41"/>
      <c r="G452" s="41"/>
      <c r="H452" s="41"/>
      <c r="I452" s="41"/>
      <c r="J452" s="41"/>
      <c r="K452" s="41"/>
      <c r="L452" s="41"/>
    </row>
    <row r="453" spans="5:12" s="39" customFormat="1" x14ac:dyDescent="0.3">
      <c r="E453" s="41"/>
      <c r="F453" s="41"/>
      <c r="G453" s="41"/>
      <c r="H453" s="41"/>
      <c r="I453" s="41"/>
      <c r="J453" s="41"/>
      <c r="K453" s="41"/>
      <c r="L453" s="41"/>
    </row>
    <row r="454" spans="5:12" s="39" customFormat="1" x14ac:dyDescent="0.3">
      <c r="E454" s="41"/>
      <c r="F454" s="41"/>
      <c r="G454" s="41"/>
      <c r="H454" s="41"/>
      <c r="I454" s="41"/>
      <c r="J454" s="41"/>
      <c r="K454" s="41"/>
      <c r="L454" s="41"/>
    </row>
    <row r="455" spans="5:12" s="39" customFormat="1" x14ac:dyDescent="0.3">
      <c r="E455" s="41"/>
      <c r="F455" s="41"/>
      <c r="G455" s="41"/>
      <c r="H455" s="41"/>
      <c r="I455" s="41"/>
      <c r="J455" s="41"/>
      <c r="K455" s="41"/>
      <c r="L455" s="41"/>
    </row>
    <row r="456" spans="5:12" s="39" customFormat="1" x14ac:dyDescent="0.3">
      <c r="E456" s="41"/>
      <c r="F456" s="41"/>
      <c r="G456" s="41"/>
      <c r="H456" s="41"/>
      <c r="I456" s="41"/>
      <c r="J456" s="41"/>
      <c r="K456" s="41"/>
      <c r="L456" s="41"/>
    </row>
    <row r="457" spans="5:12" s="39" customFormat="1" x14ac:dyDescent="0.3">
      <c r="E457" s="41"/>
      <c r="F457" s="41"/>
      <c r="G457" s="41"/>
      <c r="H457" s="41"/>
      <c r="I457" s="41"/>
      <c r="J457" s="41"/>
      <c r="K457" s="41"/>
      <c r="L457" s="41"/>
    </row>
    <row r="458" spans="5:12" s="39" customFormat="1" x14ac:dyDescent="0.3">
      <c r="E458" s="41"/>
      <c r="F458" s="41"/>
      <c r="G458" s="41"/>
      <c r="H458" s="41"/>
      <c r="I458" s="41"/>
      <c r="J458" s="41"/>
      <c r="K458" s="41"/>
      <c r="L458" s="41"/>
    </row>
    <row r="459" spans="5:12" s="39" customFormat="1" x14ac:dyDescent="0.3">
      <c r="E459" s="41"/>
      <c r="F459" s="41"/>
      <c r="G459" s="41"/>
      <c r="H459" s="41"/>
      <c r="I459" s="41"/>
      <c r="J459" s="41"/>
      <c r="K459" s="41"/>
      <c r="L459" s="41"/>
    </row>
    <row r="460" spans="5:12" s="39" customFormat="1" x14ac:dyDescent="0.3">
      <c r="E460" s="41"/>
      <c r="F460" s="41"/>
      <c r="G460" s="41"/>
      <c r="H460" s="41"/>
      <c r="I460" s="41"/>
      <c r="J460" s="41"/>
      <c r="K460" s="41"/>
      <c r="L460" s="41"/>
    </row>
    <row r="461" spans="5:12" s="39" customFormat="1" x14ac:dyDescent="0.3">
      <c r="E461" s="41"/>
      <c r="F461" s="41"/>
      <c r="G461" s="41"/>
      <c r="H461" s="41"/>
      <c r="I461" s="41"/>
      <c r="J461" s="41"/>
      <c r="K461" s="41"/>
      <c r="L461" s="41"/>
    </row>
    <row r="462" spans="5:12" s="39" customFormat="1" x14ac:dyDescent="0.3">
      <c r="E462" s="41"/>
      <c r="F462" s="41"/>
      <c r="G462" s="41"/>
      <c r="H462" s="41"/>
      <c r="I462" s="41"/>
      <c r="J462" s="41"/>
      <c r="K462" s="41"/>
      <c r="L462" s="41"/>
    </row>
    <row r="463" spans="5:12" s="39" customFormat="1" x14ac:dyDescent="0.3">
      <c r="E463" s="41"/>
      <c r="F463" s="41"/>
      <c r="G463" s="41"/>
      <c r="H463" s="41"/>
      <c r="I463" s="41"/>
      <c r="J463" s="41"/>
      <c r="K463" s="41"/>
      <c r="L463" s="41"/>
    </row>
    <row r="464" spans="5:12" s="39" customFormat="1" x14ac:dyDescent="0.3">
      <c r="E464" s="41"/>
      <c r="F464" s="41"/>
      <c r="G464" s="41"/>
      <c r="H464" s="41"/>
      <c r="I464" s="41"/>
      <c r="J464" s="41"/>
      <c r="K464" s="41"/>
      <c r="L464" s="41"/>
    </row>
    <row r="465" spans="5:12" s="39" customFormat="1" x14ac:dyDescent="0.3">
      <c r="E465" s="41"/>
      <c r="F465" s="41"/>
      <c r="G465" s="41"/>
      <c r="H465" s="41"/>
      <c r="I465" s="41"/>
      <c r="J465" s="41"/>
      <c r="K465" s="41"/>
      <c r="L465" s="41"/>
    </row>
    <row r="466" spans="5:12" s="39" customFormat="1" x14ac:dyDescent="0.3">
      <c r="E466" s="41"/>
      <c r="F466" s="41"/>
      <c r="G466" s="41"/>
      <c r="H466" s="41"/>
      <c r="I466" s="41"/>
      <c r="J466" s="41"/>
      <c r="K466" s="41"/>
      <c r="L466" s="41"/>
    </row>
    <row r="467" spans="5:12" s="39" customFormat="1" x14ac:dyDescent="0.3">
      <c r="E467" s="41"/>
      <c r="F467" s="41"/>
      <c r="G467" s="41"/>
      <c r="H467" s="41"/>
      <c r="I467" s="41"/>
      <c r="J467" s="41"/>
      <c r="K467" s="41"/>
      <c r="L467" s="41"/>
    </row>
    <row r="468" spans="5:12" s="39" customFormat="1" x14ac:dyDescent="0.3">
      <c r="E468" s="41"/>
      <c r="F468" s="41"/>
      <c r="G468" s="41"/>
      <c r="H468" s="41"/>
      <c r="I468" s="41"/>
      <c r="J468" s="41"/>
      <c r="K468" s="41"/>
      <c r="L468" s="41"/>
    </row>
    <row r="469" spans="5:12" s="39" customFormat="1" x14ac:dyDescent="0.3">
      <c r="E469" s="41"/>
      <c r="F469" s="41"/>
      <c r="G469" s="41"/>
      <c r="H469" s="41"/>
      <c r="I469" s="41"/>
      <c r="J469" s="41"/>
      <c r="K469" s="41"/>
      <c r="L469" s="41"/>
    </row>
    <row r="470" spans="5:12" s="39" customFormat="1" x14ac:dyDescent="0.3">
      <c r="E470" s="41"/>
      <c r="F470" s="41"/>
      <c r="G470" s="41"/>
      <c r="H470" s="41"/>
      <c r="I470" s="41"/>
      <c r="J470" s="41"/>
      <c r="K470" s="41"/>
      <c r="L470" s="41"/>
    </row>
    <row r="471" spans="5:12" s="39" customFormat="1" x14ac:dyDescent="0.3">
      <c r="E471" s="41"/>
      <c r="F471" s="41"/>
      <c r="G471" s="41"/>
      <c r="H471" s="41"/>
      <c r="I471" s="41"/>
      <c r="J471" s="41"/>
      <c r="K471" s="41"/>
      <c r="L471" s="41"/>
    </row>
    <row r="472" spans="5:12" s="39" customFormat="1" x14ac:dyDescent="0.3">
      <c r="E472" s="41"/>
      <c r="F472" s="41"/>
      <c r="G472" s="41"/>
      <c r="H472" s="41"/>
      <c r="I472" s="41"/>
      <c r="J472" s="41"/>
      <c r="K472" s="41"/>
      <c r="L472" s="41"/>
    </row>
    <row r="473" spans="5:12" s="39" customFormat="1" x14ac:dyDescent="0.3">
      <c r="E473" s="41"/>
      <c r="F473" s="41"/>
      <c r="G473" s="41"/>
      <c r="H473" s="41"/>
      <c r="I473" s="41"/>
      <c r="J473" s="41"/>
      <c r="K473" s="41"/>
      <c r="L473" s="41"/>
    </row>
    <row r="474" spans="5:12" s="39" customFormat="1" x14ac:dyDescent="0.3">
      <c r="E474" s="41"/>
      <c r="F474" s="41"/>
      <c r="G474" s="41"/>
      <c r="H474" s="41"/>
      <c r="I474" s="41"/>
      <c r="J474" s="41"/>
      <c r="K474" s="41"/>
      <c r="L474" s="41"/>
    </row>
    <row r="475" spans="5:12" s="39" customFormat="1" x14ac:dyDescent="0.3">
      <c r="E475" s="41"/>
      <c r="F475" s="41"/>
      <c r="G475" s="41"/>
      <c r="H475" s="41"/>
      <c r="I475" s="41"/>
      <c r="J475" s="41"/>
      <c r="K475" s="41"/>
      <c r="L475" s="41"/>
    </row>
    <row r="476" spans="5:12" s="39" customFormat="1" x14ac:dyDescent="0.3">
      <c r="E476" s="41"/>
      <c r="F476" s="41"/>
      <c r="G476" s="41"/>
      <c r="H476" s="41"/>
      <c r="I476" s="41"/>
      <c r="J476" s="41"/>
      <c r="K476" s="41"/>
      <c r="L476" s="41"/>
    </row>
    <row r="477" spans="5:12" s="39" customFormat="1" x14ac:dyDescent="0.3">
      <c r="E477" s="41"/>
      <c r="F477" s="41"/>
      <c r="G477" s="41"/>
      <c r="H477" s="41"/>
      <c r="I477" s="41"/>
      <c r="J477" s="41"/>
      <c r="K477" s="41"/>
      <c r="L477" s="41"/>
    </row>
    <row r="478" spans="5:12" s="39" customFormat="1" x14ac:dyDescent="0.3">
      <c r="E478" s="41"/>
      <c r="F478" s="41"/>
      <c r="G478" s="41"/>
      <c r="H478" s="41"/>
      <c r="I478" s="41"/>
      <c r="J478" s="41"/>
      <c r="K478" s="41"/>
      <c r="L478" s="41"/>
    </row>
    <row r="479" spans="5:12" s="39" customFormat="1" x14ac:dyDescent="0.3">
      <c r="E479" s="41"/>
      <c r="F479" s="41"/>
      <c r="G479" s="41"/>
      <c r="H479" s="41"/>
      <c r="I479" s="41"/>
      <c r="J479" s="41"/>
      <c r="K479" s="41"/>
      <c r="L479" s="41"/>
    </row>
    <row r="480" spans="5:12" s="39" customFormat="1" x14ac:dyDescent="0.3">
      <c r="E480" s="41"/>
      <c r="F480" s="41"/>
      <c r="G480" s="41"/>
      <c r="H480" s="41"/>
      <c r="I480" s="41"/>
      <c r="J480" s="41"/>
      <c r="K480" s="41"/>
      <c r="L480" s="41"/>
    </row>
    <row r="481" spans="5:12" s="39" customFormat="1" x14ac:dyDescent="0.3">
      <c r="E481" s="41"/>
      <c r="F481" s="41"/>
      <c r="G481" s="41"/>
      <c r="H481" s="41"/>
      <c r="I481" s="41"/>
      <c r="J481" s="41"/>
      <c r="K481" s="41"/>
      <c r="L481" s="41"/>
    </row>
    <row r="482" spans="5:12" s="39" customFormat="1" x14ac:dyDescent="0.3">
      <c r="E482" s="41"/>
      <c r="F482" s="41"/>
      <c r="G482" s="41"/>
      <c r="H482" s="41"/>
      <c r="I482" s="41"/>
      <c r="J482" s="41"/>
      <c r="K482" s="41"/>
      <c r="L482" s="41"/>
    </row>
    <row r="483" spans="5:12" s="39" customFormat="1" x14ac:dyDescent="0.3">
      <c r="E483" s="41"/>
      <c r="F483" s="41"/>
      <c r="G483" s="41"/>
      <c r="H483" s="41"/>
      <c r="I483" s="41"/>
      <c r="J483" s="41"/>
      <c r="K483" s="41"/>
      <c r="L483" s="41"/>
    </row>
    <row r="484" spans="5:12" s="39" customFormat="1" x14ac:dyDescent="0.3">
      <c r="E484" s="41"/>
      <c r="F484" s="41"/>
      <c r="G484" s="41"/>
      <c r="H484" s="41"/>
      <c r="I484" s="41"/>
      <c r="J484" s="41"/>
      <c r="K484" s="41"/>
      <c r="L484" s="41"/>
    </row>
    <row r="485" spans="5:12" s="39" customFormat="1" x14ac:dyDescent="0.3">
      <c r="E485" s="41"/>
      <c r="F485" s="41"/>
      <c r="G485" s="41"/>
      <c r="H485" s="41"/>
      <c r="I485" s="41"/>
      <c r="J485" s="41"/>
      <c r="K485" s="41"/>
      <c r="L485" s="41"/>
    </row>
    <row r="486" spans="5:12" s="39" customFormat="1" x14ac:dyDescent="0.3">
      <c r="E486" s="41"/>
      <c r="F486" s="41"/>
      <c r="G486" s="41"/>
      <c r="H486" s="41"/>
      <c r="I486" s="41"/>
      <c r="J486" s="41"/>
      <c r="K486" s="41"/>
      <c r="L486" s="41"/>
    </row>
    <row r="487" spans="5:12" s="39" customFormat="1" x14ac:dyDescent="0.3">
      <c r="E487" s="41"/>
      <c r="F487" s="41"/>
      <c r="G487" s="41"/>
      <c r="H487" s="41"/>
      <c r="I487" s="41"/>
      <c r="J487" s="41"/>
      <c r="K487" s="41"/>
      <c r="L487" s="41"/>
    </row>
    <row r="488" spans="5:12" s="39" customFormat="1" x14ac:dyDescent="0.3">
      <c r="E488" s="41"/>
      <c r="F488" s="41"/>
      <c r="G488" s="41"/>
      <c r="H488" s="41"/>
      <c r="I488" s="41"/>
      <c r="J488" s="41"/>
      <c r="K488" s="41"/>
      <c r="L488" s="41"/>
    </row>
    <row r="489" spans="5:12" s="39" customFormat="1" x14ac:dyDescent="0.3">
      <c r="E489" s="41"/>
      <c r="F489" s="41"/>
      <c r="G489" s="41"/>
      <c r="H489" s="41"/>
      <c r="I489" s="41"/>
      <c r="J489" s="41"/>
      <c r="K489" s="41"/>
      <c r="L489" s="41"/>
    </row>
    <row r="490" spans="5:12" s="39" customFormat="1" x14ac:dyDescent="0.3">
      <c r="E490" s="41"/>
      <c r="F490" s="41"/>
      <c r="G490" s="41"/>
      <c r="H490" s="41"/>
      <c r="I490" s="41"/>
      <c r="J490" s="41"/>
      <c r="K490" s="41"/>
      <c r="L490" s="41"/>
    </row>
    <row r="491" spans="5:12" s="39" customFormat="1" x14ac:dyDescent="0.3">
      <c r="E491" s="41"/>
      <c r="F491" s="41"/>
      <c r="G491" s="41"/>
      <c r="H491" s="41"/>
      <c r="I491" s="41"/>
      <c r="J491" s="41"/>
      <c r="K491" s="41"/>
      <c r="L491" s="41"/>
    </row>
    <row r="492" spans="5:12" s="39" customFormat="1" x14ac:dyDescent="0.3">
      <c r="E492" s="41"/>
      <c r="F492" s="41"/>
      <c r="G492" s="41"/>
      <c r="H492" s="41"/>
      <c r="I492" s="41"/>
      <c r="J492" s="41"/>
      <c r="K492" s="41"/>
      <c r="L492" s="41"/>
    </row>
    <row r="493" spans="5:12" s="39" customFormat="1" x14ac:dyDescent="0.3">
      <c r="E493" s="41"/>
      <c r="F493" s="41"/>
      <c r="G493" s="41"/>
      <c r="H493" s="41"/>
      <c r="I493" s="41"/>
      <c r="J493" s="41"/>
      <c r="K493" s="41"/>
      <c r="L493" s="41"/>
    </row>
    <row r="494" spans="5:12" s="39" customFormat="1" x14ac:dyDescent="0.3">
      <c r="E494" s="41"/>
      <c r="F494" s="41"/>
      <c r="G494" s="41"/>
      <c r="H494" s="41"/>
      <c r="I494" s="41"/>
      <c r="J494" s="41"/>
      <c r="K494" s="41"/>
      <c r="L494" s="41"/>
    </row>
    <row r="495" spans="5:12" s="39" customFormat="1" x14ac:dyDescent="0.3">
      <c r="E495" s="41"/>
      <c r="F495" s="41"/>
      <c r="G495" s="41"/>
      <c r="H495" s="41"/>
      <c r="I495" s="41"/>
      <c r="J495" s="41"/>
      <c r="K495" s="41"/>
      <c r="L495" s="41"/>
    </row>
    <row r="496" spans="5:12" s="39" customFormat="1" x14ac:dyDescent="0.3">
      <c r="E496" s="41"/>
      <c r="F496" s="41"/>
      <c r="G496" s="41"/>
      <c r="H496" s="41"/>
      <c r="I496" s="41"/>
      <c r="J496" s="41"/>
      <c r="K496" s="41"/>
      <c r="L496" s="41"/>
    </row>
    <row r="497" spans="5:12" s="39" customFormat="1" x14ac:dyDescent="0.3">
      <c r="E497" s="41"/>
      <c r="F497" s="41"/>
      <c r="G497" s="41"/>
      <c r="H497" s="41"/>
      <c r="I497" s="41"/>
      <c r="J497" s="41"/>
      <c r="K497" s="41"/>
      <c r="L497" s="41"/>
    </row>
    <row r="498" spans="5:12" s="39" customFormat="1" x14ac:dyDescent="0.3">
      <c r="E498" s="41"/>
      <c r="F498" s="41"/>
      <c r="G498" s="41"/>
      <c r="H498" s="41"/>
      <c r="I498" s="41"/>
      <c r="J498" s="41"/>
      <c r="K498" s="41"/>
      <c r="L498" s="41"/>
    </row>
    <row r="499" spans="5:12" s="39" customFormat="1" x14ac:dyDescent="0.3">
      <c r="E499" s="41"/>
      <c r="F499" s="41"/>
      <c r="G499" s="41"/>
      <c r="H499" s="41"/>
      <c r="I499" s="41"/>
      <c r="J499" s="41"/>
      <c r="K499" s="41"/>
      <c r="L499" s="41"/>
    </row>
    <row r="500" spans="5:12" s="39" customFormat="1" x14ac:dyDescent="0.3">
      <c r="E500" s="41"/>
      <c r="F500" s="41"/>
      <c r="G500" s="41"/>
      <c r="H500" s="41"/>
      <c r="I500" s="41"/>
      <c r="J500" s="41"/>
      <c r="K500" s="41"/>
      <c r="L500" s="41"/>
    </row>
    <row r="501" spans="5:12" s="39" customFormat="1" x14ac:dyDescent="0.3">
      <c r="E501" s="41"/>
      <c r="F501" s="41"/>
      <c r="G501" s="41"/>
      <c r="H501" s="41"/>
      <c r="I501" s="41"/>
      <c r="J501" s="41"/>
      <c r="K501" s="41"/>
      <c r="L501" s="41"/>
    </row>
    <row r="502" spans="5:12" s="39" customFormat="1" x14ac:dyDescent="0.3">
      <c r="E502" s="41"/>
      <c r="F502" s="41"/>
      <c r="G502" s="41"/>
      <c r="H502" s="41"/>
      <c r="I502" s="41"/>
      <c r="J502" s="41"/>
      <c r="K502" s="41"/>
      <c r="L502" s="41"/>
    </row>
    <row r="503" spans="5:12" s="39" customFormat="1" x14ac:dyDescent="0.3">
      <c r="E503" s="41"/>
      <c r="F503" s="41"/>
      <c r="G503" s="41"/>
      <c r="H503" s="41"/>
      <c r="I503" s="41"/>
      <c r="J503" s="41"/>
      <c r="K503" s="41"/>
      <c r="L503" s="41"/>
    </row>
    <row r="504" spans="5:12" s="39" customFormat="1" x14ac:dyDescent="0.3">
      <c r="E504" s="41"/>
      <c r="F504" s="41"/>
      <c r="G504" s="41"/>
      <c r="H504" s="41"/>
      <c r="I504" s="41"/>
      <c r="J504" s="41"/>
      <c r="K504" s="41"/>
      <c r="L504" s="41"/>
    </row>
    <row r="505" spans="5:12" s="39" customFormat="1" x14ac:dyDescent="0.3">
      <c r="E505" s="41"/>
      <c r="F505" s="41"/>
      <c r="G505" s="41"/>
      <c r="H505" s="41"/>
      <c r="I505" s="41"/>
      <c r="J505" s="41"/>
      <c r="K505" s="41"/>
      <c r="L505" s="41"/>
    </row>
    <row r="506" spans="5:12" s="39" customFormat="1" x14ac:dyDescent="0.3">
      <c r="E506" s="41"/>
      <c r="F506" s="41"/>
      <c r="G506" s="41"/>
      <c r="H506" s="41"/>
      <c r="I506" s="41"/>
      <c r="J506" s="41"/>
      <c r="K506" s="41"/>
      <c r="L506" s="41"/>
    </row>
    <row r="507" spans="5:12" s="39" customFormat="1" x14ac:dyDescent="0.3">
      <c r="E507" s="41"/>
      <c r="F507" s="41"/>
      <c r="G507" s="41"/>
      <c r="H507" s="41"/>
      <c r="I507" s="41"/>
      <c r="J507" s="41"/>
      <c r="K507" s="41"/>
      <c r="L507" s="41"/>
    </row>
    <row r="508" spans="5:12" s="39" customFormat="1" x14ac:dyDescent="0.3">
      <c r="E508" s="41"/>
      <c r="F508" s="41"/>
      <c r="G508" s="41"/>
      <c r="H508" s="41"/>
      <c r="I508" s="41"/>
      <c r="J508" s="41"/>
      <c r="K508" s="41"/>
      <c r="L508" s="41"/>
    </row>
    <row r="509" spans="5:12" s="39" customFormat="1" x14ac:dyDescent="0.3">
      <c r="E509" s="41"/>
      <c r="F509" s="41"/>
      <c r="G509" s="41"/>
      <c r="H509" s="41"/>
      <c r="I509" s="41"/>
      <c r="J509" s="41"/>
      <c r="K509" s="41"/>
      <c r="L509" s="41"/>
    </row>
    <row r="510" spans="5:12" s="39" customFormat="1" x14ac:dyDescent="0.3">
      <c r="E510" s="41"/>
      <c r="F510" s="41"/>
      <c r="G510" s="41"/>
      <c r="H510" s="41"/>
      <c r="I510" s="41"/>
      <c r="J510" s="41"/>
      <c r="K510" s="41"/>
      <c r="L510" s="41"/>
    </row>
    <row r="511" spans="5:12" s="39" customFormat="1" x14ac:dyDescent="0.3">
      <c r="E511" s="41"/>
      <c r="F511" s="41"/>
      <c r="G511" s="41"/>
      <c r="H511" s="41"/>
      <c r="I511" s="41"/>
      <c r="J511" s="41"/>
      <c r="K511" s="41"/>
      <c r="L511" s="41"/>
    </row>
    <row r="512" spans="5:12" s="39" customFormat="1" x14ac:dyDescent="0.3">
      <c r="E512" s="41"/>
      <c r="F512" s="41"/>
      <c r="G512" s="41"/>
      <c r="H512" s="41"/>
      <c r="I512" s="41"/>
      <c r="J512" s="41"/>
      <c r="K512" s="41"/>
      <c r="L512" s="41"/>
    </row>
    <row r="513" spans="5:12" s="39" customFormat="1" x14ac:dyDescent="0.3">
      <c r="E513" s="41"/>
      <c r="F513" s="41"/>
      <c r="G513" s="41"/>
      <c r="H513" s="41"/>
      <c r="I513" s="41"/>
      <c r="J513" s="41"/>
      <c r="K513" s="41"/>
      <c r="L513" s="41"/>
    </row>
    <row r="514" spans="5:12" s="39" customFormat="1" x14ac:dyDescent="0.3">
      <c r="E514" s="41"/>
      <c r="F514" s="41"/>
      <c r="G514" s="41"/>
      <c r="H514" s="41"/>
      <c r="I514" s="41"/>
      <c r="J514" s="41"/>
      <c r="K514" s="41"/>
      <c r="L514" s="41"/>
    </row>
    <row r="515" spans="5:12" s="39" customFormat="1" x14ac:dyDescent="0.3">
      <c r="E515" s="41"/>
      <c r="F515" s="41"/>
      <c r="G515" s="41"/>
      <c r="H515" s="41"/>
      <c r="I515" s="41"/>
      <c r="J515" s="41"/>
      <c r="K515" s="41"/>
      <c r="L515" s="41"/>
    </row>
    <row r="516" spans="5:12" s="39" customFormat="1" x14ac:dyDescent="0.3">
      <c r="E516" s="41"/>
      <c r="F516" s="41"/>
      <c r="G516" s="41"/>
      <c r="H516" s="41"/>
      <c r="I516" s="41"/>
      <c r="J516" s="41"/>
      <c r="K516" s="41"/>
      <c r="L516" s="41"/>
    </row>
    <row r="517" spans="5:12" s="39" customFormat="1" x14ac:dyDescent="0.3">
      <c r="E517" s="41"/>
      <c r="F517" s="41"/>
      <c r="G517" s="41"/>
      <c r="H517" s="41"/>
      <c r="I517" s="41"/>
      <c r="J517" s="41"/>
      <c r="K517" s="41"/>
      <c r="L517" s="41"/>
    </row>
    <row r="518" spans="5:12" s="39" customFormat="1" x14ac:dyDescent="0.3">
      <c r="E518" s="41"/>
      <c r="F518" s="41"/>
      <c r="G518" s="41"/>
      <c r="H518" s="41"/>
      <c r="I518" s="41"/>
      <c r="J518" s="41"/>
      <c r="K518" s="41"/>
      <c r="L518" s="41"/>
    </row>
    <row r="519" spans="5:12" s="39" customFormat="1" x14ac:dyDescent="0.3">
      <c r="E519" s="41"/>
      <c r="F519" s="41"/>
      <c r="G519" s="41"/>
      <c r="H519" s="41"/>
      <c r="I519" s="41"/>
      <c r="J519" s="41"/>
      <c r="K519" s="41"/>
      <c r="L519" s="41"/>
    </row>
    <row r="520" spans="5:12" s="39" customFormat="1" x14ac:dyDescent="0.3">
      <c r="E520" s="41"/>
      <c r="F520" s="41"/>
      <c r="G520" s="41"/>
      <c r="H520" s="41"/>
      <c r="I520" s="41"/>
      <c r="J520" s="41"/>
      <c r="K520" s="41"/>
      <c r="L520" s="41"/>
    </row>
    <row r="521" spans="5:12" s="39" customFormat="1" x14ac:dyDescent="0.3">
      <c r="E521" s="41"/>
      <c r="F521" s="41"/>
      <c r="G521" s="41"/>
      <c r="H521" s="41"/>
      <c r="I521" s="41"/>
      <c r="J521" s="41"/>
      <c r="K521" s="41"/>
      <c r="L521" s="41"/>
    </row>
    <row r="522" spans="5:12" s="39" customFormat="1" x14ac:dyDescent="0.3">
      <c r="E522" s="41"/>
      <c r="F522" s="41"/>
      <c r="G522" s="41"/>
      <c r="H522" s="41"/>
      <c r="I522" s="41"/>
      <c r="J522" s="41"/>
      <c r="K522" s="41"/>
      <c r="L522" s="41"/>
    </row>
    <row r="523" spans="5:12" s="39" customFormat="1" x14ac:dyDescent="0.3">
      <c r="E523" s="41"/>
      <c r="F523" s="41"/>
      <c r="G523" s="41"/>
      <c r="H523" s="41"/>
      <c r="I523" s="41"/>
      <c r="J523" s="41"/>
      <c r="K523" s="41"/>
      <c r="L523" s="41"/>
    </row>
    <row r="524" spans="5:12" s="39" customFormat="1" x14ac:dyDescent="0.3">
      <c r="E524" s="41"/>
      <c r="F524" s="41"/>
      <c r="G524" s="41"/>
      <c r="H524" s="41"/>
      <c r="I524" s="41"/>
      <c r="J524" s="41"/>
      <c r="K524" s="41"/>
      <c r="L524" s="41"/>
    </row>
    <row r="525" spans="5:12" s="39" customFormat="1" x14ac:dyDescent="0.3">
      <c r="E525" s="41"/>
      <c r="F525" s="41"/>
      <c r="G525" s="41"/>
      <c r="H525" s="41"/>
      <c r="I525" s="41"/>
      <c r="J525" s="41"/>
      <c r="K525" s="41"/>
      <c r="L525" s="41"/>
    </row>
    <row r="526" spans="5:12" s="39" customFormat="1" x14ac:dyDescent="0.3">
      <c r="E526" s="41"/>
      <c r="F526" s="41"/>
      <c r="G526" s="41"/>
      <c r="H526" s="41"/>
      <c r="I526" s="41"/>
      <c r="J526" s="41"/>
      <c r="K526" s="41"/>
      <c r="L526" s="41"/>
    </row>
    <row r="527" spans="5:12" s="39" customFormat="1" x14ac:dyDescent="0.3">
      <c r="E527" s="41"/>
      <c r="F527" s="41"/>
      <c r="G527" s="41"/>
      <c r="H527" s="41"/>
      <c r="I527" s="41"/>
      <c r="J527" s="41"/>
      <c r="K527" s="41"/>
      <c r="L527" s="41"/>
    </row>
    <row r="528" spans="5:12" s="39" customFormat="1" x14ac:dyDescent="0.3">
      <c r="E528" s="41"/>
      <c r="F528" s="41"/>
      <c r="G528" s="41"/>
      <c r="H528" s="41"/>
      <c r="I528" s="41"/>
      <c r="J528" s="41"/>
      <c r="K528" s="41"/>
      <c r="L528" s="41"/>
    </row>
    <row r="529" spans="5:12" s="39" customFormat="1" x14ac:dyDescent="0.3">
      <c r="E529" s="41"/>
      <c r="F529" s="41"/>
      <c r="G529" s="41"/>
      <c r="H529" s="41"/>
      <c r="I529" s="41"/>
      <c r="J529" s="41"/>
      <c r="K529" s="41"/>
      <c r="L529" s="41"/>
    </row>
    <row r="530" spans="5:12" s="39" customFormat="1" x14ac:dyDescent="0.3">
      <c r="E530" s="41"/>
      <c r="F530" s="41"/>
      <c r="G530" s="41"/>
      <c r="H530" s="41"/>
      <c r="I530" s="41"/>
      <c r="J530" s="41"/>
      <c r="K530" s="41"/>
      <c r="L530" s="41"/>
    </row>
    <row r="531" spans="5:12" s="39" customFormat="1" x14ac:dyDescent="0.3">
      <c r="E531" s="41"/>
      <c r="F531" s="41"/>
      <c r="G531" s="41"/>
      <c r="H531" s="41"/>
      <c r="I531" s="41"/>
      <c r="J531" s="41"/>
      <c r="K531" s="41"/>
      <c r="L531" s="41"/>
    </row>
    <row r="532" spans="5:12" s="39" customFormat="1" x14ac:dyDescent="0.3">
      <c r="E532" s="41"/>
      <c r="F532" s="41"/>
      <c r="G532" s="41"/>
      <c r="H532" s="41"/>
      <c r="I532" s="41"/>
      <c r="J532" s="41"/>
      <c r="K532" s="41"/>
      <c r="L532" s="41"/>
    </row>
    <row r="533" spans="5:12" s="39" customFormat="1" x14ac:dyDescent="0.3">
      <c r="E533" s="41"/>
      <c r="F533" s="41"/>
      <c r="G533" s="41"/>
      <c r="H533" s="41"/>
      <c r="I533" s="41"/>
      <c r="J533" s="41"/>
      <c r="K533" s="41"/>
      <c r="L533" s="41"/>
    </row>
    <row r="534" spans="5:12" s="39" customFormat="1" x14ac:dyDescent="0.3">
      <c r="E534" s="41"/>
      <c r="F534" s="41"/>
      <c r="G534" s="41"/>
      <c r="H534" s="41"/>
      <c r="I534" s="41"/>
      <c r="J534" s="41"/>
      <c r="K534" s="41"/>
      <c r="L534" s="41"/>
    </row>
    <row r="535" spans="5:12" s="39" customFormat="1" x14ac:dyDescent="0.3">
      <c r="E535" s="41"/>
      <c r="F535" s="41"/>
      <c r="G535" s="41"/>
      <c r="H535" s="41"/>
      <c r="I535" s="41"/>
      <c r="J535" s="41"/>
      <c r="K535" s="41"/>
      <c r="L535" s="41"/>
    </row>
    <row r="536" spans="5:12" s="39" customFormat="1" x14ac:dyDescent="0.3">
      <c r="E536" s="41"/>
      <c r="F536" s="41"/>
      <c r="G536" s="41"/>
      <c r="H536" s="41"/>
      <c r="I536" s="41"/>
      <c r="J536" s="41"/>
      <c r="K536" s="41"/>
      <c r="L536" s="41"/>
    </row>
    <row r="537" spans="5:12" s="39" customFormat="1" x14ac:dyDescent="0.3">
      <c r="E537" s="41"/>
      <c r="F537" s="41"/>
      <c r="G537" s="41"/>
      <c r="H537" s="41"/>
      <c r="I537" s="41"/>
      <c r="J537" s="41"/>
      <c r="K537" s="41"/>
      <c r="L537" s="41"/>
    </row>
    <row r="538" spans="5:12" s="39" customFormat="1" x14ac:dyDescent="0.3">
      <c r="E538" s="41"/>
      <c r="F538" s="41"/>
      <c r="G538" s="41"/>
      <c r="H538" s="41"/>
      <c r="I538" s="41"/>
      <c r="J538" s="41"/>
      <c r="K538" s="41"/>
      <c r="L538" s="41"/>
    </row>
    <row r="539" spans="5:12" s="39" customFormat="1" x14ac:dyDescent="0.3">
      <c r="E539" s="41"/>
      <c r="F539" s="41"/>
      <c r="G539" s="41"/>
      <c r="H539" s="41"/>
      <c r="I539" s="41"/>
      <c r="J539" s="41"/>
      <c r="K539" s="41"/>
      <c r="L539" s="41"/>
    </row>
    <row r="540" spans="5:12" s="39" customFormat="1" x14ac:dyDescent="0.3">
      <c r="E540" s="41"/>
      <c r="F540" s="41"/>
      <c r="G540" s="41"/>
      <c r="H540" s="41"/>
      <c r="I540" s="41"/>
      <c r="J540" s="41"/>
      <c r="K540" s="41"/>
      <c r="L540" s="41"/>
    </row>
    <row r="541" spans="5:12" s="39" customFormat="1" x14ac:dyDescent="0.3">
      <c r="E541" s="41"/>
      <c r="F541" s="41"/>
      <c r="G541" s="41"/>
      <c r="H541" s="41"/>
      <c r="I541" s="41"/>
      <c r="J541" s="41"/>
      <c r="K541" s="41"/>
      <c r="L541" s="41"/>
    </row>
    <row r="542" spans="5:12" s="39" customFormat="1" x14ac:dyDescent="0.3">
      <c r="E542" s="41"/>
      <c r="F542" s="41"/>
      <c r="G542" s="41"/>
      <c r="H542" s="41"/>
      <c r="I542" s="41"/>
      <c r="J542" s="41"/>
      <c r="K542" s="41"/>
      <c r="L542" s="41"/>
    </row>
    <row r="543" spans="5:12" s="39" customFormat="1" x14ac:dyDescent="0.3">
      <c r="E543" s="41"/>
      <c r="F543" s="41"/>
      <c r="G543" s="41"/>
      <c r="H543" s="41"/>
      <c r="I543" s="41"/>
      <c r="J543" s="41"/>
      <c r="K543" s="41"/>
      <c r="L543" s="41"/>
    </row>
    <row r="544" spans="5:12" s="39" customFormat="1" x14ac:dyDescent="0.3">
      <c r="E544" s="41"/>
      <c r="F544" s="41"/>
      <c r="G544" s="41"/>
      <c r="H544" s="41"/>
      <c r="I544" s="41"/>
      <c r="J544" s="41"/>
      <c r="K544" s="41"/>
      <c r="L544" s="41"/>
    </row>
    <row r="545" spans="5:12" s="39" customFormat="1" x14ac:dyDescent="0.3">
      <c r="E545" s="41"/>
      <c r="F545" s="41"/>
      <c r="G545" s="41"/>
      <c r="H545" s="41"/>
      <c r="I545" s="41"/>
      <c r="J545" s="41"/>
      <c r="K545" s="41"/>
      <c r="L545" s="41"/>
    </row>
    <row r="546" spans="5:12" s="39" customFormat="1" x14ac:dyDescent="0.3">
      <c r="E546" s="41"/>
      <c r="F546" s="41"/>
      <c r="G546" s="41"/>
      <c r="H546" s="41"/>
      <c r="I546" s="41"/>
      <c r="J546" s="41"/>
      <c r="K546" s="41"/>
      <c r="L546" s="41"/>
    </row>
    <row r="547" spans="5:12" s="39" customFormat="1" x14ac:dyDescent="0.3">
      <c r="E547" s="41"/>
      <c r="F547" s="41"/>
      <c r="G547" s="41"/>
      <c r="H547" s="41"/>
      <c r="I547" s="41"/>
      <c r="J547" s="41"/>
      <c r="K547" s="41"/>
      <c r="L547" s="41"/>
    </row>
    <row r="548" spans="5:12" s="39" customFormat="1" x14ac:dyDescent="0.3">
      <c r="E548" s="41"/>
      <c r="F548" s="41"/>
      <c r="G548" s="41"/>
      <c r="H548" s="41"/>
      <c r="I548" s="41"/>
      <c r="J548" s="41"/>
      <c r="K548" s="41"/>
      <c r="L548" s="41"/>
    </row>
    <row r="549" spans="5:12" s="39" customFormat="1" x14ac:dyDescent="0.3">
      <c r="E549" s="41"/>
      <c r="F549" s="41"/>
      <c r="G549" s="41"/>
      <c r="H549" s="41"/>
      <c r="I549" s="41"/>
      <c r="J549" s="41"/>
      <c r="K549" s="41"/>
      <c r="L549" s="41"/>
    </row>
    <row r="550" spans="5:12" s="39" customFormat="1" x14ac:dyDescent="0.3">
      <c r="E550" s="41"/>
      <c r="F550" s="41"/>
      <c r="G550" s="41"/>
      <c r="H550" s="41"/>
      <c r="I550" s="41"/>
      <c r="J550" s="41"/>
      <c r="K550" s="41"/>
      <c r="L550" s="41"/>
    </row>
    <row r="551" spans="5:12" s="39" customFormat="1" x14ac:dyDescent="0.3">
      <c r="E551" s="41"/>
      <c r="F551" s="41"/>
      <c r="G551" s="41"/>
      <c r="H551" s="41"/>
      <c r="I551" s="41"/>
      <c r="J551" s="41"/>
      <c r="K551" s="41"/>
      <c r="L551" s="41"/>
    </row>
    <row r="552" spans="5:12" s="39" customFormat="1" x14ac:dyDescent="0.3">
      <c r="E552" s="41"/>
      <c r="F552" s="41"/>
      <c r="G552" s="41"/>
      <c r="H552" s="41"/>
      <c r="I552" s="41"/>
      <c r="J552" s="41"/>
      <c r="K552" s="41"/>
      <c r="L552" s="41"/>
    </row>
    <row r="553" spans="5:12" s="39" customFormat="1" x14ac:dyDescent="0.3">
      <c r="E553" s="41"/>
      <c r="F553" s="41"/>
      <c r="G553" s="41"/>
      <c r="H553" s="41"/>
      <c r="I553" s="41"/>
      <c r="J553" s="41"/>
      <c r="K553" s="41"/>
      <c r="L553" s="41"/>
    </row>
    <row r="554" spans="5:12" s="39" customFormat="1" x14ac:dyDescent="0.3">
      <c r="E554" s="41"/>
      <c r="F554" s="41"/>
      <c r="G554" s="41"/>
      <c r="H554" s="41"/>
      <c r="I554" s="41"/>
      <c r="J554" s="41"/>
      <c r="K554" s="41"/>
      <c r="L554" s="41"/>
    </row>
    <row r="555" spans="5:12" s="39" customFormat="1" x14ac:dyDescent="0.3">
      <c r="E555" s="41"/>
      <c r="F555" s="41"/>
      <c r="G555" s="41"/>
      <c r="H555" s="41"/>
      <c r="I555" s="41"/>
      <c r="J555" s="41"/>
      <c r="K555" s="41"/>
      <c r="L555" s="41"/>
    </row>
    <row r="556" spans="5:12" s="39" customFormat="1" x14ac:dyDescent="0.3">
      <c r="E556" s="41"/>
      <c r="F556" s="41"/>
      <c r="G556" s="41"/>
      <c r="H556" s="41"/>
      <c r="I556" s="41"/>
      <c r="J556" s="41"/>
      <c r="K556" s="41"/>
      <c r="L556" s="41"/>
    </row>
    <row r="557" spans="5:12" s="39" customFormat="1" x14ac:dyDescent="0.3">
      <c r="E557" s="41"/>
      <c r="F557" s="41"/>
      <c r="G557" s="41"/>
      <c r="H557" s="41"/>
      <c r="I557" s="41"/>
      <c r="J557" s="41"/>
      <c r="K557" s="41"/>
      <c r="L557" s="41"/>
    </row>
    <row r="558" spans="5:12" s="39" customFormat="1" x14ac:dyDescent="0.3">
      <c r="E558" s="41"/>
      <c r="F558" s="41"/>
      <c r="G558" s="41"/>
      <c r="H558" s="41"/>
      <c r="I558" s="41"/>
      <c r="J558" s="41"/>
      <c r="K558" s="41"/>
      <c r="L558" s="41"/>
    </row>
    <row r="559" spans="5:12" s="39" customFormat="1" x14ac:dyDescent="0.3">
      <c r="E559" s="41"/>
      <c r="F559" s="41"/>
      <c r="G559" s="41"/>
      <c r="H559" s="41"/>
      <c r="I559" s="41"/>
      <c r="J559" s="41"/>
      <c r="K559" s="41"/>
      <c r="L559" s="41"/>
    </row>
    <row r="560" spans="5:12" s="39" customFormat="1" x14ac:dyDescent="0.3">
      <c r="E560" s="41"/>
      <c r="F560" s="41"/>
      <c r="G560" s="41"/>
      <c r="H560" s="41"/>
      <c r="I560" s="41"/>
      <c r="J560" s="41"/>
      <c r="K560" s="41"/>
      <c r="L560" s="41"/>
    </row>
    <row r="561" spans="5:12" s="39" customFormat="1" x14ac:dyDescent="0.3">
      <c r="E561" s="41"/>
      <c r="F561" s="41"/>
      <c r="G561" s="41"/>
      <c r="H561" s="41"/>
      <c r="I561" s="41"/>
      <c r="J561" s="41"/>
      <c r="K561" s="41"/>
      <c r="L561" s="41"/>
    </row>
    <row r="562" spans="5:12" s="39" customFormat="1" x14ac:dyDescent="0.3">
      <c r="E562" s="41"/>
      <c r="F562" s="41"/>
      <c r="G562" s="41"/>
      <c r="H562" s="41"/>
      <c r="I562" s="41"/>
      <c r="J562" s="41"/>
      <c r="K562" s="41"/>
      <c r="L562" s="41"/>
    </row>
    <row r="563" spans="5:12" s="39" customFormat="1" x14ac:dyDescent="0.3">
      <c r="E563" s="41"/>
      <c r="F563" s="41"/>
      <c r="G563" s="41"/>
      <c r="H563" s="41"/>
      <c r="I563" s="41"/>
      <c r="J563" s="41"/>
      <c r="K563" s="41"/>
      <c r="L563" s="41"/>
    </row>
    <row r="564" spans="5:12" s="39" customFormat="1" x14ac:dyDescent="0.3">
      <c r="E564" s="41"/>
      <c r="F564" s="41"/>
      <c r="G564" s="41"/>
      <c r="H564" s="41"/>
      <c r="I564" s="41"/>
      <c r="J564" s="41"/>
      <c r="K564" s="41"/>
      <c r="L564" s="41"/>
    </row>
    <row r="565" spans="5:12" s="39" customFormat="1" x14ac:dyDescent="0.3">
      <c r="E565" s="41"/>
      <c r="F565" s="41"/>
      <c r="G565" s="41"/>
      <c r="H565" s="41"/>
      <c r="I565" s="41"/>
      <c r="J565" s="41"/>
      <c r="K565" s="41"/>
      <c r="L565" s="41"/>
    </row>
    <row r="566" spans="5:12" s="39" customFormat="1" x14ac:dyDescent="0.3">
      <c r="E566" s="41"/>
      <c r="F566" s="41"/>
      <c r="G566" s="41"/>
      <c r="H566" s="41"/>
      <c r="I566" s="41"/>
      <c r="J566" s="41"/>
      <c r="K566" s="41"/>
      <c r="L566" s="41"/>
    </row>
    <row r="567" spans="5:12" s="39" customFormat="1" x14ac:dyDescent="0.3">
      <c r="E567" s="41"/>
      <c r="F567" s="41"/>
      <c r="G567" s="41"/>
      <c r="H567" s="41"/>
      <c r="I567" s="41"/>
      <c r="J567" s="41"/>
      <c r="K567" s="41"/>
      <c r="L567" s="41"/>
    </row>
    <row r="568" spans="5:12" s="39" customFormat="1" x14ac:dyDescent="0.3">
      <c r="E568" s="41"/>
      <c r="F568" s="41"/>
      <c r="G568" s="41"/>
      <c r="H568" s="41"/>
      <c r="I568" s="41"/>
      <c r="J568" s="41"/>
      <c r="K568" s="41"/>
      <c r="L568" s="41"/>
    </row>
    <row r="569" spans="5:12" s="39" customFormat="1" x14ac:dyDescent="0.3">
      <c r="E569" s="41"/>
      <c r="F569" s="41"/>
      <c r="G569" s="41"/>
      <c r="H569" s="41"/>
      <c r="I569" s="41"/>
      <c r="J569" s="41"/>
      <c r="K569" s="41"/>
      <c r="L569" s="41"/>
    </row>
    <row r="570" spans="5:12" s="39" customFormat="1" x14ac:dyDescent="0.3">
      <c r="E570" s="41"/>
      <c r="F570" s="41"/>
      <c r="G570" s="41"/>
      <c r="H570" s="41"/>
      <c r="I570" s="41"/>
      <c r="J570" s="41"/>
      <c r="K570" s="41"/>
      <c r="L570" s="41"/>
    </row>
    <row r="571" spans="5:12" s="39" customFormat="1" x14ac:dyDescent="0.3">
      <c r="E571" s="41"/>
      <c r="F571" s="41"/>
      <c r="G571" s="41"/>
      <c r="H571" s="41"/>
      <c r="I571" s="41"/>
      <c r="J571" s="41"/>
      <c r="K571" s="41"/>
      <c r="L571" s="41"/>
    </row>
    <row r="572" spans="5:12" s="39" customFormat="1" x14ac:dyDescent="0.3">
      <c r="E572" s="41"/>
      <c r="F572" s="41"/>
      <c r="G572" s="41"/>
      <c r="H572" s="41"/>
      <c r="I572" s="41"/>
      <c r="J572" s="41"/>
      <c r="K572" s="41"/>
      <c r="L572" s="41"/>
    </row>
    <row r="573" spans="5:12" s="39" customFormat="1" x14ac:dyDescent="0.3">
      <c r="E573" s="41"/>
      <c r="F573" s="41"/>
      <c r="G573" s="41"/>
      <c r="H573" s="41"/>
      <c r="I573" s="41"/>
      <c r="J573" s="41"/>
      <c r="K573" s="41"/>
      <c r="L573" s="41"/>
    </row>
    <row r="574" spans="5:12" s="39" customFormat="1" x14ac:dyDescent="0.3">
      <c r="E574" s="41"/>
      <c r="F574" s="41"/>
      <c r="G574" s="41"/>
      <c r="H574" s="41"/>
      <c r="I574" s="41"/>
      <c r="J574" s="41"/>
      <c r="K574" s="41"/>
      <c r="L574" s="41"/>
    </row>
    <row r="575" spans="5:12" s="39" customFormat="1" x14ac:dyDescent="0.3">
      <c r="E575" s="41"/>
      <c r="F575" s="41"/>
      <c r="G575" s="41"/>
      <c r="H575" s="41"/>
      <c r="I575" s="41"/>
      <c r="J575" s="41"/>
      <c r="K575" s="41"/>
      <c r="L575" s="41"/>
    </row>
    <row r="576" spans="5:12" s="39" customFormat="1" x14ac:dyDescent="0.3">
      <c r="E576" s="41"/>
      <c r="F576" s="41"/>
      <c r="G576" s="41"/>
      <c r="H576" s="41"/>
      <c r="I576" s="41"/>
      <c r="J576" s="41"/>
      <c r="K576" s="41"/>
      <c r="L576" s="41"/>
    </row>
    <row r="577" spans="5:12" s="39" customFormat="1" x14ac:dyDescent="0.3">
      <c r="E577" s="41"/>
      <c r="F577" s="41"/>
      <c r="G577" s="41"/>
      <c r="H577" s="41"/>
      <c r="I577" s="41"/>
      <c r="J577" s="41"/>
      <c r="K577" s="41"/>
      <c r="L577" s="41"/>
    </row>
    <row r="578" spans="5:12" s="39" customFormat="1" x14ac:dyDescent="0.3">
      <c r="E578" s="41"/>
      <c r="F578" s="41"/>
      <c r="G578" s="41"/>
      <c r="H578" s="41"/>
      <c r="I578" s="41"/>
      <c r="J578" s="41"/>
      <c r="K578" s="41"/>
      <c r="L578" s="41"/>
    </row>
    <row r="579" spans="5:12" s="39" customFormat="1" x14ac:dyDescent="0.3">
      <c r="E579" s="41"/>
      <c r="F579" s="41"/>
      <c r="G579" s="41"/>
      <c r="H579" s="41"/>
      <c r="I579" s="41"/>
      <c r="J579" s="41"/>
      <c r="K579" s="41"/>
      <c r="L579" s="41"/>
    </row>
    <row r="580" spans="5:12" s="39" customFormat="1" x14ac:dyDescent="0.3">
      <c r="E580" s="41"/>
      <c r="F580" s="41"/>
      <c r="G580" s="41"/>
      <c r="H580" s="41"/>
      <c r="I580" s="41"/>
      <c r="J580" s="41"/>
      <c r="K580" s="41"/>
      <c r="L580" s="41"/>
    </row>
    <row r="581" spans="5:12" s="39" customFormat="1" x14ac:dyDescent="0.3">
      <c r="E581" s="41"/>
      <c r="F581" s="41"/>
      <c r="G581" s="41"/>
      <c r="H581" s="41"/>
      <c r="I581" s="41"/>
      <c r="J581" s="41"/>
      <c r="K581" s="41"/>
      <c r="L581" s="41"/>
    </row>
    <row r="582" spans="5:12" s="39" customFormat="1" x14ac:dyDescent="0.3">
      <c r="E582" s="41"/>
      <c r="F582" s="41"/>
      <c r="G582" s="41"/>
      <c r="H582" s="41"/>
      <c r="I582" s="41"/>
      <c r="J582" s="41"/>
      <c r="K582" s="41"/>
      <c r="L582" s="41"/>
    </row>
    <row r="583" spans="5:12" s="39" customFormat="1" x14ac:dyDescent="0.3">
      <c r="E583" s="41"/>
      <c r="F583" s="41"/>
      <c r="G583" s="41"/>
      <c r="H583" s="41"/>
      <c r="I583" s="41"/>
      <c r="J583" s="41"/>
      <c r="K583" s="41"/>
      <c r="L583" s="41"/>
    </row>
    <row r="584" spans="5:12" s="39" customFormat="1" x14ac:dyDescent="0.3">
      <c r="E584" s="41"/>
      <c r="F584" s="41"/>
      <c r="G584" s="41"/>
      <c r="H584" s="41"/>
      <c r="I584" s="41"/>
      <c r="J584" s="41"/>
      <c r="K584" s="41"/>
      <c r="L584" s="41"/>
    </row>
    <row r="585" spans="5:12" s="39" customFormat="1" x14ac:dyDescent="0.3">
      <c r="E585" s="41"/>
      <c r="F585" s="41"/>
      <c r="G585" s="41"/>
      <c r="H585" s="41"/>
      <c r="I585" s="41"/>
      <c r="J585" s="41"/>
      <c r="K585" s="41"/>
      <c r="L585" s="41"/>
    </row>
    <row r="586" spans="5:12" s="39" customFormat="1" x14ac:dyDescent="0.3">
      <c r="E586" s="41"/>
      <c r="F586" s="41"/>
      <c r="G586" s="41"/>
      <c r="H586" s="41"/>
      <c r="I586" s="41"/>
      <c r="J586" s="41"/>
      <c r="K586" s="41"/>
      <c r="L586" s="41"/>
    </row>
    <row r="587" spans="5:12" s="39" customFormat="1" x14ac:dyDescent="0.3">
      <c r="E587" s="41"/>
      <c r="F587" s="41"/>
      <c r="G587" s="41"/>
      <c r="H587" s="41"/>
      <c r="I587" s="41"/>
      <c r="J587" s="41"/>
      <c r="K587" s="41"/>
      <c r="L587" s="41"/>
    </row>
    <row r="588" spans="5:12" s="39" customFormat="1" x14ac:dyDescent="0.3">
      <c r="E588" s="41"/>
      <c r="F588" s="41"/>
      <c r="G588" s="41"/>
      <c r="H588" s="41"/>
      <c r="I588" s="41"/>
      <c r="J588" s="41"/>
      <c r="K588" s="41"/>
      <c r="L588" s="41"/>
    </row>
    <row r="589" spans="5:12" s="39" customFormat="1" x14ac:dyDescent="0.3">
      <c r="E589" s="41"/>
      <c r="F589" s="41"/>
      <c r="G589" s="41"/>
      <c r="H589" s="41"/>
      <c r="I589" s="41"/>
      <c r="J589" s="41"/>
      <c r="K589" s="41"/>
      <c r="L589" s="41"/>
    </row>
    <row r="590" spans="5:12" s="39" customFormat="1" x14ac:dyDescent="0.3">
      <c r="E590" s="41"/>
      <c r="F590" s="41"/>
      <c r="G590" s="41"/>
      <c r="H590" s="41"/>
      <c r="I590" s="41"/>
      <c r="J590" s="41"/>
      <c r="K590" s="41"/>
      <c r="L590" s="41"/>
    </row>
    <row r="591" spans="5:12" s="39" customFormat="1" x14ac:dyDescent="0.3">
      <c r="E591" s="41"/>
      <c r="F591" s="41"/>
      <c r="G591" s="41"/>
      <c r="H591" s="41"/>
      <c r="I591" s="41"/>
      <c r="J591" s="41"/>
      <c r="K591" s="41"/>
      <c r="L591" s="41"/>
    </row>
    <row r="592" spans="5:12" s="39" customFormat="1" x14ac:dyDescent="0.3">
      <c r="E592" s="41"/>
      <c r="F592" s="41"/>
      <c r="G592" s="41"/>
      <c r="H592" s="41"/>
      <c r="I592" s="41"/>
      <c r="J592" s="41"/>
      <c r="K592" s="41"/>
      <c r="L592" s="41"/>
    </row>
    <row r="593" spans="5:12" s="39" customFormat="1" x14ac:dyDescent="0.3">
      <c r="E593" s="41"/>
      <c r="F593" s="41"/>
      <c r="G593" s="41"/>
      <c r="H593" s="41"/>
      <c r="I593" s="41"/>
      <c r="J593" s="41"/>
      <c r="K593" s="41"/>
      <c r="L593" s="41"/>
    </row>
    <row r="594" spans="5:12" s="39" customFormat="1" x14ac:dyDescent="0.3">
      <c r="E594" s="41"/>
      <c r="F594" s="41"/>
      <c r="G594" s="41"/>
      <c r="H594" s="41"/>
      <c r="I594" s="41"/>
      <c r="J594" s="41"/>
      <c r="K594" s="41"/>
      <c r="L594" s="41"/>
    </row>
    <row r="595" spans="5:12" s="39" customFormat="1" x14ac:dyDescent="0.3">
      <c r="E595" s="41"/>
      <c r="F595" s="41"/>
      <c r="G595" s="41"/>
      <c r="H595" s="41"/>
      <c r="I595" s="41"/>
      <c r="J595" s="41"/>
      <c r="K595" s="41"/>
      <c r="L595" s="41"/>
    </row>
    <row r="596" spans="5:12" s="39" customFormat="1" x14ac:dyDescent="0.3">
      <c r="E596" s="41"/>
      <c r="F596" s="41"/>
      <c r="G596" s="41"/>
      <c r="H596" s="41"/>
      <c r="I596" s="41"/>
      <c r="J596" s="41"/>
      <c r="K596" s="41"/>
      <c r="L596" s="41"/>
    </row>
    <row r="597" spans="5:12" s="39" customFormat="1" x14ac:dyDescent="0.3">
      <c r="E597" s="41"/>
      <c r="F597" s="41"/>
      <c r="G597" s="41"/>
      <c r="H597" s="41"/>
      <c r="I597" s="41"/>
      <c r="J597" s="41"/>
      <c r="K597" s="41"/>
      <c r="L597" s="41"/>
    </row>
    <row r="598" spans="5:12" s="39" customFormat="1" x14ac:dyDescent="0.3">
      <c r="E598" s="41"/>
      <c r="F598" s="41"/>
      <c r="G598" s="41"/>
      <c r="H598" s="41"/>
      <c r="I598" s="41"/>
      <c r="J598" s="41"/>
      <c r="K598" s="41"/>
      <c r="L598" s="41"/>
    </row>
    <row r="599" spans="5:12" s="39" customFormat="1" x14ac:dyDescent="0.3">
      <c r="E599" s="41"/>
      <c r="F599" s="41"/>
      <c r="G599" s="41"/>
      <c r="H599" s="41"/>
      <c r="I599" s="41"/>
      <c r="J599" s="41"/>
      <c r="K599" s="41"/>
      <c r="L599" s="41"/>
    </row>
    <row r="600" spans="5:12" s="39" customFormat="1" x14ac:dyDescent="0.3">
      <c r="E600" s="41"/>
      <c r="F600" s="41"/>
      <c r="G600" s="41"/>
      <c r="H600" s="41"/>
      <c r="I600" s="41"/>
      <c r="J600" s="41"/>
      <c r="K600" s="41"/>
      <c r="L600" s="41"/>
    </row>
    <row r="601" spans="5:12" s="39" customFormat="1" x14ac:dyDescent="0.3">
      <c r="E601" s="41"/>
      <c r="F601" s="41"/>
      <c r="G601" s="41"/>
      <c r="H601" s="41"/>
      <c r="I601" s="41"/>
      <c r="J601" s="41"/>
      <c r="K601" s="41"/>
      <c r="L601" s="41"/>
    </row>
    <row r="602" spans="5:12" s="39" customFormat="1" x14ac:dyDescent="0.3">
      <c r="E602" s="41"/>
      <c r="F602" s="41"/>
      <c r="G602" s="41"/>
      <c r="H602" s="41"/>
      <c r="I602" s="41"/>
      <c r="J602" s="41"/>
      <c r="K602" s="41"/>
      <c r="L602" s="41"/>
    </row>
    <row r="603" spans="5:12" s="39" customFormat="1" x14ac:dyDescent="0.3">
      <c r="E603" s="41"/>
      <c r="F603" s="41"/>
      <c r="G603" s="41"/>
      <c r="H603" s="41"/>
      <c r="I603" s="41"/>
      <c r="J603" s="41"/>
      <c r="K603" s="41"/>
      <c r="L603" s="41"/>
    </row>
    <row r="604" spans="5:12" s="39" customFormat="1" x14ac:dyDescent="0.3">
      <c r="E604" s="41"/>
      <c r="F604" s="41"/>
      <c r="G604" s="41"/>
      <c r="H604" s="41"/>
      <c r="I604" s="41"/>
      <c r="J604" s="41"/>
      <c r="K604" s="41"/>
      <c r="L604" s="41"/>
    </row>
    <row r="605" spans="5:12" s="39" customFormat="1" x14ac:dyDescent="0.3">
      <c r="E605" s="41"/>
      <c r="F605" s="41"/>
      <c r="G605" s="41"/>
      <c r="H605" s="41"/>
      <c r="I605" s="41"/>
      <c r="J605" s="41"/>
      <c r="K605" s="41"/>
      <c r="L605" s="41"/>
    </row>
    <row r="606" spans="5:12" s="39" customFormat="1" x14ac:dyDescent="0.3">
      <c r="E606" s="41"/>
      <c r="F606" s="41"/>
      <c r="G606" s="41"/>
      <c r="H606" s="41"/>
      <c r="I606" s="41"/>
      <c r="J606" s="41"/>
      <c r="K606" s="41"/>
      <c r="L606" s="41"/>
    </row>
    <row r="607" spans="5:12" s="39" customFormat="1" x14ac:dyDescent="0.3">
      <c r="E607" s="41"/>
      <c r="F607" s="41"/>
      <c r="G607" s="41"/>
      <c r="H607" s="41"/>
      <c r="I607" s="41"/>
      <c r="J607" s="41"/>
      <c r="K607" s="41"/>
      <c r="L607" s="41"/>
    </row>
    <row r="608" spans="5:12" s="39" customFormat="1" x14ac:dyDescent="0.3">
      <c r="E608" s="41"/>
      <c r="F608" s="41"/>
      <c r="G608" s="41"/>
      <c r="H608" s="41"/>
      <c r="I608" s="41"/>
      <c r="J608" s="41"/>
      <c r="K608" s="41"/>
      <c r="L608" s="41"/>
    </row>
    <row r="609" spans="5:12" s="39" customFormat="1" x14ac:dyDescent="0.3">
      <c r="E609" s="41"/>
      <c r="F609" s="41"/>
      <c r="G609" s="41"/>
      <c r="H609" s="41"/>
      <c r="I609" s="41"/>
      <c r="J609" s="41"/>
      <c r="K609" s="41"/>
      <c r="L609" s="41"/>
    </row>
    <row r="610" spans="5:12" s="39" customFormat="1" x14ac:dyDescent="0.3">
      <c r="E610" s="41"/>
      <c r="F610" s="41"/>
      <c r="G610" s="41"/>
      <c r="H610" s="41"/>
      <c r="I610" s="41"/>
      <c r="J610" s="41"/>
      <c r="K610" s="41"/>
      <c r="L610" s="41"/>
    </row>
    <row r="611" spans="5:12" s="39" customFormat="1" x14ac:dyDescent="0.3">
      <c r="E611" s="41"/>
      <c r="F611" s="41"/>
      <c r="G611" s="41"/>
      <c r="H611" s="41"/>
      <c r="I611" s="41"/>
      <c r="J611" s="41"/>
      <c r="K611" s="41"/>
      <c r="L611" s="41"/>
    </row>
    <row r="612" spans="5:12" s="39" customFormat="1" x14ac:dyDescent="0.3">
      <c r="E612" s="41"/>
      <c r="F612" s="41"/>
      <c r="G612" s="41"/>
      <c r="H612" s="41"/>
      <c r="I612" s="41"/>
      <c r="J612" s="41"/>
      <c r="K612" s="41"/>
      <c r="L612" s="41"/>
    </row>
    <row r="613" spans="5:12" s="39" customFormat="1" x14ac:dyDescent="0.3">
      <c r="E613" s="41"/>
      <c r="F613" s="41"/>
      <c r="G613" s="41"/>
      <c r="H613" s="41"/>
      <c r="I613" s="41"/>
      <c r="J613" s="41"/>
      <c r="K613" s="41"/>
      <c r="L613" s="41"/>
    </row>
    <row r="614" spans="5:12" s="39" customFormat="1" x14ac:dyDescent="0.3">
      <c r="E614" s="41"/>
      <c r="F614" s="41"/>
      <c r="G614" s="41"/>
      <c r="H614" s="41"/>
      <c r="I614" s="41"/>
      <c r="J614" s="41"/>
      <c r="K614" s="41"/>
      <c r="L614" s="41"/>
    </row>
    <row r="615" spans="5:12" s="39" customFormat="1" x14ac:dyDescent="0.3">
      <c r="E615" s="41"/>
      <c r="F615" s="41"/>
      <c r="G615" s="41"/>
      <c r="H615" s="41"/>
      <c r="I615" s="41"/>
      <c r="J615" s="41"/>
      <c r="K615" s="41"/>
      <c r="L615" s="41"/>
    </row>
    <row r="616" spans="5:12" s="39" customFormat="1" x14ac:dyDescent="0.3">
      <c r="E616" s="41"/>
      <c r="F616" s="41"/>
      <c r="G616" s="41"/>
      <c r="H616" s="41"/>
      <c r="I616" s="41"/>
      <c r="J616" s="41"/>
      <c r="K616" s="41"/>
      <c r="L616" s="41"/>
    </row>
    <row r="617" spans="5:12" s="39" customFormat="1" x14ac:dyDescent="0.3">
      <c r="E617" s="41"/>
      <c r="F617" s="41"/>
      <c r="G617" s="41"/>
      <c r="H617" s="41"/>
      <c r="I617" s="41"/>
      <c r="J617" s="41"/>
      <c r="K617" s="41"/>
      <c r="L617" s="41"/>
    </row>
    <row r="618" spans="5:12" s="39" customFormat="1" x14ac:dyDescent="0.3">
      <c r="E618" s="41"/>
      <c r="F618" s="41"/>
      <c r="G618" s="41"/>
      <c r="H618" s="41"/>
      <c r="I618" s="41"/>
      <c r="J618" s="41"/>
      <c r="K618" s="41"/>
      <c r="L618" s="41"/>
    </row>
    <row r="619" spans="5:12" s="39" customFormat="1" x14ac:dyDescent="0.3">
      <c r="E619" s="41"/>
      <c r="F619" s="41"/>
      <c r="G619" s="41"/>
      <c r="H619" s="41"/>
      <c r="I619" s="41"/>
      <c r="J619" s="41"/>
      <c r="K619" s="41"/>
      <c r="L619" s="41"/>
    </row>
    <row r="620" spans="5:12" s="39" customFormat="1" x14ac:dyDescent="0.3">
      <c r="E620" s="41"/>
      <c r="F620" s="41"/>
      <c r="G620" s="41"/>
      <c r="H620" s="41"/>
      <c r="I620" s="41"/>
      <c r="J620" s="41"/>
      <c r="K620" s="41"/>
      <c r="L620" s="41"/>
    </row>
    <row r="621" spans="5:12" s="39" customFormat="1" x14ac:dyDescent="0.3">
      <c r="E621" s="41"/>
      <c r="F621" s="41"/>
      <c r="G621" s="41"/>
      <c r="H621" s="41"/>
      <c r="I621" s="41"/>
      <c r="J621" s="41"/>
      <c r="K621" s="41"/>
      <c r="L621" s="41"/>
    </row>
    <row r="622" spans="5:12" s="39" customFormat="1" x14ac:dyDescent="0.3">
      <c r="E622" s="41"/>
      <c r="F622" s="41"/>
      <c r="G622" s="41"/>
      <c r="H622" s="41"/>
      <c r="I622" s="41"/>
      <c r="J622" s="41"/>
      <c r="K622" s="41"/>
      <c r="L622" s="41"/>
    </row>
    <row r="623" spans="5:12" s="39" customFormat="1" x14ac:dyDescent="0.3">
      <c r="E623" s="41"/>
      <c r="F623" s="41"/>
      <c r="G623" s="41"/>
      <c r="H623" s="41"/>
      <c r="I623" s="41"/>
      <c r="J623" s="41"/>
      <c r="K623" s="41"/>
      <c r="L623" s="41"/>
    </row>
    <row r="624" spans="5:12" s="39" customFormat="1" x14ac:dyDescent="0.3">
      <c r="E624" s="41"/>
      <c r="F624" s="41"/>
      <c r="G624" s="41"/>
      <c r="H624" s="41"/>
      <c r="I624" s="41"/>
      <c r="J624" s="41"/>
      <c r="K624" s="41"/>
      <c r="L624" s="41"/>
    </row>
    <row r="625" spans="5:12" s="39" customFormat="1" x14ac:dyDescent="0.3">
      <c r="E625" s="41"/>
      <c r="F625" s="41"/>
      <c r="G625" s="41"/>
      <c r="H625" s="41"/>
      <c r="I625" s="41"/>
      <c r="J625" s="41"/>
      <c r="K625" s="41"/>
      <c r="L625" s="41"/>
    </row>
    <row r="626" spans="5:12" s="39" customFormat="1" x14ac:dyDescent="0.3">
      <c r="E626" s="41"/>
      <c r="F626" s="41"/>
      <c r="G626" s="41"/>
      <c r="H626" s="41"/>
      <c r="I626" s="41"/>
      <c r="J626" s="41"/>
      <c r="K626" s="41"/>
      <c r="L626" s="41"/>
    </row>
    <row r="627" spans="5:12" s="39" customFormat="1" x14ac:dyDescent="0.3">
      <c r="E627" s="41"/>
      <c r="F627" s="41"/>
      <c r="G627" s="41"/>
      <c r="H627" s="41"/>
      <c r="I627" s="41"/>
      <c r="J627" s="41"/>
      <c r="K627" s="41"/>
      <c r="L627" s="41"/>
    </row>
    <row r="628" spans="5:12" s="39" customFormat="1" x14ac:dyDescent="0.3">
      <c r="E628" s="41"/>
      <c r="F628" s="41"/>
      <c r="G628" s="41"/>
      <c r="H628" s="41"/>
      <c r="I628" s="41"/>
      <c r="J628" s="41"/>
      <c r="K628" s="41"/>
      <c r="L628" s="41"/>
    </row>
    <row r="629" spans="5:12" s="39" customFormat="1" x14ac:dyDescent="0.3">
      <c r="E629" s="41"/>
      <c r="F629" s="41"/>
      <c r="G629" s="41"/>
      <c r="H629" s="41"/>
      <c r="I629" s="41"/>
      <c r="J629" s="41"/>
      <c r="K629" s="41"/>
      <c r="L629" s="41"/>
    </row>
    <row r="630" spans="5:12" s="39" customFormat="1" x14ac:dyDescent="0.3">
      <c r="E630" s="41"/>
      <c r="F630" s="41"/>
      <c r="G630" s="41"/>
      <c r="H630" s="41"/>
      <c r="I630" s="41"/>
      <c r="J630" s="41"/>
      <c r="K630" s="41"/>
      <c r="L630" s="41"/>
    </row>
    <row r="631" spans="5:12" s="39" customFormat="1" x14ac:dyDescent="0.3">
      <c r="E631" s="41"/>
      <c r="F631" s="41"/>
      <c r="G631" s="41"/>
      <c r="H631" s="41"/>
      <c r="I631" s="41"/>
      <c r="J631" s="41"/>
      <c r="K631" s="41"/>
      <c r="L631" s="41"/>
    </row>
    <row r="632" spans="5:12" s="39" customFormat="1" x14ac:dyDescent="0.3">
      <c r="E632" s="41"/>
      <c r="F632" s="41"/>
      <c r="G632" s="41"/>
      <c r="H632" s="41"/>
      <c r="I632" s="41"/>
      <c r="J632" s="41"/>
      <c r="K632" s="41"/>
      <c r="L632" s="41"/>
    </row>
    <row r="633" spans="5:12" s="39" customFormat="1" x14ac:dyDescent="0.3">
      <c r="E633" s="41"/>
      <c r="F633" s="41"/>
      <c r="G633" s="41"/>
      <c r="H633" s="41"/>
      <c r="I633" s="41"/>
      <c r="J633" s="41"/>
      <c r="K633" s="41"/>
      <c r="L633" s="41"/>
    </row>
    <row r="634" spans="5:12" s="39" customFormat="1" x14ac:dyDescent="0.3">
      <c r="E634" s="41"/>
      <c r="F634" s="41"/>
      <c r="G634" s="41"/>
      <c r="H634" s="41"/>
      <c r="I634" s="41"/>
      <c r="J634" s="41"/>
      <c r="K634" s="41"/>
      <c r="L634" s="41"/>
    </row>
    <row r="635" spans="5:12" s="39" customFormat="1" x14ac:dyDescent="0.3">
      <c r="E635" s="41"/>
      <c r="F635" s="41"/>
      <c r="G635" s="41"/>
      <c r="H635" s="41"/>
      <c r="I635" s="41"/>
      <c r="J635" s="41"/>
      <c r="K635" s="41"/>
      <c r="L635" s="41"/>
    </row>
    <row r="636" spans="5:12" s="39" customFormat="1" x14ac:dyDescent="0.3">
      <c r="E636" s="41"/>
      <c r="F636" s="41"/>
      <c r="G636" s="41"/>
      <c r="H636" s="41"/>
      <c r="I636" s="41"/>
      <c r="J636" s="41"/>
      <c r="K636" s="41"/>
      <c r="L636" s="41"/>
    </row>
    <row r="637" spans="5:12" s="39" customFormat="1" x14ac:dyDescent="0.3">
      <c r="E637" s="41"/>
      <c r="F637" s="41"/>
      <c r="G637" s="41"/>
      <c r="H637" s="41"/>
      <c r="I637" s="41"/>
      <c r="J637" s="41"/>
      <c r="K637" s="41"/>
      <c r="L637" s="41"/>
    </row>
    <row r="638" spans="5:12" s="39" customFormat="1" x14ac:dyDescent="0.3">
      <c r="E638" s="41"/>
      <c r="F638" s="41"/>
      <c r="G638" s="41"/>
      <c r="H638" s="41"/>
      <c r="I638" s="41"/>
      <c r="J638" s="41"/>
      <c r="K638" s="41"/>
      <c r="L638" s="41"/>
    </row>
    <row r="639" spans="5:12" s="39" customFormat="1" x14ac:dyDescent="0.3">
      <c r="E639" s="41"/>
      <c r="F639" s="41"/>
      <c r="G639" s="41"/>
      <c r="H639" s="41"/>
      <c r="I639" s="41"/>
      <c r="J639" s="41"/>
      <c r="K639" s="41"/>
      <c r="L639" s="41"/>
    </row>
    <row r="640" spans="5:12" s="39" customFormat="1" x14ac:dyDescent="0.3">
      <c r="E640" s="41"/>
      <c r="F640" s="41"/>
      <c r="G640" s="41"/>
      <c r="H640" s="41"/>
      <c r="I640" s="41"/>
      <c r="J640" s="41"/>
      <c r="K640" s="41"/>
      <c r="L640" s="41"/>
    </row>
    <row r="641" spans="5:12" s="39" customFormat="1" x14ac:dyDescent="0.3">
      <c r="E641" s="41"/>
      <c r="F641" s="41"/>
      <c r="G641" s="41"/>
      <c r="H641" s="41"/>
      <c r="I641" s="41"/>
      <c r="J641" s="41"/>
      <c r="K641" s="41"/>
      <c r="L641" s="41"/>
    </row>
    <row r="642" spans="5:12" s="39" customFormat="1" x14ac:dyDescent="0.3">
      <c r="E642" s="41"/>
      <c r="F642" s="41"/>
      <c r="G642" s="41"/>
      <c r="H642" s="41"/>
      <c r="I642" s="41"/>
      <c r="J642" s="41"/>
      <c r="K642" s="41"/>
      <c r="L642" s="41"/>
    </row>
    <row r="643" spans="5:12" s="39" customFormat="1" x14ac:dyDescent="0.3">
      <c r="E643" s="41"/>
      <c r="F643" s="41"/>
      <c r="G643" s="41"/>
      <c r="H643" s="41"/>
      <c r="I643" s="41"/>
      <c r="J643" s="41"/>
      <c r="K643" s="41"/>
      <c r="L643" s="41"/>
    </row>
    <row r="644" spans="5:12" s="39" customFormat="1" x14ac:dyDescent="0.3">
      <c r="E644" s="41"/>
      <c r="F644" s="41"/>
      <c r="G644" s="41"/>
      <c r="H644" s="41"/>
      <c r="I644" s="41"/>
      <c r="J644" s="41"/>
      <c r="K644" s="41"/>
      <c r="L644" s="41"/>
    </row>
    <row r="645" spans="5:12" s="39" customFormat="1" x14ac:dyDescent="0.3">
      <c r="E645" s="41"/>
      <c r="F645" s="41"/>
      <c r="G645" s="41"/>
      <c r="H645" s="41"/>
      <c r="I645" s="41"/>
      <c r="J645" s="41"/>
      <c r="K645" s="41"/>
      <c r="L645" s="41"/>
    </row>
    <row r="646" spans="5:12" s="39" customFormat="1" x14ac:dyDescent="0.3">
      <c r="E646" s="41"/>
      <c r="F646" s="41"/>
      <c r="G646" s="41"/>
      <c r="H646" s="41"/>
      <c r="I646" s="41"/>
      <c r="J646" s="41"/>
      <c r="K646" s="41"/>
      <c r="L646" s="41"/>
    </row>
    <row r="647" spans="5:12" s="39" customFormat="1" x14ac:dyDescent="0.3">
      <c r="E647" s="41"/>
      <c r="F647" s="41"/>
      <c r="G647" s="41"/>
      <c r="H647" s="41"/>
      <c r="I647" s="41"/>
      <c r="J647" s="41"/>
      <c r="K647" s="41"/>
      <c r="L647" s="41"/>
    </row>
    <row r="648" spans="5:12" s="39" customFormat="1" x14ac:dyDescent="0.3">
      <c r="E648" s="41"/>
      <c r="F648" s="41"/>
      <c r="G648" s="41"/>
      <c r="H648" s="41"/>
      <c r="I648" s="41"/>
      <c r="J648" s="41"/>
      <c r="K648" s="41"/>
      <c r="L648" s="41"/>
    </row>
    <row r="649" spans="5:12" s="39" customFormat="1" x14ac:dyDescent="0.3">
      <c r="E649" s="41"/>
      <c r="F649" s="41"/>
      <c r="G649" s="41"/>
      <c r="H649" s="41"/>
      <c r="I649" s="41"/>
      <c r="J649" s="41"/>
      <c r="K649" s="41"/>
      <c r="L649" s="41"/>
    </row>
    <row r="650" spans="5:12" s="39" customFormat="1" x14ac:dyDescent="0.3">
      <c r="E650" s="41"/>
      <c r="F650" s="41"/>
      <c r="G650" s="41"/>
      <c r="H650" s="41"/>
      <c r="I650" s="41"/>
      <c r="J650" s="41"/>
      <c r="K650" s="41"/>
      <c r="L650" s="41"/>
    </row>
    <row r="651" spans="5:12" s="39" customFormat="1" x14ac:dyDescent="0.3">
      <c r="E651" s="41"/>
      <c r="F651" s="41"/>
      <c r="G651" s="41"/>
      <c r="H651" s="41"/>
      <c r="I651" s="41"/>
      <c r="J651" s="41"/>
      <c r="K651" s="41"/>
      <c r="L651" s="41"/>
    </row>
    <row r="652" spans="5:12" s="39" customFormat="1" x14ac:dyDescent="0.3">
      <c r="E652" s="41"/>
      <c r="F652" s="41"/>
      <c r="G652" s="41"/>
      <c r="H652" s="41"/>
      <c r="I652" s="41"/>
      <c r="J652" s="41"/>
      <c r="K652" s="41"/>
      <c r="L652" s="41"/>
    </row>
    <row r="653" spans="5:12" s="39" customFormat="1" x14ac:dyDescent="0.3">
      <c r="E653" s="41"/>
      <c r="F653" s="41"/>
      <c r="G653" s="41"/>
      <c r="H653" s="41"/>
      <c r="I653" s="41"/>
      <c r="J653" s="41"/>
      <c r="K653" s="41"/>
      <c r="L653" s="41"/>
    </row>
    <row r="654" spans="5:12" s="39" customFormat="1" x14ac:dyDescent="0.3">
      <c r="E654" s="41"/>
      <c r="F654" s="41"/>
      <c r="G654" s="41"/>
      <c r="H654" s="41"/>
      <c r="I654" s="41"/>
      <c r="J654" s="41"/>
      <c r="K654" s="41"/>
      <c r="L654" s="41"/>
    </row>
    <row r="655" spans="5:12" s="39" customFormat="1" x14ac:dyDescent="0.3">
      <c r="E655" s="41"/>
      <c r="F655" s="41"/>
      <c r="G655" s="41"/>
      <c r="H655" s="41"/>
      <c r="I655" s="41"/>
      <c r="J655" s="41"/>
      <c r="K655" s="41"/>
      <c r="L655" s="41"/>
    </row>
    <row r="656" spans="5:12" s="39" customFormat="1" x14ac:dyDescent="0.3">
      <c r="E656" s="41"/>
      <c r="F656" s="41"/>
      <c r="G656" s="41"/>
      <c r="H656" s="41"/>
      <c r="I656" s="41"/>
      <c r="J656" s="41"/>
      <c r="K656" s="41"/>
      <c r="L656" s="41"/>
    </row>
    <row r="657" spans="5:12" s="39" customFormat="1" x14ac:dyDescent="0.3">
      <c r="E657" s="41"/>
      <c r="F657" s="41"/>
      <c r="G657" s="41"/>
      <c r="H657" s="41"/>
      <c r="I657" s="41"/>
      <c r="J657" s="41"/>
      <c r="K657" s="41"/>
      <c r="L657" s="41"/>
    </row>
    <row r="658" spans="5:12" s="39" customFormat="1" x14ac:dyDescent="0.3">
      <c r="E658" s="41"/>
      <c r="F658" s="41"/>
      <c r="G658" s="41"/>
      <c r="H658" s="41"/>
      <c r="I658" s="41"/>
      <c r="J658" s="41"/>
      <c r="K658" s="41"/>
      <c r="L658" s="41"/>
    </row>
    <row r="659" spans="5:12" s="39" customFormat="1" x14ac:dyDescent="0.3">
      <c r="E659" s="41"/>
      <c r="F659" s="41"/>
      <c r="G659" s="41"/>
      <c r="H659" s="41"/>
      <c r="I659" s="41"/>
      <c r="J659" s="41"/>
      <c r="K659" s="41"/>
      <c r="L659" s="41"/>
    </row>
    <row r="660" spans="5:12" s="39" customFormat="1" x14ac:dyDescent="0.3">
      <c r="E660" s="41"/>
      <c r="F660" s="41"/>
      <c r="G660" s="41"/>
      <c r="H660" s="41"/>
      <c r="I660" s="41"/>
      <c r="J660" s="41"/>
      <c r="K660" s="41"/>
      <c r="L660" s="41"/>
    </row>
    <row r="661" spans="5:12" s="39" customFormat="1" x14ac:dyDescent="0.3">
      <c r="E661" s="41"/>
      <c r="F661" s="41"/>
      <c r="G661" s="41"/>
      <c r="H661" s="41"/>
      <c r="I661" s="41"/>
      <c r="J661" s="41"/>
      <c r="K661" s="41"/>
      <c r="L661" s="41"/>
    </row>
    <row r="662" spans="5:12" s="39" customFormat="1" x14ac:dyDescent="0.3">
      <c r="E662" s="41"/>
      <c r="F662" s="41"/>
      <c r="G662" s="41"/>
      <c r="H662" s="41"/>
      <c r="I662" s="41"/>
      <c r="J662" s="41"/>
      <c r="K662" s="41"/>
      <c r="L662" s="41"/>
    </row>
    <row r="663" spans="5:12" s="39" customFormat="1" x14ac:dyDescent="0.3">
      <c r="E663" s="41"/>
      <c r="F663" s="41"/>
      <c r="G663" s="41"/>
      <c r="H663" s="41"/>
      <c r="I663" s="41"/>
      <c r="J663" s="41"/>
      <c r="K663" s="41"/>
      <c r="L663" s="41"/>
    </row>
    <row r="664" spans="5:12" s="39" customFormat="1" x14ac:dyDescent="0.3">
      <c r="E664" s="41"/>
      <c r="F664" s="41"/>
      <c r="G664" s="41"/>
      <c r="H664" s="41"/>
      <c r="I664" s="41"/>
      <c r="J664" s="41"/>
      <c r="K664" s="41"/>
      <c r="L664" s="41"/>
    </row>
    <row r="665" spans="5:12" s="39" customFormat="1" x14ac:dyDescent="0.3">
      <c r="E665" s="41"/>
      <c r="F665" s="41"/>
      <c r="G665" s="41"/>
      <c r="H665" s="41"/>
      <c r="I665" s="41"/>
      <c r="J665" s="41"/>
      <c r="K665" s="41"/>
      <c r="L665" s="41"/>
    </row>
    <row r="666" spans="5:12" s="39" customFormat="1" x14ac:dyDescent="0.3">
      <c r="E666" s="41"/>
      <c r="F666" s="41"/>
      <c r="G666" s="41"/>
      <c r="H666" s="41"/>
      <c r="I666" s="41"/>
      <c r="J666" s="41"/>
      <c r="K666" s="41"/>
      <c r="L666" s="41"/>
    </row>
    <row r="667" spans="5:12" s="39" customFormat="1" x14ac:dyDescent="0.3">
      <c r="E667" s="41"/>
      <c r="F667" s="41"/>
      <c r="G667" s="41"/>
      <c r="H667" s="41"/>
      <c r="I667" s="41"/>
      <c r="J667" s="41"/>
      <c r="K667" s="41"/>
      <c r="L667" s="41"/>
    </row>
    <row r="668" spans="5:12" s="39" customFormat="1" x14ac:dyDescent="0.3">
      <c r="E668" s="41"/>
      <c r="F668" s="41"/>
      <c r="G668" s="41"/>
      <c r="H668" s="41"/>
      <c r="I668" s="41"/>
      <c r="J668" s="41"/>
      <c r="K668" s="41"/>
      <c r="L668" s="41"/>
    </row>
    <row r="669" spans="5:12" s="39" customFormat="1" x14ac:dyDescent="0.3">
      <c r="E669" s="41"/>
      <c r="F669" s="41"/>
      <c r="G669" s="41"/>
      <c r="H669" s="41"/>
      <c r="I669" s="41"/>
      <c r="J669" s="41"/>
      <c r="K669" s="41"/>
      <c r="L669" s="41"/>
    </row>
    <row r="670" spans="5:12" s="39" customFormat="1" x14ac:dyDescent="0.3">
      <c r="E670" s="41"/>
      <c r="F670" s="41"/>
      <c r="G670" s="41"/>
      <c r="H670" s="41"/>
      <c r="I670" s="41"/>
      <c r="J670" s="41"/>
      <c r="K670" s="41"/>
      <c r="L670" s="41"/>
    </row>
    <row r="671" spans="5:12" s="39" customFormat="1" x14ac:dyDescent="0.3">
      <c r="E671" s="41"/>
      <c r="F671" s="41"/>
      <c r="G671" s="41"/>
      <c r="H671" s="41"/>
      <c r="I671" s="41"/>
      <c r="J671" s="41"/>
      <c r="K671" s="41"/>
      <c r="L671" s="41"/>
    </row>
    <row r="672" spans="5:12" s="39" customFormat="1" x14ac:dyDescent="0.3">
      <c r="E672" s="41"/>
      <c r="F672" s="41"/>
      <c r="G672" s="41"/>
      <c r="H672" s="41"/>
      <c r="I672" s="41"/>
      <c r="J672" s="41"/>
      <c r="K672" s="41"/>
      <c r="L672" s="41"/>
    </row>
    <row r="673" spans="5:12" s="39" customFormat="1" x14ac:dyDescent="0.3">
      <c r="E673" s="41"/>
      <c r="F673" s="41"/>
      <c r="G673" s="41"/>
      <c r="H673" s="41"/>
      <c r="I673" s="41"/>
      <c r="J673" s="41"/>
      <c r="K673" s="41"/>
      <c r="L673" s="41"/>
    </row>
    <row r="674" spans="5:12" s="39" customFormat="1" x14ac:dyDescent="0.3">
      <c r="E674" s="41"/>
      <c r="F674" s="41"/>
      <c r="G674" s="41"/>
      <c r="H674" s="41"/>
      <c r="I674" s="41"/>
      <c r="J674" s="41"/>
      <c r="K674" s="41"/>
      <c r="L674" s="41"/>
    </row>
    <row r="675" spans="5:12" s="39" customFormat="1" x14ac:dyDescent="0.3">
      <c r="E675" s="41"/>
      <c r="F675" s="41"/>
      <c r="G675" s="41"/>
      <c r="H675" s="41"/>
      <c r="I675" s="41"/>
      <c r="J675" s="41"/>
      <c r="K675" s="41"/>
      <c r="L675" s="41"/>
    </row>
    <row r="676" spans="5:12" s="39" customFormat="1" x14ac:dyDescent="0.3">
      <c r="E676" s="41"/>
      <c r="F676" s="41"/>
      <c r="G676" s="41"/>
      <c r="H676" s="41"/>
      <c r="I676" s="41"/>
      <c r="J676" s="41"/>
      <c r="K676" s="41"/>
      <c r="L676" s="41"/>
    </row>
    <row r="677" spans="5:12" s="39" customFormat="1" x14ac:dyDescent="0.3">
      <c r="E677" s="41"/>
      <c r="F677" s="41"/>
      <c r="G677" s="41"/>
      <c r="H677" s="41"/>
      <c r="I677" s="41"/>
      <c r="J677" s="41"/>
      <c r="K677" s="41"/>
      <c r="L677" s="41"/>
    </row>
    <row r="678" spans="5:12" s="39" customFormat="1" x14ac:dyDescent="0.3">
      <c r="E678" s="41"/>
      <c r="F678" s="41"/>
      <c r="G678" s="41"/>
      <c r="H678" s="41"/>
      <c r="I678" s="41"/>
      <c r="J678" s="41"/>
      <c r="K678" s="41"/>
      <c r="L678" s="41"/>
    </row>
    <row r="679" spans="5:12" s="39" customFormat="1" x14ac:dyDescent="0.3">
      <c r="E679" s="41"/>
      <c r="F679" s="41"/>
      <c r="G679" s="41"/>
      <c r="H679" s="41"/>
      <c r="I679" s="41"/>
      <c r="J679" s="41"/>
      <c r="K679" s="41"/>
      <c r="L679" s="41"/>
    </row>
    <row r="680" spans="5:12" s="39" customFormat="1" x14ac:dyDescent="0.3">
      <c r="E680" s="41"/>
      <c r="F680" s="41"/>
      <c r="G680" s="41"/>
      <c r="H680" s="41"/>
      <c r="I680" s="41"/>
      <c r="J680" s="41"/>
      <c r="K680" s="41"/>
      <c r="L680" s="41"/>
    </row>
    <row r="681" spans="5:12" s="39" customFormat="1" x14ac:dyDescent="0.3">
      <c r="E681" s="41"/>
      <c r="F681" s="41"/>
      <c r="G681" s="41"/>
      <c r="H681" s="41"/>
      <c r="I681" s="41"/>
      <c r="J681" s="41"/>
      <c r="K681" s="41"/>
      <c r="L681" s="41"/>
    </row>
    <row r="682" spans="5:12" s="39" customFormat="1" x14ac:dyDescent="0.3">
      <c r="E682" s="41"/>
      <c r="F682" s="41"/>
      <c r="G682" s="41"/>
      <c r="H682" s="41"/>
      <c r="I682" s="41"/>
      <c r="J682" s="41"/>
      <c r="K682" s="41"/>
      <c r="L682" s="41"/>
    </row>
    <row r="683" spans="5:12" s="39" customFormat="1" x14ac:dyDescent="0.3">
      <c r="E683" s="41"/>
      <c r="F683" s="41"/>
      <c r="G683" s="41"/>
      <c r="H683" s="41"/>
      <c r="I683" s="41"/>
      <c r="J683" s="41"/>
      <c r="K683" s="41"/>
      <c r="L683" s="41"/>
    </row>
    <row r="684" spans="5:12" s="39" customFormat="1" x14ac:dyDescent="0.3">
      <c r="E684" s="41"/>
      <c r="F684" s="41"/>
      <c r="G684" s="41"/>
      <c r="H684" s="41"/>
      <c r="I684" s="41"/>
      <c r="J684" s="41"/>
      <c r="K684" s="41"/>
      <c r="L684" s="41"/>
    </row>
    <row r="685" spans="5:12" s="39" customFormat="1" x14ac:dyDescent="0.3">
      <c r="E685" s="41"/>
      <c r="F685" s="41"/>
      <c r="G685" s="41"/>
      <c r="H685" s="41"/>
      <c r="I685" s="41"/>
      <c r="J685" s="41"/>
      <c r="K685" s="41"/>
      <c r="L685" s="41"/>
    </row>
    <row r="686" spans="5:12" s="39" customFormat="1" x14ac:dyDescent="0.3">
      <c r="E686" s="41"/>
      <c r="F686" s="41"/>
      <c r="G686" s="41"/>
      <c r="H686" s="41"/>
      <c r="I686" s="41"/>
      <c r="J686" s="41"/>
      <c r="K686" s="41"/>
      <c r="L686" s="41"/>
    </row>
    <row r="687" spans="5:12" s="39" customFormat="1" x14ac:dyDescent="0.3">
      <c r="E687" s="41"/>
      <c r="F687" s="41"/>
      <c r="G687" s="41"/>
      <c r="H687" s="41"/>
      <c r="I687" s="41"/>
      <c r="J687" s="41"/>
      <c r="K687" s="41"/>
      <c r="L687" s="41"/>
    </row>
    <row r="688" spans="5:12" s="39" customFormat="1" x14ac:dyDescent="0.3">
      <c r="E688" s="41"/>
      <c r="F688" s="41"/>
      <c r="G688" s="41"/>
      <c r="H688" s="41"/>
      <c r="I688" s="41"/>
      <c r="J688" s="41"/>
      <c r="K688" s="41"/>
      <c r="L688" s="41"/>
    </row>
    <row r="689" spans="5:12" s="39" customFormat="1" x14ac:dyDescent="0.3">
      <c r="E689" s="41"/>
      <c r="F689" s="41"/>
      <c r="G689" s="41"/>
      <c r="H689" s="41"/>
      <c r="I689" s="41"/>
      <c r="J689" s="41"/>
      <c r="K689" s="41"/>
      <c r="L689" s="41"/>
    </row>
    <row r="690" spans="5:12" s="39" customFormat="1" x14ac:dyDescent="0.3">
      <c r="E690" s="41"/>
      <c r="F690" s="41"/>
      <c r="G690" s="41"/>
      <c r="H690" s="41"/>
      <c r="I690" s="41"/>
      <c r="J690" s="41"/>
      <c r="K690" s="41"/>
      <c r="L690" s="41"/>
    </row>
    <row r="691" spans="5:12" s="39" customFormat="1" x14ac:dyDescent="0.3">
      <c r="E691" s="41"/>
      <c r="F691" s="41"/>
      <c r="G691" s="41"/>
      <c r="H691" s="41"/>
      <c r="I691" s="41"/>
      <c r="J691" s="41"/>
      <c r="K691" s="41"/>
      <c r="L691" s="41"/>
    </row>
    <row r="692" spans="5:12" s="39" customFormat="1" x14ac:dyDescent="0.3">
      <c r="E692" s="41"/>
      <c r="F692" s="41"/>
      <c r="G692" s="41"/>
      <c r="H692" s="41"/>
      <c r="I692" s="41"/>
      <c r="J692" s="41"/>
      <c r="K692" s="41"/>
      <c r="L692" s="41"/>
    </row>
    <row r="693" spans="5:12" s="39" customFormat="1" x14ac:dyDescent="0.3">
      <c r="E693" s="41"/>
      <c r="F693" s="41"/>
      <c r="G693" s="41"/>
      <c r="H693" s="41"/>
      <c r="I693" s="41"/>
      <c r="J693" s="41"/>
      <c r="K693" s="41"/>
      <c r="L693" s="41"/>
    </row>
    <row r="694" spans="5:12" s="39" customFormat="1" x14ac:dyDescent="0.3">
      <c r="E694" s="41"/>
      <c r="F694" s="41"/>
      <c r="G694" s="41"/>
      <c r="H694" s="41"/>
      <c r="I694" s="41"/>
      <c r="J694" s="41"/>
      <c r="K694" s="41"/>
      <c r="L694" s="41"/>
    </row>
    <row r="695" spans="5:12" s="39" customFormat="1" x14ac:dyDescent="0.3">
      <c r="E695" s="41"/>
      <c r="F695" s="41"/>
      <c r="G695" s="41"/>
      <c r="H695" s="41"/>
      <c r="I695" s="41"/>
      <c r="J695" s="41"/>
      <c r="K695" s="41"/>
      <c r="L695" s="41"/>
    </row>
    <row r="696" spans="5:12" s="39" customFormat="1" x14ac:dyDescent="0.3">
      <c r="E696" s="41"/>
      <c r="F696" s="41"/>
      <c r="G696" s="41"/>
      <c r="H696" s="41"/>
      <c r="I696" s="41"/>
      <c r="J696" s="41"/>
      <c r="K696" s="41"/>
      <c r="L696" s="41"/>
    </row>
    <row r="697" spans="5:12" s="39" customFormat="1" x14ac:dyDescent="0.3">
      <c r="E697" s="41"/>
      <c r="F697" s="41"/>
      <c r="G697" s="41"/>
      <c r="H697" s="41"/>
      <c r="I697" s="41"/>
      <c r="J697" s="41"/>
      <c r="K697" s="41"/>
      <c r="L697" s="41"/>
    </row>
    <row r="698" spans="5:12" s="39" customFormat="1" x14ac:dyDescent="0.3">
      <c r="E698" s="41"/>
      <c r="F698" s="41"/>
      <c r="G698" s="41"/>
      <c r="H698" s="41"/>
      <c r="I698" s="41"/>
      <c r="J698" s="41"/>
      <c r="K698" s="41"/>
      <c r="L698" s="41"/>
    </row>
    <row r="699" spans="5:12" s="39" customFormat="1" x14ac:dyDescent="0.3">
      <c r="E699" s="41"/>
      <c r="F699" s="41"/>
      <c r="G699" s="41"/>
      <c r="H699" s="41"/>
      <c r="I699" s="41"/>
      <c r="J699" s="41"/>
      <c r="K699" s="41"/>
      <c r="L699" s="41"/>
    </row>
    <row r="700" spans="5:12" s="39" customFormat="1" x14ac:dyDescent="0.3">
      <c r="E700" s="41"/>
      <c r="F700" s="41"/>
      <c r="G700" s="41"/>
      <c r="H700" s="41"/>
      <c r="I700" s="41"/>
      <c r="J700" s="41"/>
      <c r="K700" s="41"/>
      <c r="L700" s="41"/>
    </row>
    <row r="701" spans="5:12" s="39" customFormat="1" x14ac:dyDescent="0.3">
      <c r="E701" s="41"/>
      <c r="F701" s="41"/>
      <c r="G701" s="41"/>
      <c r="H701" s="41"/>
      <c r="I701" s="41"/>
      <c r="J701" s="41"/>
      <c r="K701" s="41"/>
      <c r="L701" s="41"/>
    </row>
    <row r="702" spans="5:12" s="39" customFormat="1" x14ac:dyDescent="0.3">
      <c r="E702" s="41"/>
      <c r="F702" s="41"/>
      <c r="G702" s="41"/>
      <c r="H702" s="41"/>
      <c r="I702" s="41"/>
      <c r="J702" s="41"/>
      <c r="K702" s="41"/>
      <c r="L702" s="41"/>
    </row>
    <row r="703" spans="5:12" s="39" customFormat="1" x14ac:dyDescent="0.3">
      <c r="E703" s="41"/>
      <c r="F703" s="41"/>
      <c r="G703" s="41"/>
      <c r="H703" s="41"/>
      <c r="I703" s="41"/>
      <c r="J703" s="41"/>
      <c r="K703" s="41"/>
      <c r="L703" s="41"/>
    </row>
    <row r="704" spans="5:12" s="39" customFormat="1" x14ac:dyDescent="0.3">
      <c r="E704" s="41"/>
      <c r="F704" s="41"/>
      <c r="G704" s="41"/>
      <c r="H704" s="41"/>
      <c r="I704" s="41"/>
      <c r="J704" s="41"/>
      <c r="K704" s="41"/>
      <c r="L704" s="41"/>
    </row>
    <row r="705" spans="5:12" s="39" customFormat="1" x14ac:dyDescent="0.3">
      <c r="E705" s="41"/>
      <c r="F705" s="41"/>
      <c r="G705" s="41"/>
      <c r="H705" s="41"/>
      <c r="I705" s="41"/>
      <c r="J705" s="41"/>
      <c r="K705" s="41"/>
      <c r="L705" s="41"/>
    </row>
    <row r="706" spans="5:12" s="39" customFormat="1" x14ac:dyDescent="0.3">
      <c r="E706" s="41"/>
      <c r="F706" s="41"/>
      <c r="G706" s="41"/>
      <c r="H706" s="41"/>
      <c r="I706" s="41"/>
      <c r="J706" s="41"/>
      <c r="K706" s="41"/>
      <c r="L706" s="41"/>
    </row>
    <row r="707" spans="5:12" s="39" customFormat="1" x14ac:dyDescent="0.3">
      <c r="E707" s="41"/>
      <c r="F707" s="41"/>
      <c r="G707" s="41"/>
      <c r="H707" s="41"/>
      <c r="I707" s="41"/>
      <c r="J707" s="41"/>
      <c r="K707" s="41"/>
      <c r="L707" s="41"/>
    </row>
    <row r="708" spans="5:12" s="39" customFormat="1" x14ac:dyDescent="0.3">
      <c r="E708" s="41"/>
      <c r="F708" s="41"/>
      <c r="G708" s="41"/>
      <c r="H708" s="41"/>
      <c r="I708" s="41"/>
      <c r="J708" s="41"/>
      <c r="K708" s="41"/>
      <c r="L708" s="41"/>
    </row>
    <row r="709" spans="5:12" s="39" customFormat="1" x14ac:dyDescent="0.3">
      <c r="E709" s="41"/>
      <c r="F709" s="41"/>
      <c r="G709" s="41"/>
      <c r="H709" s="41"/>
      <c r="I709" s="41"/>
      <c r="J709" s="41"/>
      <c r="K709" s="41"/>
      <c r="L709" s="41"/>
    </row>
    <row r="710" spans="5:12" s="39" customFormat="1" x14ac:dyDescent="0.3">
      <c r="E710" s="41"/>
      <c r="F710" s="41"/>
      <c r="G710" s="41"/>
      <c r="H710" s="41"/>
      <c r="I710" s="41"/>
      <c r="J710" s="41"/>
      <c r="K710" s="41"/>
      <c r="L710" s="41"/>
    </row>
    <row r="711" spans="5:12" s="39" customFormat="1" x14ac:dyDescent="0.3">
      <c r="E711" s="41"/>
      <c r="F711" s="41"/>
      <c r="G711" s="41"/>
      <c r="H711" s="41"/>
      <c r="I711" s="41"/>
      <c r="J711" s="41"/>
      <c r="K711" s="41"/>
      <c r="L711" s="41"/>
    </row>
    <row r="712" spans="5:12" s="39" customFormat="1" x14ac:dyDescent="0.3">
      <c r="E712" s="41"/>
      <c r="F712" s="41"/>
      <c r="G712" s="41"/>
      <c r="H712" s="41"/>
      <c r="I712" s="41"/>
      <c r="J712" s="41"/>
      <c r="K712" s="41"/>
      <c r="L712" s="41"/>
    </row>
    <row r="713" spans="5:12" s="39" customFormat="1" x14ac:dyDescent="0.3">
      <c r="E713" s="41"/>
      <c r="F713" s="41"/>
      <c r="G713" s="41"/>
      <c r="H713" s="41"/>
      <c r="I713" s="41"/>
      <c r="J713" s="41"/>
      <c r="K713" s="41"/>
      <c r="L713" s="41"/>
    </row>
    <row r="714" spans="5:12" s="39" customFormat="1" x14ac:dyDescent="0.3">
      <c r="E714" s="41"/>
      <c r="F714" s="41"/>
      <c r="G714" s="41"/>
      <c r="H714" s="41"/>
      <c r="I714" s="41"/>
      <c r="J714" s="41"/>
      <c r="K714" s="41"/>
      <c r="L714" s="41"/>
    </row>
    <row r="715" spans="5:12" s="39" customFormat="1" x14ac:dyDescent="0.3">
      <c r="E715" s="41"/>
      <c r="F715" s="41"/>
      <c r="G715" s="41"/>
      <c r="H715" s="41"/>
      <c r="I715" s="41"/>
      <c r="J715" s="41"/>
      <c r="K715" s="41"/>
      <c r="L715" s="41"/>
    </row>
    <row r="716" spans="5:12" s="39" customFormat="1" x14ac:dyDescent="0.3">
      <c r="E716" s="41"/>
      <c r="F716" s="41"/>
      <c r="G716" s="41"/>
      <c r="H716" s="41"/>
      <c r="I716" s="41"/>
      <c r="J716" s="41"/>
      <c r="K716" s="41"/>
      <c r="L716" s="41"/>
    </row>
    <row r="717" spans="5:12" s="39" customFormat="1" x14ac:dyDescent="0.3">
      <c r="E717" s="41"/>
      <c r="F717" s="41"/>
      <c r="G717" s="41"/>
      <c r="H717" s="41"/>
      <c r="I717" s="41"/>
      <c r="J717" s="41"/>
      <c r="K717" s="41"/>
      <c r="L717" s="41"/>
    </row>
    <row r="718" spans="5:12" s="39" customFormat="1" x14ac:dyDescent="0.3">
      <c r="E718" s="41"/>
      <c r="F718" s="41"/>
      <c r="G718" s="41"/>
      <c r="H718" s="41"/>
      <c r="I718" s="41"/>
      <c r="J718" s="41"/>
      <c r="K718" s="41"/>
      <c r="L718" s="41"/>
    </row>
    <row r="719" spans="5:12" s="39" customFormat="1" x14ac:dyDescent="0.3">
      <c r="E719" s="41"/>
      <c r="F719" s="41"/>
      <c r="G719" s="41"/>
      <c r="H719" s="41"/>
      <c r="I719" s="41"/>
      <c r="J719" s="41"/>
      <c r="K719" s="41"/>
      <c r="L719" s="41"/>
    </row>
    <row r="720" spans="5:12" s="39" customFormat="1" x14ac:dyDescent="0.3">
      <c r="E720" s="41"/>
      <c r="F720" s="41"/>
      <c r="G720" s="41"/>
      <c r="H720" s="41"/>
      <c r="I720" s="41"/>
      <c r="J720" s="41"/>
      <c r="K720" s="41"/>
      <c r="L720" s="41"/>
    </row>
    <row r="721" spans="5:12" s="39" customFormat="1" x14ac:dyDescent="0.3">
      <c r="E721" s="41"/>
      <c r="F721" s="41"/>
      <c r="G721" s="41"/>
      <c r="H721" s="41"/>
      <c r="I721" s="41"/>
      <c r="J721" s="41"/>
      <c r="K721" s="41"/>
      <c r="L721" s="41"/>
    </row>
    <row r="722" spans="5:12" s="39" customFormat="1" x14ac:dyDescent="0.3">
      <c r="E722" s="41"/>
      <c r="F722" s="41"/>
      <c r="G722" s="41"/>
      <c r="H722" s="41"/>
      <c r="I722" s="41"/>
      <c r="J722" s="41"/>
      <c r="K722" s="41"/>
      <c r="L722" s="41"/>
    </row>
    <row r="723" spans="5:12" s="39" customFormat="1" x14ac:dyDescent="0.3">
      <c r="E723" s="41"/>
      <c r="F723" s="41"/>
      <c r="G723" s="41"/>
      <c r="H723" s="41"/>
      <c r="I723" s="41"/>
      <c r="J723" s="41"/>
      <c r="K723" s="41"/>
      <c r="L723" s="41"/>
    </row>
    <row r="724" spans="5:12" s="39" customFormat="1" x14ac:dyDescent="0.3">
      <c r="E724" s="41"/>
      <c r="F724" s="41"/>
      <c r="G724" s="41"/>
      <c r="H724" s="41"/>
      <c r="I724" s="41"/>
      <c r="J724" s="41"/>
      <c r="K724" s="41"/>
      <c r="L724" s="41"/>
    </row>
    <row r="725" spans="5:12" s="39" customFormat="1" x14ac:dyDescent="0.3">
      <c r="E725" s="41"/>
      <c r="F725" s="41"/>
      <c r="G725" s="41"/>
      <c r="H725" s="41"/>
      <c r="I725" s="41"/>
      <c r="J725" s="41"/>
      <c r="K725" s="41"/>
      <c r="L725" s="41"/>
    </row>
    <row r="726" spans="5:12" s="39" customFormat="1" x14ac:dyDescent="0.3">
      <c r="E726" s="41"/>
      <c r="F726" s="41"/>
      <c r="G726" s="41"/>
      <c r="H726" s="41"/>
      <c r="I726" s="41"/>
      <c r="J726" s="41"/>
      <c r="K726" s="41"/>
      <c r="L726" s="41"/>
    </row>
    <row r="727" spans="5:12" s="39" customFormat="1" x14ac:dyDescent="0.3">
      <c r="E727" s="41"/>
      <c r="F727" s="41"/>
      <c r="G727" s="41"/>
      <c r="H727" s="41"/>
      <c r="I727" s="41"/>
      <c r="J727" s="41"/>
      <c r="K727" s="41"/>
      <c r="L727" s="41"/>
    </row>
    <row r="728" spans="5:12" s="39" customFormat="1" x14ac:dyDescent="0.3">
      <c r="E728" s="41"/>
      <c r="F728" s="41"/>
      <c r="G728" s="41"/>
      <c r="H728" s="41"/>
      <c r="I728" s="41"/>
      <c r="J728" s="41"/>
      <c r="K728" s="41"/>
      <c r="L728" s="41"/>
    </row>
    <row r="729" spans="5:12" s="39" customFormat="1" x14ac:dyDescent="0.3">
      <c r="E729" s="41"/>
      <c r="F729" s="41"/>
      <c r="G729" s="41"/>
      <c r="H729" s="41"/>
      <c r="I729" s="41"/>
      <c r="J729" s="41"/>
      <c r="K729" s="41"/>
      <c r="L729" s="41"/>
    </row>
    <row r="730" spans="5:12" s="39" customFormat="1" x14ac:dyDescent="0.3">
      <c r="E730" s="41"/>
      <c r="F730" s="41"/>
      <c r="G730" s="41"/>
      <c r="H730" s="41"/>
      <c r="I730" s="41"/>
      <c r="J730" s="41"/>
      <c r="K730" s="41"/>
      <c r="L730" s="41"/>
    </row>
    <row r="731" spans="5:12" s="39" customFormat="1" x14ac:dyDescent="0.3">
      <c r="E731" s="41"/>
      <c r="F731" s="41"/>
      <c r="G731" s="41"/>
      <c r="H731" s="41"/>
      <c r="I731" s="41"/>
      <c r="J731" s="41"/>
      <c r="K731" s="41"/>
      <c r="L731" s="41"/>
    </row>
    <row r="732" spans="5:12" s="39" customFormat="1" x14ac:dyDescent="0.3">
      <c r="E732" s="41"/>
      <c r="F732" s="41"/>
      <c r="G732" s="41"/>
      <c r="H732" s="41"/>
      <c r="I732" s="41"/>
      <c r="J732" s="41"/>
      <c r="K732" s="41"/>
      <c r="L732" s="41"/>
    </row>
    <row r="733" spans="5:12" s="39" customFormat="1" x14ac:dyDescent="0.3">
      <c r="E733" s="41"/>
      <c r="F733" s="41"/>
      <c r="G733" s="41"/>
      <c r="H733" s="41"/>
      <c r="I733" s="41"/>
      <c r="J733" s="41"/>
      <c r="K733" s="41"/>
      <c r="L733" s="41"/>
    </row>
    <row r="734" spans="5:12" s="39" customFormat="1" x14ac:dyDescent="0.3">
      <c r="E734" s="41"/>
      <c r="F734" s="41"/>
      <c r="G734" s="41"/>
      <c r="H734" s="41"/>
      <c r="I734" s="41"/>
      <c r="J734" s="41"/>
      <c r="K734" s="41"/>
      <c r="L734" s="41"/>
    </row>
    <row r="735" spans="5:12" s="39" customFormat="1" x14ac:dyDescent="0.3">
      <c r="E735" s="41"/>
      <c r="F735" s="41"/>
      <c r="G735" s="41"/>
      <c r="H735" s="41"/>
      <c r="I735" s="41"/>
      <c r="J735" s="41"/>
      <c r="K735" s="41"/>
      <c r="L735" s="41"/>
    </row>
    <row r="736" spans="5:12" s="39" customFormat="1" x14ac:dyDescent="0.3">
      <c r="E736" s="41"/>
      <c r="F736" s="41"/>
      <c r="G736" s="41"/>
      <c r="H736" s="41"/>
      <c r="I736" s="41"/>
      <c r="J736" s="41"/>
      <c r="K736" s="41"/>
      <c r="L736" s="41"/>
    </row>
    <row r="737" spans="5:12" s="39" customFormat="1" x14ac:dyDescent="0.3">
      <c r="E737" s="41"/>
      <c r="F737" s="41"/>
      <c r="G737" s="41"/>
      <c r="H737" s="41"/>
      <c r="I737" s="41"/>
      <c r="J737" s="41"/>
      <c r="K737" s="41"/>
      <c r="L737" s="41"/>
    </row>
    <row r="738" spans="5:12" s="39" customFormat="1" x14ac:dyDescent="0.3">
      <c r="E738" s="41"/>
      <c r="F738" s="41"/>
      <c r="G738" s="41"/>
      <c r="H738" s="41"/>
      <c r="I738" s="41"/>
      <c r="J738" s="41"/>
      <c r="K738" s="41"/>
      <c r="L738" s="41"/>
    </row>
    <row r="739" spans="5:12" s="39" customFormat="1" x14ac:dyDescent="0.3">
      <c r="E739" s="41"/>
      <c r="F739" s="41"/>
      <c r="G739" s="41"/>
      <c r="H739" s="41"/>
      <c r="I739" s="41"/>
      <c r="J739" s="41"/>
      <c r="K739" s="41"/>
      <c r="L739" s="41"/>
    </row>
    <row r="740" spans="5:12" s="39" customFormat="1" x14ac:dyDescent="0.3">
      <c r="E740" s="41"/>
      <c r="F740" s="41"/>
      <c r="G740" s="41"/>
      <c r="H740" s="41"/>
      <c r="I740" s="41"/>
      <c r="J740" s="41"/>
      <c r="K740" s="41"/>
      <c r="L740" s="41"/>
    </row>
    <row r="741" spans="5:12" s="39" customFormat="1" x14ac:dyDescent="0.3">
      <c r="E741" s="41"/>
      <c r="F741" s="41"/>
      <c r="G741" s="41"/>
      <c r="H741" s="41"/>
      <c r="I741" s="41"/>
      <c r="J741" s="41"/>
      <c r="K741" s="41"/>
      <c r="L741" s="41"/>
    </row>
    <row r="742" spans="5:12" s="39" customFormat="1" x14ac:dyDescent="0.3">
      <c r="E742" s="41"/>
      <c r="F742" s="41"/>
      <c r="G742" s="41"/>
      <c r="H742" s="41"/>
      <c r="I742" s="41"/>
      <c r="J742" s="41"/>
      <c r="K742" s="41"/>
      <c r="L742" s="41"/>
    </row>
    <row r="743" spans="5:12" s="39" customFormat="1" x14ac:dyDescent="0.3">
      <c r="E743" s="41"/>
      <c r="F743" s="41"/>
      <c r="G743" s="41"/>
      <c r="H743" s="41"/>
      <c r="I743" s="41"/>
      <c r="J743" s="41"/>
      <c r="K743" s="41"/>
      <c r="L743" s="41"/>
    </row>
    <row r="744" spans="5:12" s="39" customFormat="1" x14ac:dyDescent="0.3">
      <c r="E744" s="41"/>
      <c r="F744" s="41"/>
      <c r="G744" s="41"/>
      <c r="H744" s="41"/>
      <c r="I744" s="41"/>
      <c r="J744" s="41"/>
      <c r="K744" s="41"/>
      <c r="L744" s="41"/>
    </row>
    <row r="745" spans="5:12" s="39" customFormat="1" x14ac:dyDescent="0.3">
      <c r="E745" s="41"/>
      <c r="F745" s="41"/>
      <c r="G745" s="41"/>
      <c r="H745" s="41"/>
      <c r="I745" s="41"/>
      <c r="J745" s="41"/>
      <c r="K745" s="41"/>
      <c r="L745" s="41"/>
    </row>
    <row r="746" spans="5:12" s="39" customFormat="1" x14ac:dyDescent="0.3">
      <c r="E746" s="41"/>
      <c r="F746" s="41"/>
      <c r="G746" s="41"/>
      <c r="H746" s="41"/>
      <c r="I746" s="41"/>
      <c r="J746" s="41"/>
      <c r="K746" s="41"/>
      <c r="L746" s="41"/>
    </row>
    <row r="747" spans="5:12" s="39" customFormat="1" x14ac:dyDescent="0.3">
      <c r="E747" s="41"/>
      <c r="F747" s="41"/>
      <c r="G747" s="41"/>
      <c r="H747" s="41"/>
      <c r="I747" s="41"/>
      <c r="J747" s="41"/>
      <c r="K747" s="41"/>
      <c r="L747" s="41"/>
    </row>
    <row r="748" spans="5:12" s="39" customFormat="1" x14ac:dyDescent="0.3">
      <c r="E748" s="41"/>
      <c r="F748" s="41"/>
      <c r="G748" s="41"/>
      <c r="H748" s="41"/>
      <c r="I748" s="41"/>
      <c r="J748" s="41"/>
      <c r="K748" s="41"/>
      <c r="L748" s="41"/>
    </row>
    <row r="749" spans="5:12" s="39" customFormat="1" x14ac:dyDescent="0.3">
      <c r="E749" s="41"/>
      <c r="F749" s="41"/>
      <c r="G749" s="41"/>
      <c r="H749" s="41"/>
      <c r="I749" s="41"/>
      <c r="J749" s="41"/>
      <c r="K749" s="41"/>
      <c r="L749" s="41"/>
    </row>
    <row r="750" spans="5:12" s="39" customFormat="1" x14ac:dyDescent="0.3">
      <c r="E750" s="41"/>
      <c r="F750" s="41"/>
      <c r="G750" s="41"/>
      <c r="H750" s="41"/>
      <c r="I750" s="41"/>
      <c r="J750" s="41"/>
      <c r="K750" s="41"/>
      <c r="L750" s="41"/>
    </row>
    <row r="751" spans="5:12" s="39" customFormat="1" x14ac:dyDescent="0.3">
      <c r="E751" s="41"/>
      <c r="F751" s="41"/>
      <c r="G751" s="41"/>
      <c r="H751" s="41"/>
      <c r="I751" s="41"/>
      <c r="J751" s="41"/>
      <c r="K751" s="41"/>
      <c r="L751" s="41"/>
    </row>
    <row r="752" spans="5:12" s="39" customFormat="1" x14ac:dyDescent="0.3">
      <c r="E752" s="41"/>
      <c r="F752" s="41"/>
      <c r="G752" s="41"/>
      <c r="H752" s="41"/>
      <c r="I752" s="41"/>
      <c r="J752" s="41"/>
      <c r="K752" s="41"/>
      <c r="L752" s="41"/>
    </row>
    <row r="753" spans="5:12" s="39" customFormat="1" x14ac:dyDescent="0.3">
      <c r="E753" s="41"/>
      <c r="F753" s="41"/>
      <c r="G753" s="41"/>
      <c r="H753" s="41"/>
      <c r="I753" s="41"/>
      <c r="J753" s="41"/>
      <c r="K753" s="41"/>
      <c r="L753" s="41"/>
    </row>
    <row r="754" spans="5:12" s="39" customFormat="1" x14ac:dyDescent="0.3">
      <c r="E754" s="41"/>
      <c r="F754" s="41"/>
      <c r="G754" s="41"/>
      <c r="H754" s="41"/>
      <c r="I754" s="41"/>
      <c r="J754" s="41"/>
      <c r="K754" s="41"/>
      <c r="L754" s="41"/>
    </row>
    <row r="755" spans="5:12" s="39" customFormat="1" x14ac:dyDescent="0.3">
      <c r="E755" s="41"/>
      <c r="F755" s="41"/>
      <c r="G755" s="41"/>
      <c r="H755" s="41"/>
      <c r="I755" s="41"/>
      <c r="J755" s="41"/>
      <c r="K755" s="41"/>
      <c r="L755" s="41"/>
    </row>
    <row r="756" spans="5:12" s="39" customFormat="1" x14ac:dyDescent="0.3">
      <c r="E756" s="41"/>
      <c r="F756" s="41"/>
      <c r="G756" s="41"/>
      <c r="H756" s="41"/>
      <c r="I756" s="41"/>
      <c r="J756" s="41"/>
      <c r="K756" s="41"/>
      <c r="L756" s="41"/>
    </row>
    <row r="757" spans="5:12" s="39" customFormat="1" x14ac:dyDescent="0.3">
      <c r="E757" s="41"/>
      <c r="F757" s="41"/>
      <c r="G757" s="41"/>
      <c r="H757" s="41"/>
      <c r="I757" s="41"/>
      <c r="J757" s="41"/>
      <c r="K757" s="41"/>
      <c r="L757" s="41"/>
    </row>
    <row r="758" spans="5:12" s="39" customFormat="1" x14ac:dyDescent="0.3">
      <c r="E758" s="41"/>
      <c r="F758" s="41"/>
      <c r="G758" s="41"/>
      <c r="H758" s="41"/>
      <c r="I758" s="41"/>
      <c r="J758" s="41"/>
      <c r="K758" s="41"/>
      <c r="L758" s="41"/>
    </row>
    <row r="759" spans="5:12" s="39" customFormat="1" x14ac:dyDescent="0.3">
      <c r="E759" s="41"/>
      <c r="F759" s="41"/>
      <c r="G759" s="41"/>
      <c r="H759" s="41"/>
      <c r="I759" s="41"/>
      <c r="J759" s="41"/>
      <c r="K759" s="41"/>
      <c r="L759" s="41"/>
    </row>
    <row r="760" spans="5:12" s="39" customFormat="1" x14ac:dyDescent="0.3">
      <c r="E760" s="41"/>
      <c r="F760" s="41"/>
      <c r="G760" s="41"/>
      <c r="H760" s="41"/>
      <c r="I760" s="41"/>
      <c r="J760" s="41"/>
      <c r="K760" s="41"/>
      <c r="L760" s="41"/>
    </row>
    <row r="761" spans="5:12" s="39" customFormat="1" x14ac:dyDescent="0.3">
      <c r="E761" s="41"/>
      <c r="F761" s="41"/>
      <c r="G761" s="41"/>
      <c r="H761" s="41"/>
      <c r="I761" s="41"/>
      <c r="J761" s="41"/>
      <c r="K761" s="41"/>
      <c r="L761" s="41"/>
    </row>
    <row r="762" spans="5:12" s="39" customFormat="1" x14ac:dyDescent="0.3">
      <c r="E762" s="41"/>
      <c r="F762" s="41"/>
      <c r="G762" s="41"/>
      <c r="H762" s="41"/>
      <c r="I762" s="41"/>
      <c r="J762" s="41"/>
      <c r="K762" s="41"/>
      <c r="L762" s="41"/>
    </row>
    <row r="763" spans="5:12" s="39" customFormat="1" x14ac:dyDescent="0.3">
      <c r="E763" s="41"/>
      <c r="F763" s="41"/>
      <c r="G763" s="41"/>
      <c r="H763" s="41"/>
      <c r="I763" s="41"/>
      <c r="J763" s="41"/>
      <c r="K763" s="41"/>
      <c r="L763" s="41"/>
    </row>
    <row r="764" spans="5:12" s="39" customFormat="1" x14ac:dyDescent="0.3">
      <c r="E764" s="41"/>
      <c r="F764" s="41"/>
      <c r="G764" s="41"/>
      <c r="H764" s="41"/>
      <c r="I764" s="41"/>
      <c r="J764" s="41"/>
      <c r="K764" s="41"/>
      <c r="L764" s="41"/>
    </row>
    <row r="765" spans="5:12" s="39" customFormat="1" x14ac:dyDescent="0.3">
      <c r="E765" s="41"/>
      <c r="F765" s="41"/>
      <c r="G765" s="41"/>
      <c r="H765" s="41"/>
      <c r="I765" s="41"/>
      <c r="J765" s="41"/>
      <c r="K765" s="41"/>
      <c r="L765" s="41"/>
    </row>
    <row r="766" spans="5:12" s="39" customFormat="1" x14ac:dyDescent="0.3">
      <c r="E766" s="41"/>
      <c r="F766" s="41"/>
      <c r="G766" s="41"/>
      <c r="H766" s="41"/>
      <c r="I766" s="41"/>
      <c r="J766" s="41"/>
      <c r="K766" s="41"/>
      <c r="L766" s="41"/>
    </row>
    <row r="767" spans="5:12" s="39" customFormat="1" x14ac:dyDescent="0.3">
      <c r="E767" s="41"/>
      <c r="F767" s="41"/>
      <c r="G767" s="41"/>
      <c r="H767" s="41"/>
      <c r="I767" s="41"/>
      <c r="J767" s="41"/>
      <c r="K767" s="41"/>
      <c r="L767" s="41"/>
    </row>
    <row r="768" spans="5:12" s="39" customFormat="1" x14ac:dyDescent="0.3">
      <c r="E768" s="41"/>
      <c r="F768" s="41"/>
      <c r="G768" s="41"/>
      <c r="H768" s="41"/>
      <c r="I768" s="41"/>
      <c r="J768" s="41"/>
      <c r="K768" s="41"/>
      <c r="L768" s="41"/>
    </row>
    <row r="769" spans="5:12" s="39" customFormat="1" x14ac:dyDescent="0.3">
      <c r="E769" s="41"/>
      <c r="F769" s="41"/>
      <c r="G769" s="41"/>
      <c r="H769" s="41"/>
      <c r="I769" s="41"/>
      <c r="J769" s="41"/>
      <c r="K769" s="41"/>
      <c r="L769" s="41"/>
    </row>
    <row r="770" spans="5:12" s="39" customFormat="1" x14ac:dyDescent="0.3">
      <c r="E770" s="41"/>
      <c r="F770" s="41"/>
      <c r="G770" s="41"/>
      <c r="H770" s="41"/>
      <c r="I770" s="41"/>
      <c r="J770" s="41"/>
      <c r="K770" s="41"/>
      <c r="L770" s="41"/>
    </row>
    <row r="771" spans="5:12" s="39" customFormat="1" x14ac:dyDescent="0.3">
      <c r="E771" s="41"/>
      <c r="F771" s="41"/>
      <c r="G771" s="41"/>
      <c r="H771" s="41"/>
      <c r="I771" s="41"/>
      <c r="J771" s="41"/>
      <c r="K771" s="41"/>
      <c r="L771" s="41"/>
    </row>
    <row r="772" spans="5:12" s="39" customFormat="1" x14ac:dyDescent="0.3">
      <c r="E772" s="41"/>
      <c r="F772" s="41"/>
      <c r="G772" s="41"/>
      <c r="H772" s="41"/>
      <c r="I772" s="41"/>
      <c r="J772" s="41"/>
      <c r="K772" s="41"/>
      <c r="L772" s="41"/>
    </row>
    <row r="773" spans="5:12" s="39" customFormat="1" x14ac:dyDescent="0.3">
      <c r="E773" s="41"/>
      <c r="F773" s="41"/>
      <c r="G773" s="41"/>
      <c r="H773" s="41"/>
      <c r="I773" s="41"/>
      <c r="J773" s="41"/>
      <c r="K773" s="41"/>
      <c r="L773" s="41"/>
    </row>
    <row r="774" spans="5:12" s="39" customFormat="1" x14ac:dyDescent="0.3">
      <c r="E774" s="41"/>
      <c r="F774" s="41"/>
      <c r="G774" s="41"/>
      <c r="H774" s="41"/>
      <c r="I774" s="41"/>
      <c r="J774" s="41"/>
      <c r="K774" s="41"/>
      <c r="L774" s="41"/>
    </row>
    <row r="775" spans="5:12" s="39" customFormat="1" x14ac:dyDescent="0.3">
      <c r="E775" s="41"/>
      <c r="F775" s="41"/>
      <c r="G775" s="41"/>
      <c r="H775" s="41"/>
      <c r="I775" s="41"/>
      <c r="J775" s="41"/>
      <c r="K775" s="41"/>
      <c r="L775" s="41"/>
    </row>
    <row r="776" spans="5:12" s="39" customFormat="1" x14ac:dyDescent="0.3">
      <c r="E776" s="41"/>
      <c r="F776" s="41"/>
      <c r="G776" s="41"/>
      <c r="H776" s="41"/>
      <c r="I776" s="41"/>
      <c r="J776" s="41"/>
      <c r="K776" s="41"/>
      <c r="L776" s="41"/>
    </row>
    <row r="777" spans="5:12" s="39" customFormat="1" x14ac:dyDescent="0.3">
      <c r="E777" s="41"/>
      <c r="F777" s="41"/>
      <c r="G777" s="41"/>
      <c r="H777" s="41"/>
      <c r="I777" s="41"/>
      <c r="J777" s="41"/>
      <c r="K777" s="41"/>
      <c r="L777" s="41"/>
    </row>
    <row r="778" spans="5:12" s="39" customFormat="1" x14ac:dyDescent="0.3">
      <c r="E778" s="41"/>
      <c r="F778" s="41"/>
      <c r="G778" s="41"/>
      <c r="H778" s="41"/>
      <c r="I778" s="41"/>
      <c r="J778" s="41"/>
      <c r="K778" s="41"/>
      <c r="L778" s="41"/>
    </row>
    <row r="779" spans="5:12" s="39" customFormat="1" x14ac:dyDescent="0.3">
      <c r="E779" s="41"/>
      <c r="F779" s="41"/>
      <c r="G779" s="41"/>
      <c r="H779" s="41"/>
      <c r="I779" s="41"/>
      <c r="J779" s="41"/>
      <c r="K779" s="41"/>
      <c r="L779" s="41"/>
    </row>
    <row r="780" spans="5:12" s="39" customFormat="1" x14ac:dyDescent="0.3">
      <c r="E780" s="41"/>
      <c r="F780" s="41"/>
      <c r="G780" s="41"/>
      <c r="H780" s="41"/>
      <c r="I780" s="41"/>
      <c r="J780" s="41"/>
      <c r="K780" s="41"/>
      <c r="L780" s="41"/>
    </row>
    <row r="781" spans="5:12" s="39" customFormat="1" x14ac:dyDescent="0.3">
      <c r="E781" s="41"/>
      <c r="F781" s="41"/>
      <c r="G781" s="41"/>
      <c r="H781" s="41"/>
      <c r="I781" s="41"/>
      <c r="J781" s="41"/>
      <c r="K781" s="41"/>
      <c r="L781" s="41"/>
    </row>
    <row r="782" spans="5:12" s="39" customFormat="1" x14ac:dyDescent="0.3">
      <c r="E782" s="41"/>
      <c r="F782" s="41"/>
      <c r="G782" s="41"/>
      <c r="H782" s="41"/>
      <c r="I782" s="41"/>
      <c r="J782" s="41"/>
      <c r="K782" s="41"/>
      <c r="L782" s="41"/>
    </row>
    <row r="783" spans="5:12" s="39" customFormat="1" x14ac:dyDescent="0.3">
      <c r="E783" s="41"/>
      <c r="F783" s="41"/>
      <c r="G783" s="41"/>
      <c r="H783" s="41"/>
      <c r="I783" s="41"/>
      <c r="J783" s="41"/>
      <c r="K783" s="41"/>
      <c r="L783" s="41"/>
    </row>
    <row r="784" spans="5:12" s="39" customFormat="1" x14ac:dyDescent="0.3">
      <c r="E784" s="41"/>
      <c r="F784" s="41"/>
      <c r="G784" s="41"/>
      <c r="H784" s="41"/>
      <c r="I784" s="41"/>
      <c r="J784" s="41"/>
      <c r="K784" s="41"/>
      <c r="L784" s="41"/>
    </row>
    <row r="785" spans="5:12" s="39" customFormat="1" x14ac:dyDescent="0.3">
      <c r="E785" s="41"/>
      <c r="F785" s="41"/>
      <c r="G785" s="41"/>
      <c r="H785" s="41"/>
      <c r="I785" s="41"/>
      <c r="J785" s="41"/>
      <c r="K785" s="41"/>
      <c r="L785" s="41"/>
    </row>
    <row r="786" spans="5:12" s="39" customFormat="1" x14ac:dyDescent="0.3">
      <c r="E786" s="41"/>
      <c r="F786" s="41"/>
      <c r="G786" s="41"/>
      <c r="H786" s="41"/>
      <c r="I786" s="41"/>
      <c r="J786" s="41"/>
      <c r="K786" s="41"/>
      <c r="L786" s="41"/>
    </row>
    <row r="787" spans="5:12" s="39" customFormat="1" x14ac:dyDescent="0.3">
      <c r="E787" s="41"/>
      <c r="F787" s="41"/>
      <c r="G787" s="41"/>
      <c r="H787" s="41"/>
      <c r="I787" s="41"/>
      <c r="J787" s="41"/>
      <c r="K787" s="41"/>
      <c r="L787" s="41"/>
    </row>
    <row r="788" spans="5:12" s="39" customFormat="1" x14ac:dyDescent="0.3">
      <c r="E788" s="41"/>
      <c r="F788" s="41"/>
      <c r="G788" s="41"/>
      <c r="H788" s="41"/>
      <c r="I788" s="41"/>
      <c r="J788" s="41"/>
      <c r="K788" s="41"/>
      <c r="L788" s="41"/>
    </row>
    <row r="789" spans="5:12" s="39" customFormat="1" x14ac:dyDescent="0.3">
      <c r="E789" s="41"/>
      <c r="F789" s="41"/>
      <c r="G789" s="41"/>
      <c r="H789" s="41"/>
      <c r="I789" s="41"/>
      <c r="J789" s="41"/>
      <c r="K789" s="41"/>
      <c r="L789" s="41"/>
    </row>
    <row r="790" spans="5:12" s="39" customFormat="1" x14ac:dyDescent="0.3">
      <c r="E790" s="41"/>
      <c r="F790" s="41"/>
      <c r="G790" s="41"/>
      <c r="H790" s="41"/>
      <c r="I790" s="41"/>
      <c r="J790" s="41"/>
      <c r="K790" s="41"/>
      <c r="L790" s="41"/>
    </row>
    <row r="791" spans="5:12" s="39" customFormat="1" x14ac:dyDescent="0.3">
      <c r="E791" s="41"/>
      <c r="F791" s="41"/>
      <c r="G791" s="41"/>
      <c r="H791" s="41"/>
      <c r="I791" s="41"/>
      <c r="J791" s="41"/>
      <c r="K791" s="41"/>
      <c r="L791" s="41"/>
    </row>
    <row r="792" spans="5:12" s="39" customFormat="1" x14ac:dyDescent="0.3">
      <c r="E792" s="41"/>
      <c r="F792" s="41"/>
      <c r="G792" s="41"/>
      <c r="H792" s="41"/>
      <c r="I792" s="41"/>
      <c r="J792" s="41"/>
      <c r="K792" s="41"/>
      <c r="L792" s="41"/>
    </row>
    <row r="793" spans="5:12" s="39" customFormat="1" x14ac:dyDescent="0.3">
      <c r="E793" s="41"/>
      <c r="F793" s="41"/>
      <c r="G793" s="41"/>
      <c r="H793" s="41"/>
      <c r="I793" s="41"/>
      <c r="J793" s="41"/>
      <c r="K793" s="41"/>
      <c r="L793" s="41"/>
    </row>
    <row r="794" spans="5:12" s="39" customFormat="1" x14ac:dyDescent="0.3">
      <c r="E794" s="41"/>
      <c r="F794" s="41"/>
      <c r="G794" s="41"/>
      <c r="H794" s="41"/>
      <c r="I794" s="41"/>
      <c r="J794" s="41"/>
      <c r="K794" s="41"/>
      <c r="L794" s="41"/>
    </row>
    <row r="795" spans="5:12" s="39" customFormat="1" x14ac:dyDescent="0.3">
      <c r="E795" s="41"/>
      <c r="F795" s="41"/>
      <c r="G795" s="41"/>
      <c r="H795" s="41"/>
      <c r="I795" s="41"/>
      <c r="J795" s="41"/>
      <c r="K795" s="41"/>
      <c r="L795" s="41"/>
    </row>
    <row r="796" spans="5:12" s="39" customFormat="1" x14ac:dyDescent="0.3">
      <c r="E796" s="41"/>
      <c r="F796" s="41"/>
      <c r="G796" s="41"/>
      <c r="H796" s="41"/>
      <c r="I796" s="41"/>
      <c r="J796" s="41"/>
      <c r="K796" s="41"/>
      <c r="L796" s="41"/>
    </row>
    <row r="797" spans="5:12" s="39" customFormat="1" x14ac:dyDescent="0.3">
      <c r="E797" s="41"/>
      <c r="F797" s="41"/>
      <c r="G797" s="41"/>
      <c r="H797" s="41"/>
      <c r="I797" s="41"/>
      <c r="J797" s="41"/>
      <c r="K797" s="41"/>
      <c r="L797" s="41"/>
    </row>
    <row r="798" spans="5:12" s="39" customFormat="1" x14ac:dyDescent="0.3">
      <c r="E798" s="41"/>
      <c r="F798" s="41"/>
      <c r="G798" s="41"/>
      <c r="H798" s="41"/>
      <c r="I798" s="41"/>
      <c r="J798" s="41"/>
      <c r="K798" s="41"/>
      <c r="L798" s="41"/>
    </row>
    <row r="799" spans="5:12" s="39" customFormat="1" x14ac:dyDescent="0.3">
      <c r="E799" s="41"/>
      <c r="F799" s="41"/>
      <c r="G799" s="41"/>
      <c r="H799" s="41"/>
      <c r="I799" s="41"/>
      <c r="J799" s="41"/>
      <c r="K799" s="41"/>
      <c r="L799" s="41"/>
    </row>
    <row r="800" spans="5:12" s="39" customFormat="1" x14ac:dyDescent="0.3">
      <c r="E800" s="41"/>
      <c r="F800" s="41"/>
      <c r="G800" s="41"/>
      <c r="H800" s="41"/>
      <c r="I800" s="41"/>
      <c r="J800" s="41"/>
      <c r="K800" s="41"/>
      <c r="L800" s="41"/>
    </row>
    <row r="801" spans="5:12" s="39" customFormat="1" x14ac:dyDescent="0.3">
      <c r="E801" s="41"/>
      <c r="F801" s="41"/>
      <c r="G801" s="41"/>
      <c r="H801" s="41"/>
      <c r="I801" s="41"/>
      <c r="J801" s="41"/>
      <c r="K801" s="41"/>
      <c r="L801" s="41"/>
    </row>
    <row r="802" spans="5:12" s="39" customFormat="1" x14ac:dyDescent="0.3">
      <c r="E802" s="41"/>
      <c r="F802" s="41"/>
      <c r="G802" s="41"/>
      <c r="H802" s="41"/>
      <c r="I802" s="41"/>
      <c r="J802" s="41"/>
      <c r="K802" s="41"/>
      <c r="L802" s="41"/>
    </row>
    <row r="803" spans="5:12" s="39" customFormat="1" x14ac:dyDescent="0.3">
      <c r="E803" s="41"/>
      <c r="F803" s="41"/>
      <c r="G803" s="41"/>
      <c r="H803" s="41"/>
      <c r="I803" s="41"/>
      <c r="J803" s="41"/>
      <c r="K803" s="41"/>
      <c r="L803" s="41"/>
    </row>
    <row r="804" spans="5:12" s="39" customFormat="1" x14ac:dyDescent="0.3">
      <c r="E804" s="41"/>
      <c r="F804" s="41"/>
      <c r="G804" s="41"/>
      <c r="H804" s="41"/>
      <c r="I804" s="41"/>
      <c r="J804" s="41"/>
      <c r="K804" s="41"/>
      <c r="L804" s="41"/>
    </row>
    <row r="805" spans="5:12" s="39" customFormat="1" x14ac:dyDescent="0.3">
      <c r="E805" s="41"/>
      <c r="F805" s="41"/>
      <c r="G805" s="41"/>
      <c r="H805" s="41"/>
      <c r="I805" s="41"/>
      <c r="J805" s="41"/>
      <c r="K805" s="41"/>
      <c r="L805" s="41"/>
    </row>
    <row r="806" spans="5:12" s="39" customFormat="1" x14ac:dyDescent="0.3">
      <c r="E806" s="41"/>
      <c r="F806" s="41"/>
      <c r="G806" s="41"/>
      <c r="H806" s="41"/>
      <c r="I806" s="41"/>
      <c r="J806" s="41"/>
      <c r="K806" s="41"/>
      <c r="L806" s="41"/>
    </row>
    <row r="807" spans="5:12" s="39" customFormat="1" x14ac:dyDescent="0.3">
      <c r="E807" s="41"/>
      <c r="F807" s="41"/>
      <c r="G807" s="41"/>
      <c r="H807" s="41"/>
      <c r="I807" s="41"/>
      <c r="J807" s="41"/>
      <c r="K807" s="41"/>
      <c r="L807" s="41"/>
    </row>
    <row r="808" spans="5:12" s="39" customFormat="1" x14ac:dyDescent="0.3">
      <c r="E808" s="41"/>
      <c r="F808" s="41"/>
      <c r="G808" s="41"/>
      <c r="H808" s="41"/>
      <c r="I808" s="41"/>
      <c r="J808" s="41"/>
      <c r="K808" s="41"/>
      <c r="L808" s="41"/>
    </row>
    <row r="809" spans="5:12" s="39" customFormat="1" x14ac:dyDescent="0.3">
      <c r="E809" s="41"/>
      <c r="F809" s="41"/>
      <c r="G809" s="41"/>
      <c r="H809" s="41"/>
      <c r="I809" s="41"/>
      <c r="J809" s="41"/>
      <c r="K809" s="41"/>
      <c r="L809" s="41"/>
    </row>
    <row r="810" spans="5:12" s="39" customFormat="1" x14ac:dyDescent="0.3">
      <c r="E810" s="41"/>
      <c r="F810" s="41"/>
      <c r="G810" s="41"/>
      <c r="H810" s="41"/>
      <c r="I810" s="41"/>
      <c r="J810" s="41"/>
      <c r="K810" s="41"/>
      <c r="L810" s="41"/>
    </row>
    <row r="811" spans="5:12" s="39" customFormat="1" x14ac:dyDescent="0.3">
      <c r="E811" s="41"/>
      <c r="F811" s="41"/>
      <c r="G811" s="41"/>
      <c r="H811" s="41"/>
      <c r="I811" s="41"/>
      <c r="J811" s="41"/>
      <c r="K811" s="41"/>
      <c r="L811" s="41"/>
    </row>
    <row r="812" spans="5:12" s="39" customFormat="1" x14ac:dyDescent="0.3">
      <c r="E812" s="41"/>
      <c r="F812" s="41"/>
      <c r="G812" s="41"/>
      <c r="H812" s="41"/>
      <c r="I812" s="41"/>
      <c r="J812" s="41"/>
      <c r="K812" s="41"/>
      <c r="L812" s="41"/>
    </row>
    <row r="813" spans="5:12" s="39" customFormat="1" x14ac:dyDescent="0.3">
      <c r="E813" s="41"/>
      <c r="F813" s="41"/>
      <c r="G813" s="41"/>
      <c r="H813" s="41"/>
      <c r="I813" s="41"/>
      <c r="J813" s="41"/>
      <c r="K813" s="41"/>
      <c r="L813" s="41"/>
    </row>
    <row r="814" spans="5:12" s="39" customFormat="1" x14ac:dyDescent="0.3">
      <c r="E814" s="41"/>
      <c r="F814" s="41"/>
      <c r="G814" s="41"/>
      <c r="H814" s="41"/>
      <c r="I814" s="41"/>
      <c r="J814" s="41"/>
      <c r="K814" s="41"/>
      <c r="L814" s="41"/>
    </row>
    <row r="815" spans="5:12" s="39" customFormat="1" x14ac:dyDescent="0.3">
      <c r="E815" s="41"/>
      <c r="F815" s="41"/>
      <c r="G815" s="41"/>
      <c r="H815" s="41"/>
      <c r="I815" s="41"/>
      <c r="J815" s="41"/>
      <c r="K815" s="41"/>
      <c r="L815" s="41"/>
    </row>
    <row r="816" spans="5:12" s="39" customFormat="1" x14ac:dyDescent="0.3">
      <c r="E816" s="41"/>
      <c r="F816" s="41"/>
      <c r="G816" s="41"/>
      <c r="H816" s="41"/>
      <c r="I816" s="41"/>
      <c r="J816" s="41"/>
      <c r="K816" s="41"/>
      <c r="L816" s="41"/>
    </row>
    <row r="817" spans="5:12" s="39" customFormat="1" x14ac:dyDescent="0.3">
      <c r="E817" s="41"/>
      <c r="F817" s="41"/>
      <c r="G817" s="41"/>
      <c r="H817" s="41"/>
      <c r="I817" s="41"/>
      <c r="J817" s="41"/>
      <c r="K817" s="41"/>
      <c r="L817" s="41"/>
    </row>
    <row r="818" spans="5:12" s="39" customFormat="1" x14ac:dyDescent="0.3">
      <c r="E818" s="41"/>
      <c r="F818" s="41"/>
      <c r="G818" s="41"/>
      <c r="H818" s="41"/>
      <c r="I818" s="41"/>
      <c r="J818" s="41"/>
      <c r="K818" s="41"/>
      <c r="L818" s="41"/>
    </row>
    <row r="819" spans="5:12" s="39" customFormat="1" x14ac:dyDescent="0.3">
      <c r="E819" s="41"/>
      <c r="F819" s="41"/>
      <c r="G819" s="41"/>
      <c r="H819" s="41"/>
      <c r="I819" s="41"/>
      <c r="J819" s="41"/>
      <c r="K819" s="41"/>
      <c r="L819" s="41"/>
    </row>
    <row r="820" spans="5:12" s="39" customFormat="1" x14ac:dyDescent="0.3">
      <c r="E820" s="41"/>
      <c r="F820" s="41"/>
      <c r="G820" s="41"/>
      <c r="H820" s="41"/>
      <c r="I820" s="41"/>
      <c r="J820" s="41"/>
      <c r="K820" s="41"/>
      <c r="L820" s="41"/>
    </row>
    <row r="821" spans="5:12" s="39" customFormat="1" x14ac:dyDescent="0.3">
      <c r="E821" s="41"/>
      <c r="F821" s="41"/>
      <c r="G821" s="41"/>
      <c r="H821" s="41"/>
      <c r="I821" s="41"/>
      <c r="J821" s="41"/>
      <c r="K821" s="41"/>
      <c r="L821" s="41"/>
    </row>
    <row r="822" spans="5:12" s="39" customFormat="1" x14ac:dyDescent="0.3">
      <c r="E822" s="41"/>
      <c r="F822" s="41"/>
      <c r="G822" s="41"/>
      <c r="H822" s="41"/>
      <c r="I822" s="41"/>
      <c r="J822" s="41"/>
      <c r="K822" s="41"/>
      <c r="L822" s="41"/>
    </row>
    <row r="823" spans="5:12" s="39" customFormat="1" x14ac:dyDescent="0.3">
      <c r="E823" s="41"/>
      <c r="F823" s="41"/>
      <c r="G823" s="41"/>
      <c r="H823" s="41"/>
      <c r="I823" s="41"/>
      <c r="J823" s="41"/>
      <c r="K823" s="41"/>
      <c r="L823" s="41"/>
    </row>
    <row r="824" spans="5:12" s="39" customFormat="1" x14ac:dyDescent="0.3">
      <c r="E824" s="41"/>
      <c r="F824" s="41"/>
      <c r="G824" s="41"/>
      <c r="H824" s="41"/>
      <c r="I824" s="41"/>
      <c r="J824" s="41"/>
      <c r="K824" s="41"/>
      <c r="L824" s="41"/>
    </row>
    <row r="825" spans="5:12" s="39" customFormat="1" x14ac:dyDescent="0.3">
      <c r="E825" s="41"/>
      <c r="F825" s="41"/>
      <c r="G825" s="41"/>
      <c r="H825" s="41"/>
      <c r="I825" s="41"/>
      <c r="J825" s="41"/>
      <c r="K825" s="41"/>
      <c r="L825" s="41"/>
    </row>
    <row r="826" spans="5:12" s="39" customFormat="1" x14ac:dyDescent="0.3">
      <c r="E826" s="41"/>
      <c r="F826" s="41"/>
      <c r="G826" s="41"/>
      <c r="H826" s="41"/>
      <c r="I826" s="41"/>
      <c r="J826" s="41"/>
      <c r="K826" s="41"/>
      <c r="L826" s="41"/>
    </row>
    <row r="827" spans="5:12" s="39" customFormat="1" x14ac:dyDescent="0.3">
      <c r="E827" s="41"/>
      <c r="F827" s="41"/>
      <c r="G827" s="41"/>
      <c r="H827" s="41"/>
      <c r="I827" s="41"/>
      <c r="J827" s="41"/>
      <c r="K827" s="41"/>
      <c r="L827" s="41"/>
    </row>
    <row r="828" spans="5:12" s="39" customFormat="1" x14ac:dyDescent="0.3">
      <c r="E828" s="41"/>
      <c r="F828" s="41"/>
      <c r="G828" s="41"/>
      <c r="H828" s="41"/>
      <c r="I828" s="41"/>
      <c r="J828" s="41"/>
      <c r="K828" s="41"/>
      <c r="L828" s="41"/>
    </row>
    <row r="829" spans="5:12" s="39" customFormat="1" x14ac:dyDescent="0.3">
      <c r="E829" s="41"/>
      <c r="F829" s="41"/>
      <c r="G829" s="41"/>
      <c r="H829" s="41"/>
      <c r="I829" s="41"/>
      <c r="J829" s="41"/>
      <c r="K829" s="41"/>
      <c r="L829" s="41"/>
    </row>
    <row r="830" spans="5:12" s="39" customFormat="1" x14ac:dyDescent="0.3">
      <c r="E830" s="41"/>
      <c r="F830" s="41"/>
      <c r="G830" s="41"/>
      <c r="H830" s="41"/>
      <c r="I830" s="41"/>
      <c r="J830" s="41"/>
      <c r="K830" s="41"/>
      <c r="L830" s="41"/>
    </row>
    <row r="831" spans="5:12" s="39" customFormat="1" x14ac:dyDescent="0.3">
      <c r="E831" s="41"/>
      <c r="F831" s="41"/>
      <c r="G831" s="41"/>
      <c r="H831" s="41"/>
      <c r="I831" s="41"/>
      <c r="J831" s="41"/>
      <c r="K831" s="41"/>
      <c r="L831" s="41"/>
    </row>
    <row r="832" spans="5:12" s="39" customFormat="1" x14ac:dyDescent="0.3">
      <c r="E832" s="41"/>
      <c r="F832" s="41"/>
      <c r="G832" s="41"/>
      <c r="H832" s="41"/>
      <c r="I832" s="41"/>
      <c r="J832" s="41"/>
      <c r="K832" s="41"/>
      <c r="L832" s="41"/>
    </row>
    <row r="833" spans="5:12" s="39" customFormat="1" x14ac:dyDescent="0.3">
      <c r="E833" s="41"/>
      <c r="F833" s="41"/>
      <c r="G833" s="41"/>
      <c r="H833" s="41"/>
      <c r="I833" s="41"/>
      <c r="J833" s="41"/>
      <c r="K833" s="41"/>
      <c r="L833" s="41"/>
    </row>
    <row r="834" spans="5:12" s="39" customFormat="1" x14ac:dyDescent="0.3">
      <c r="E834" s="41"/>
      <c r="F834" s="41"/>
      <c r="G834" s="41"/>
      <c r="H834" s="41"/>
      <c r="I834" s="41"/>
      <c r="J834" s="41"/>
      <c r="K834" s="41"/>
      <c r="L834" s="41"/>
    </row>
    <row r="835" spans="5:12" s="39" customFormat="1" x14ac:dyDescent="0.3">
      <c r="E835" s="41"/>
      <c r="F835" s="41"/>
      <c r="G835" s="41"/>
      <c r="H835" s="41"/>
      <c r="I835" s="41"/>
      <c r="J835" s="41"/>
      <c r="K835" s="41"/>
      <c r="L835" s="41"/>
    </row>
    <row r="836" spans="5:12" s="39" customFormat="1" x14ac:dyDescent="0.3">
      <c r="E836" s="41"/>
      <c r="F836" s="41"/>
      <c r="G836" s="41"/>
      <c r="H836" s="41"/>
      <c r="I836" s="41"/>
      <c r="J836" s="41"/>
      <c r="K836" s="41"/>
      <c r="L836" s="41"/>
    </row>
    <row r="837" spans="5:12" s="39" customFormat="1" x14ac:dyDescent="0.3">
      <c r="E837" s="41"/>
      <c r="F837" s="41"/>
      <c r="G837" s="41"/>
      <c r="H837" s="41"/>
      <c r="I837" s="41"/>
      <c r="J837" s="41"/>
      <c r="K837" s="41"/>
      <c r="L837" s="41"/>
    </row>
    <row r="838" spans="5:12" s="39" customFormat="1" x14ac:dyDescent="0.3">
      <c r="E838" s="41"/>
      <c r="F838" s="41"/>
      <c r="G838" s="41"/>
      <c r="H838" s="41"/>
      <c r="I838" s="41"/>
      <c r="J838" s="41"/>
      <c r="K838" s="41"/>
      <c r="L838" s="41"/>
    </row>
    <row r="839" spans="5:12" s="39" customFormat="1" x14ac:dyDescent="0.3">
      <c r="E839" s="41"/>
      <c r="F839" s="41"/>
      <c r="G839" s="41"/>
      <c r="H839" s="41"/>
      <c r="I839" s="41"/>
      <c r="J839" s="41"/>
      <c r="K839" s="41"/>
      <c r="L839" s="41"/>
    </row>
    <row r="840" spans="5:12" s="39" customFormat="1" x14ac:dyDescent="0.3">
      <c r="E840" s="41"/>
      <c r="F840" s="41"/>
      <c r="G840" s="41"/>
      <c r="H840" s="41"/>
      <c r="I840" s="41"/>
      <c r="J840" s="41"/>
      <c r="K840" s="41"/>
      <c r="L840" s="41"/>
    </row>
    <row r="841" spans="5:12" s="39" customFormat="1" x14ac:dyDescent="0.3">
      <c r="E841" s="41"/>
      <c r="F841" s="41"/>
      <c r="G841" s="41"/>
      <c r="H841" s="41"/>
      <c r="I841" s="41"/>
      <c r="J841" s="41"/>
      <c r="K841" s="41"/>
      <c r="L841" s="41"/>
    </row>
    <row r="842" spans="5:12" s="39" customFormat="1" x14ac:dyDescent="0.3">
      <c r="E842" s="41"/>
      <c r="F842" s="41"/>
      <c r="G842" s="41"/>
      <c r="H842" s="41"/>
      <c r="I842" s="41"/>
      <c r="J842" s="41"/>
      <c r="K842" s="41"/>
      <c r="L842" s="41"/>
    </row>
    <row r="843" spans="5:12" s="39" customFormat="1" x14ac:dyDescent="0.3">
      <c r="E843" s="41"/>
      <c r="F843" s="41"/>
      <c r="G843" s="41"/>
      <c r="H843" s="41"/>
      <c r="I843" s="41"/>
      <c r="J843" s="41"/>
      <c r="K843" s="41"/>
      <c r="L843" s="41"/>
    </row>
    <row r="844" spans="5:12" s="39" customFormat="1" x14ac:dyDescent="0.3">
      <c r="E844" s="41"/>
      <c r="F844" s="41"/>
      <c r="G844" s="41"/>
      <c r="H844" s="41"/>
      <c r="I844" s="41"/>
      <c r="J844" s="41"/>
      <c r="K844" s="41"/>
      <c r="L844" s="41"/>
    </row>
    <row r="845" spans="5:12" s="39" customFormat="1" x14ac:dyDescent="0.3">
      <c r="E845" s="41"/>
      <c r="F845" s="41"/>
      <c r="G845" s="41"/>
      <c r="H845" s="41"/>
      <c r="I845" s="41"/>
      <c r="J845" s="41"/>
      <c r="K845" s="41"/>
      <c r="L845" s="41"/>
    </row>
    <row r="846" spans="5:12" s="39" customFormat="1" x14ac:dyDescent="0.3">
      <c r="E846" s="41"/>
      <c r="F846" s="41"/>
      <c r="G846" s="41"/>
      <c r="H846" s="41"/>
      <c r="I846" s="41"/>
      <c r="J846" s="41"/>
      <c r="K846" s="41"/>
      <c r="L846" s="41"/>
    </row>
    <row r="847" spans="5:12" s="39" customFormat="1" x14ac:dyDescent="0.3">
      <c r="E847" s="41"/>
      <c r="F847" s="41"/>
      <c r="G847" s="41"/>
      <c r="H847" s="41"/>
      <c r="I847" s="41"/>
      <c r="J847" s="41"/>
      <c r="K847" s="41"/>
      <c r="L847" s="41"/>
    </row>
    <row r="848" spans="5:12" s="39" customFormat="1" x14ac:dyDescent="0.3">
      <c r="E848" s="41"/>
      <c r="F848" s="41"/>
      <c r="G848" s="41"/>
      <c r="H848" s="41"/>
      <c r="I848" s="41"/>
      <c r="J848" s="41"/>
      <c r="K848" s="41"/>
      <c r="L848" s="41"/>
    </row>
    <row r="849" spans="5:12" s="39" customFormat="1" x14ac:dyDescent="0.3">
      <c r="E849" s="41"/>
      <c r="F849" s="41"/>
      <c r="G849" s="41"/>
      <c r="H849" s="41"/>
      <c r="I849" s="41"/>
      <c r="J849" s="41"/>
      <c r="K849" s="41"/>
      <c r="L849" s="41"/>
    </row>
    <row r="850" spans="5:12" s="39" customFormat="1" x14ac:dyDescent="0.3">
      <c r="E850" s="41"/>
      <c r="F850" s="41"/>
      <c r="G850" s="41"/>
      <c r="H850" s="41"/>
      <c r="I850" s="41"/>
      <c r="J850" s="41"/>
      <c r="K850" s="41"/>
      <c r="L850" s="41"/>
    </row>
    <row r="851" spans="5:12" s="39" customFormat="1" x14ac:dyDescent="0.3">
      <c r="E851" s="41"/>
      <c r="F851" s="41"/>
      <c r="G851" s="41"/>
      <c r="H851" s="41"/>
      <c r="I851" s="41"/>
      <c r="J851" s="41"/>
      <c r="K851" s="41"/>
      <c r="L851" s="41"/>
    </row>
    <row r="852" spans="5:12" s="39" customFormat="1" x14ac:dyDescent="0.3">
      <c r="E852" s="41"/>
      <c r="F852" s="41"/>
      <c r="G852" s="41"/>
      <c r="H852" s="41"/>
      <c r="I852" s="41"/>
      <c r="J852" s="41"/>
      <c r="K852" s="41"/>
      <c r="L852" s="41"/>
    </row>
    <row r="853" spans="5:12" s="39" customFormat="1" x14ac:dyDescent="0.3">
      <c r="E853" s="41"/>
      <c r="F853" s="41"/>
      <c r="G853" s="41"/>
      <c r="H853" s="41"/>
      <c r="I853" s="41"/>
      <c r="J853" s="41"/>
      <c r="K853" s="41"/>
      <c r="L853" s="41"/>
    </row>
    <row r="854" spans="5:12" s="39" customFormat="1" x14ac:dyDescent="0.3">
      <c r="E854" s="41"/>
      <c r="F854" s="41"/>
      <c r="G854" s="41"/>
      <c r="H854" s="41"/>
      <c r="I854" s="41"/>
      <c r="J854" s="41"/>
      <c r="K854" s="41"/>
      <c r="L854" s="41"/>
    </row>
    <row r="855" spans="5:12" s="39" customFormat="1" x14ac:dyDescent="0.3">
      <c r="E855" s="41"/>
      <c r="F855" s="41"/>
      <c r="G855" s="41"/>
      <c r="H855" s="41"/>
      <c r="I855" s="41"/>
      <c r="J855" s="41"/>
      <c r="K855" s="41"/>
      <c r="L855" s="41"/>
    </row>
    <row r="856" spans="5:12" s="39" customFormat="1" x14ac:dyDescent="0.3">
      <c r="E856" s="41"/>
      <c r="F856" s="41"/>
      <c r="G856" s="41"/>
      <c r="H856" s="41"/>
      <c r="I856" s="41"/>
      <c r="J856" s="41"/>
      <c r="K856" s="41"/>
      <c r="L856" s="41"/>
    </row>
    <row r="857" spans="5:12" s="39" customFormat="1" x14ac:dyDescent="0.3">
      <c r="E857" s="41"/>
      <c r="F857" s="41"/>
      <c r="G857" s="41"/>
      <c r="H857" s="41"/>
      <c r="I857" s="41"/>
      <c r="J857" s="41"/>
      <c r="K857" s="41"/>
      <c r="L857" s="41"/>
    </row>
    <row r="858" spans="5:12" s="39" customFormat="1" x14ac:dyDescent="0.3">
      <c r="E858" s="41"/>
      <c r="F858" s="41"/>
      <c r="G858" s="41"/>
      <c r="H858" s="41"/>
      <c r="I858" s="41"/>
      <c r="J858" s="41"/>
      <c r="K858" s="41"/>
      <c r="L858" s="41"/>
    </row>
    <row r="859" spans="5:12" s="39" customFormat="1" x14ac:dyDescent="0.3">
      <c r="E859" s="41"/>
      <c r="F859" s="41"/>
      <c r="G859" s="41"/>
      <c r="H859" s="41"/>
      <c r="I859" s="41"/>
      <c r="J859" s="41"/>
      <c r="K859" s="41"/>
      <c r="L859" s="41"/>
    </row>
    <row r="860" spans="5:12" s="39" customFormat="1" x14ac:dyDescent="0.3">
      <c r="E860" s="41"/>
      <c r="F860" s="41"/>
      <c r="G860" s="41"/>
      <c r="H860" s="41"/>
      <c r="I860" s="41"/>
      <c r="J860" s="41"/>
      <c r="K860" s="41"/>
      <c r="L860" s="41"/>
    </row>
    <row r="861" spans="5:12" s="39" customFormat="1" x14ac:dyDescent="0.3">
      <c r="E861" s="41"/>
      <c r="F861" s="41"/>
      <c r="G861" s="41"/>
      <c r="H861" s="41"/>
      <c r="I861" s="41"/>
      <c r="J861" s="41"/>
      <c r="K861" s="41"/>
      <c r="L861" s="41"/>
    </row>
    <row r="862" spans="5:12" s="39" customFormat="1" x14ac:dyDescent="0.3">
      <c r="E862" s="41"/>
      <c r="F862" s="41"/>
      <c r="G862" s="41"/>
      <c r="H862" s="41"/>
      <c r="I862" s="41"/>
      <c r="J862" s="41"/>
      <c r="K862" s="41"/>
      <c r="L862" s="41"/>
    </row>
    <row r="863" spans="5:12" s="39" customFormat="1" x14ac:dyDescent="0.3">
      <c r="E863" s="41"/>
      <c r="F863" s="41"/>
      <c r="G863" s="41"/>
      <c r="H863" s="41"/>
      <c r="I863" s="41"/>
      <c r="J863" s="41"/>
      <c r="K863" s="41"/>
      <c r="L863" s="41"/>
    </row>
    <row r="864" spans="5:12" s="39" customFormat="1" x14ac:dyDescent="0.3">
      <c r="E864" s="41"/>
      <c r="F864" s="41"/>
      <c r="G864" s="41"/>
      <c r="H864" s="41"/>
      <c r="I864" s="41"/>
      <c r="J864" s="41"/>
      <c r="K864" s="41"/>
      <c r="L864" s="41"/>
    </row>
    <row r="865" spans="5:12" s="39" customFormat="1" x14ac:dyDescent="0.3">
      <c r="E865" s="41"/>
      <c r="F865" s="41"/>
      <c r="G865" s="41"/>
      <c r="H865" s="41"/>
      <c r="I865" s="41"/>
      <c r="J865" s="41"/>
      <c r="K865" s="41"/>
      <c r="L865" s="41"/>
    </row>
    <row r="866" spans="5:12" s="39" customFormat="1" x14ac:dyDescent="0.3">
      <c r="E866" s="41"/>
      <c r="F866" s="41"/>
      <c r="G866" s="41"/>
      <c r="H866" s="41"/>
      <c r="I866" s="41"/>
      <c r="J866" s="41"/>
      <c r="K866" s="41"/>
      <c r="L866" s="41"/>
    </row>
    <row r="867" spans="5:12" s="39" customFormat="1" x14ac:dyDescent="0.3">
      <c r="E867" s="41"/>
      <c r="F867" s="41"/>
      <c r="G867" s="41"/>
      <c r="H867" s="41"/>
      <c r="I867" s="41"/>
      <c r="J867" s="41"/>
      <c r="K867" s="41"/>
      <c r="L867" s="41"/>
    </row>
    <row r="868" spans="5:12" s="39" customFormat="1" x14ac:dyDescent="0.3">
      <c r="E868" s="41"/>
      <c r="F868" s="41"/>
      <c r="G868" s="41"/>
      <c r="H868" s="41"/>
      <c r="I868" s="41"/>
      <c r="J868" s="41"/>
      <c r="K868" s="41"/>
      <c r="L868" s="41"/>
    </row>
    <row r="869" spans="5:12" s="39" customFormat="1" x14ac:dyDescent="0.3">
      <c r="E869" s="41"/>
      <c r="F869" s="41"/>
      <c r="G869" s="41"/>
      <c r="H869" s="41"/>
      <c r="I869" s="41"/>
      <c r="J869" s="41"/>
      <c r="K869" s="41"/>
      <c r="L869" s="41"/>
    </row>
    <row r="870" spans="5:12" s="39" customFormat="1" x14ac:dyDescent="0.3">
      <c r="E870" s="41"/>
      <c r="F870" s="41"/>
      <c r="G870" s="41"/>
      <c r="H870" s="41"/>
      <c r="I870" s="41"/>
      <c r="J870" s="41"/>
      <c r="K870" s="41"/>
      <c r="L870" s="41"/>
    </row>
    <row r="871" spans="5:12" s="39" customFormat="1" x14ac:dyDescent="0.3">
      <c r="E871" s="41"/>
      <c r="F871" s="41"/>
      <c r="G871" s="41"/>
      <c r="H871" s="41"/>
      <c r="I871" s="41"/>
      <c r="J871" s="41"/>
      <c r="K871" s="41"/>
      <c r="L871" s="41"/>
    </row>
    <row r="872" spans="5:12" s="39" customFormat="1" x14ac:dyDescent="0.3">
      <c r="E872" s="41"/>
      <c r="F872" s="41"/>
      <c r="G872" s="41"/>
      <c r="H872" s="41"/>
      <c r="I872" s="41"/>
      <c r="J872" s="41"/>
      <c r="K872" s="41"/>
      <c r="L872" s="41"/>
    </row>
    <row r="873" spans="5:12" s="39" customFormat="1" x14ac:dyDescent="0.3">
      <c r="E873" s="41"/>
      <c r="F873" s="41"/>
      <c r="G873" s="41"/>
      <c r="H873" s="41"/>
      <c r="I873" s="41"/>
      <c r="J873" s="41"/>
      <c r="K873" s="41"/>
      <c r="L873" s="41"/>
    </row>
    <row r="874" spans="5:12" s="39" customFormat="1" x14ac:dyDescent="0.3">
      <c r="E874" s="41"/>
      <c r="F874" s="41"/>
      <c r="G874" s="41"/>
      <c r="H874" s="41"/>
      <c r="I874" s="41"/>
      <c r="J874" s="41"/>
      <c r="K874" s="41"/>
      <c r="L874" s="41"/>
    </row>
    <row r="875" spans="5:12" s="39" customFormat="1" x14ac:dyDescent="0.3">
      <c r="E875" s="41"/>
      <c r="F875" s="41"/>
      <c r="G875" s="41"/>
      <c r="H875" s="41"/>
      <c r="I875" s="41"/>
      <c r="J875" s="41"/>
      <c r="K875" s="41"/>
      <c r="L875" s="41"/>
    </row>
    <row r="876" spans="5:12" s="39" customFormat="1" x14ac:dyDescent="0.3">
      <c r="E876" s="41"/>
      <c r="F876" s="41"/>
      <c r="G876" s="41"/>
      <c r="H876" s="41"/>
      <c r="I876" s="41"/>
      <c r="J876" s="41"/>
      <c r="K876" s="41"/>
      <c r="L876" s="41"/>
    </row>
    <row r="877" spans="5:12" s="39" customFormat="1" x14ac:dyDescent="0.3">
      <c r="E877" s="41"/>
      <c r="F877" s="41"/>
      <c r="G877" s="41"/>
      <c r="H877" s="41"/>
      <c r="I877" s="41"/>
      <c r="J877" s="41"/>
      <c r="K877" s="41"/>
      <c r="L877" s="41"/>
    </row>
    <row r="878" spans="5:12" s="39" customFormat="1" x14ac:dyDescent="0.3">
      <c r="E878" s="41"/>
      <c r="F878" s="41"/>
      <c r="G878" s="41"/>
      <c r="H878" s="41"/>
      <c r="I878" s="41"/>
      <c r="J878" s="41"/>
      <c r="K878" s="41"/>
      <c r="L878" s="41"/>
    </row>
    <row r="879" spans="5:12" s="39" customFormat="1" x14ac:dyDescent="0.3">
      <c r="E879" s="41"/>
      <c r="F879" s="41"/>
      <c r="G879" s="41"/>
      <c r="H879" s="41"/>
      <c r="I879" s="41"/>
      <c r="J879" s="41"/>
      <c r="K879" s="41"/>
      <c r="L879" s="41"/>
    </row>
    <row r="880" spans="5:12" s="39" customFormat="1" x14ac:dyDescent="0.3">
      <c r="E880" s="41"/>
      <c r="F880" s="41"/>
      <c r="G880" s="41"/>
      <c r="H880" s="41"/>
      <c r="I880" s="41"/>
      <c r="J880" s="41"/>
      <c r="K880" s="41"/>
      <c r="L880" s="41"/>
    </row>
    <row r="881" spans="5:12" s="39" customFormat="1" x14ac:dyDescent="0.3">
      <c r="E881" s="41"/>
      <c r="F881" s="41"/>
      <c r="G881" s="41"/>
      <c r="H881" s="41"/>
      <c r="I881" s="41"/>
      <c r="J881" s="41"/>
      <c r="K881" s="41"/>
      <c r="L881" s="41"/>
    </row>
    <row r="882" spans="5:12" s="39" customFormat="1" x14ac:dyDescent="0.3">
      <c r="E882" s="41"/>
      <c r="F882" s="41"/>
      <c r="G882" s="41"/>
      <c r="H882" s="41"/>
      <c r="I882" s="41"/>
      <c r="J882" s="41"/>
      <c r="K882" s="41"/>
      <c r="L882" s="41"/>
    </row>
    <row r="883" spans="5:12" s="39" customFormat="1" x14ac:dyDescent="0.3">
      <c r="E883" s="41"/>
      <c r="F883" s="41"/>
      <c r="G883" s="41"/>
      <c r="H883" s="41"/>
      <c r="I883" s="41"/>
      <c r="J883" s="41"/>
      <c r="K883" s="41"/>
      <c r="L883" s="41"/>
    </row>
    <row r="884" spans="5:12" s="39" customFormat="1" x14ac:dyDescent="0.3">
      <c r="E884" s="41"/>
      <c r="F884" s="41"/>
      <c r="G884" s="41"/>
      <c r="H884" s="41"/>
      <c r="I884" s="41"/>
      <c r="J884" s="41"/>
      <c r="K884" s="41"/>
      <c r="L884" s="41"/>
    </row>
    <row r="885" spans="5:12" s="39" customFormat="1" x14ac:dyDescent="0.3">
      <c r="E885" s="41"/>
      <c r="F885" s="41"/>
      <c r="G885" s="41"/>
      <c r="H885" s="41"/>
      <c r="I885" s="41"/>
      <c r="J885" s="41"/>
      <c r="K885" s="41"/>
      <c r="L885" s="41"/>
    </row>
    <row r="886" spans="5:12" s="39" customFormat="1" x14ac:dyDescent="0.3">
      <c r="E886" s="41"/>
      <c r="F886" s="41"/>
      <c r="G886" s="41"/>
      <c r="H886" s="41"/>
      <c r="I886" s="41"/>
      <c r="J886" s="41"/>
      <c r="K886" s="41"/>
      <c r="L886" s="41"/>
    </row>
    <row r="887" spans="5:12" s="39" customFormat="1" x14ac:dyDescent="0.3">
      <c r="E887" s="41"/>
      <c r="F887" s="41"/>
      <c r="G887" s="41"/>
      <c r="H887" s="41"/>
      <c r="I887" s="41"/>
      <c r="J887" s="41"/>
      <c r="K887" s="41"/>
      <c r="L887" s="41"/>
    </row>
    <row r="888" spans="5:12" s="39" customFormat="1" x14ac:dyDescent="0.3">
      <c r="E888" s="41"/>
      <c r="F888" s="41"/>
      <c r="G888" s="41"/>
      <c r="H888" s="41"/>
      <c r="I888" s="41"/>
      <c r="J888" s="41"/>
      <c r="K888" s="41"/>
      <c r="L888" s="41"/>
    </row>
    <row r="889" spans="5:12" s="39" customFormat="1" x14ac:dyDescent="0.3">
      <c r="E889" s="41"/>
      <c r="F889" s="41"/>
      <c r="G889" s="41"/>
      <c r="H889" s="41"/>
      <c r="I889" s="41"/>
      <c r="J889" s="41"/>
      <c r="K889" s="41"/>
      <c r="L889" s="41"/>
    </row>
    <row r="890" spans="5:12" s="39" customFormat="1" x14ac:dyDescent="0.3">
      <c r="E890" s="41"/>
      <c r="F890" s="41"/>
      <c r="G890" s="41"/>
      <c r="H890" s="41"/>
      <c r="I890" s="41"/>
      <c r="J890" s="41"/>
      <c r="K890" s="41"/>
      <c r="L890" s="41"/>
    </row>
    <row r="891" spans="5:12" s="39" customFormat="1" x14ac:dyDescent="0.3">
      <c r="E891" s="41"/>
      <c r="F891" s="41"/>
      <c r="G891" s="41"/>
      <c r="H891" s="41"/>
      <c r="I891" s="41"/>
      <c r="J891" s="41"/>
      <c r="K891" s="41"/>
      <c r="L891" s="41"/>
    </row>
    <row r="892" spans="5:12" s="39" customFormat="1" x14ac:dyDescent="0.3">
      <c r="E892" s="41"/>
      <c r="F892" s="41"/>
      <c r="G892" s="41"/>
      <c r="H892" s="41"/>
      <c r="I892" s="41"/>
      <c r="J892" s="41"/>
      <c r="K892" s="41"/>
      <c r="L892" s="41"/>
    </row>
    <row r="893" spans="5:12" s="39" customFormat="1" x14ac:dyDescent="0.3">
      <c r="E893" s="41"/>
      <c r="F893" s="41"/>
      <c r="G893" s="41"/>
      <c r="H893" s="41"/>
      <c r="I893" s="41"/>
      <c r="J893" s="41"/>
      <c r="K893" s="41"/>
      <c r="L893" s="41"/>
    </row>
    <row r="894" spans="5:12" s="39" customFormat="1" x14ac:dyDescent="0.3">
      <c r="E894" s="41"/>
      <c r="F894" s="41"/>
      <c r="G894" s="41"/>
      <c r="H894" s="41"/>
      <c r="I894" s="41"/>
      <c r="J894" s="41"/>
      <c r="K894" s="41"/>
      <c r="L894" s="41"/>
    </row>
    <row r="895" spans="5:12" s="39" customFormat="1" x14ac:dyDescent="0.3">
      <c r="E895" s="41"/>
      <c r="F895" s="41"/>
      <c r="G895" s="41"/>
      <c r="H895" s="41"/>
      <c r="I895" s="41"/>
      <c r="J895" s="41"/>
      <c r="K895" s="41"/>
      <c r="L895" s="41"/>
    </row>
    <row r="896" spans="5:12" s="39" customFormat="1" x14ac:dyDescent="0.3">
      <c r="E896" s="41"/>
      <c r="F896" s="41"/>
      <c r="G896" s="41"/>
      <c r="H896" s="41"/>
      <c r="I896" s="41"/>
      <c r="J896" s="41"/>
      <c r="K896" s="41"/>
      <c r="L896" s="41"/>
    </row>
    <row r="897" spans="5:12" s="39" customFormat="1" x14ac:dyDescent="0.3">
      <c r="E897" s="41"/>
      <c r="F897" s="41"/>
      <c r="G897" s="41"/>
      <c r="H897" s="41"/>
      <c r="I897" s="41"/>
      <c r="J897" s="41"/>
      <c r="K897" s="41"/>
      <c r="L897" s="41"/>
    </row>
    <row r="898" spans="5:12" s="39" customFormat="1" x14ac:dyDescent="0.3">
      <c r="E898" s="41"/>
      <c r="F898" s="41"/>
      <c r="G898" s="41"/>
      <c r="H898" s="41"/>
      <c r="I898" s="41"/>
      <c r="J898" s="41"/>
      <c r="K898" s="41"/>
      <c r="L898" s="41"/>
    </row>
    <row r="899" spans="5:12" s="39" customFormat="1" x14ac:dyDescent="0.3">
      <c r="E899" s="41"/>
      <c r="F899" s="41"/>
      <c r="G899" s="41"/>
      <c r="H899" s="41"/>
      <c r="I899" s="41"/>
      <c r="J899" s="41"/>
      <c r="K899" s="41"/>
      <c r="L899" s="41"/>
    </row>
    <row r="900" spans="5:12" s="39" customFormat="1" x14ac:dyDescent="0.3">
      <c r="E900" s="41"/>
      <c r="F900" s="41"/>
      <c r="G900" s="41"/>
      <c r="H900" s="41"/>
      <c r="I900" s="41"/>
      <c r="J900" s="41"/>
      <c r="K900" s="41"/>
      <c r="L900" s="41"/>
    </row>
    <row r="901" spans="5:12" s="39" customFormat="1" x14ac:dyDescent="0.3">
      <c r="E901" s="41"/>
      <c r="F901" s="41"/>
      <c r="G901" s="41"/>
      <c r="H901" s="41"/>
      <c r="I901" s="41"/>
      <c r="J901" s="41"/>
      <c r="K901" s="41"/>
      <c r="L901" s="41"/>
    </row>
    <row r="902" spans="5:12" s="39" customFormat="1" x14ac:dyDescent="0.3">
      <c r="E902" s="41"/>
      <c r="F902" s="41"/>
      <c r="G902" s="41"/>
      <c r="H902" s="41"/>
      <c r="I902" s="41"/>
      <c r="J902" s="41"/>
      <c r="K902" s="41"/>
      <c r="L902" s="41"/>
    </row>
    <row r="903" spans="5:12" s="39" customFormat="1" x14ac:dyDescent="0.3">
      <c r="E903" s="41"/>
      <c r="F903" s="41"/>
      <c r="G903" s="41"/>
      <c r="H903" s="41"/>
      <c r="I903" s="41"/>
      <c r="J903" s="41"/>
      <c r="K903" s="41"/>
      <c r="L903" s="41"/>
    </row>
    <row r="904" spans="5:12" s="39" customFormat="1" x14ac:dyDescent="0.3">
      <c r="E904" s="41"/>
      <c r="F904" s="41"/>
      <c r="G904" s="41"/>
      <c r="H904" s="41"/>
      <c r="I904" s="41"/>
      <c r="J904" s="41"/>
      <c r="K904" s="41"/>
      <c r="L904" s="41"/>
    </row>
    <row r="905" spans="5:12" s="39" customFormat="1" x14ac:dyDescent="0.3">
      <c r="E905" s="41"/>
      <c r="F905" s="41"/>
      <c r="G905" s="41"/>
      <c r="H905" s="41"/>
      <c r="I905" s="41"/>
      <c r="J905" s="41"/>
      <c r="K905" s="41"/>
      <c r="L905" s="41"/>
    </row>
    <row r="906" spans="5:12" s="39" customFormat="1" x14ac:dyDescent="0.3">
      <c r="E906" s="41"/>
      <c r="F906" s="41"/>
      <c r="G906" s="41"/>
      <c r="H906" s="41"/>
      <c r="I906" s="41"/>
      <c r="J906" s="41"/>
      <c r="K906" s="41"/>
      <c r="L906" s="41"/>
    </row>
    <row r="907" spans="5:12" s="39" customFormat="1" x14ac:dyDescent="0.3">
      <c r="E907" s="41"/>
      <c r="F907" s="41"/>
      <c r="G907" s="41"/>
      <c r="H907" s="41"/>
      <c r="I907" s="41"/>
      <c r="J907" s="41"/>
      <c r="K907" s="41"/>
      <c r="L907" s="41"/>
    </row>
    <row r="908" spans="5:12" s="39" customFormat="1" x14ac:dyDescent="0.3">
      <c r="E908" s="41"/>
      <c r="F908" s="41"/>
      <c r="G908" s="41"/>
      <c r="H908" s="41"/>
      <c r="I908" s="41"/>
      <c r="J908" s="41"/>
      <c r="K908" s="41"/>
      <c r="L908" s="41"/>
    </row>
    <row r="909" spans="5:12" s="39" customFormat="1" x14ac:dyDescent="0.3">
      <c r="E909" s="41"/>
      <c r="F909" s="41"/>
      <c r="G909" s="41"/>
      <c r="H909" s="41"/>
      <c r="I909" s="41"/>
      <c r="J909" s="41"/>
      <c r="K909" s="41"/>
      <c r="L909" s="41"/>
    </row>
    <row r="910" spans="5:12" s="39" customFormat="1" x14ac:dyDescent="0.3">
      <c r="E910" s="41"/>
      <c r="F910" s="41"/>
      <c r="G910" s="41"/>
      <c r="H910" s="41"/>
      <c r="I910" s="41"/>
      <c r="J910" s="41"/>
      <c r="K910" s="41"/>
      <c r="L910" s="41"/>
    </row>
    <row r="911" spans="5:12" s="39" customFormat="1" x14ac:dyDescent="0.3">
      <c r="E911" s="41"/>
      <c r="F911" s="41"/>
      <c r="G911" s="41"/>
      <c r="H911" s="41"/>
      <c r="I911" s="41"/>
      <c r="J911" s="41"/>
      <c r="K911" s="41"/>
      <c r="L911" s="41"/>
    </row>
    <row r="912" spans="5:12" s="39" customFormat="1" x14ac:dyDescent="0.3">
      <c r="E912" s="41"/>
      <c r="F912" s="41"/>
      <c r="G912" s="41"/>
      <c r="H912" s="41"/>
      <c r="I912" s="41"/>
      <c r="J912" s="41"/>
      <c r="K912" s="41"/>
      <c r="L912" s="41"/>
    </row>
    <row r="913" spans="5:12" s="39" customFormat="1" x14ac:dyDescent="0.3">
      <c r="E913" s="41"/>
      <c r="F913" s="41"/>
      <c r="G913" s="41"/>
      <c r="H913" s="41"/>
      <c r="I913" s="41"/>
      <c r="J913" s="41"/>
      <c r="K913" s="41"/>
      <c r="L913" s="41"/>
    </row>
    <row r="914" spans="5:12" s="39" customFormat="1" x14ac:dyDescent="0.3">
      <c r="E914" s="41"/>
      <c r="F914" s="41"/>
      <c r="G914" s="41"/>
      <c r="H914" s="41"/>
      <c r="I914" s="41"/>
      <c r="J914" s="41"/>
      <c r="K914" s="41"/>
      <c r="L914" s="41"/>
    </row>
    <row r="915" spans="5:12" s="39" customFormat="1" x14ac:dyDescent="0.3">
      <c r="E915" s="41"/>
      <c r="F915" s="41"/>
      <c r="G915" s="41"/>
      <c r="H915" s="41"/>
      <c r="I915" s="41"/>
      <c r="J915" s="41"/>
      <c r="K915" s="41"/>
      <c r="L915" s="41"/>
    </row>
    <row r="916" spans="5:12" s="39" customFormat="1" x14ac:dyDescent="0.3">
      <c r="E916" s="41"/>
      <c r="F916" s="41"/>
      <c r="G916" s="41"/>
      <c r="H916" s="41"/>
      <c r="I916" s="41"/>
      <c r="J916" s="41"/>
      <c r="K916" s="41"/>
      <c r="L916" s="41"/>
    </row>
    <row r="917" spans="5:12" s="39" customFormat="1" x14ac:dyDescent="0.3">
      <c r="E917" s="41"/>
      <c r="F917" s="41"/>
      <c r="G917" s="41"/>
      <c r="H917" s="41"/>
      <c r="I917" s="41"/>
      <c r="J917" s="41"/>
      <c r="K917" s="41"/>
      <c r="L917" s="41"/>
    </row>
    <row r="918" spans="5:12" s="39" customFormat="1" x14ac:dyDescent="0.3">
      <c r="E918" s="41"/>
      <c r="F918" s="41"/>
      <c r="G918" s="41"/>
      <c r="H918" s="41"/>
      <c r="I918" s="41"/>
      <c r="J918" s="41"/>
      <c r="K918" s="41"/>
      <c r="L918" s="41"/>
    </row>
    <row r="919" spans="5:12" s="39" customFormat="1" x14ac:dyDescent="0.3">
      <c r="E919" s="41"/>
      <c r="F919" s="41"/>
      <c r="G919" s="41"/>
      <c r="H919" s="41"/>
      <c r="I919" s="41"/>
      <c r="J919" s="41"/>
      <c r="K919" s="41"/>
      <c r="L919" s="41"/>
    </row>
    <row r="920" spans="5:12" s="39" customFormat="1" x14ac:dyDescent="0.3">
      <c r="E920" s="41"/>
      <c r="F920" s="41"/>
      <c r="G920" s="41"/>
      <c r="H920" s="41"/>
      <c r="I920" s="41"/>
      <c r="J920" s="41"/>
      <c r="K920" s="41"/>
      <c r="L920" s="41"/>
    </row>
    <row r="921" spans="5:12" s="39" customFormat="1" x14ac:dyDescent="0.3">
      <c r="E921" s="41"/>
      <c r="F921" s="41"/>
      <c r="G921" s="41"/>
      <c r="H921" s="41"/>
      <c r="I921" s="41"/>
      <c r="J921" s="41"/>
      <c r="K921" s="41"/>
      <c r="L921" s="41"/>
    </row>
    <row r="922" spans="5:12" s="39" customFormat="1" x14ac:dyDescent="0.3">
      <c r="E922" s="41"/>
      <c r="F922" s="41"/>
      <c r="G922" s="41"/>
      <c r="H922" s="41"/>
      <c r="I922" s="41"/>
      <c r="J922" s="41"/>
      <c r="K922" s="41"/>
      <c r="L922" s="41"/>
    </row>
    <row r="923" spans="5:12" s="39" customFormat="1" x14ac:dyDescent="0.3">
      <c r="E923" s="41"/>
      <c r="F923" s="41"/>
      <c r="G923" s="41"/>
      <c r="H923" s="41"/>
      <c r="I923" s="41"/>
      <c r="J923" s="41"/>
      <c r="K923" s="41"/>
      <c r="L923" s="41"/>
    </row>
    <row r="924" spans="5:12" s="39" customFormat="1" x14ac:dyDescent="0.3">
      <c r="E924" s="41"/>
      <c r="F924" s="41"/>
      <c r="G924" s="41"/>
      <c r="H924" s="41"/>
      <c r="I924" s="41"/>
      <c r="J924" s="41"/>
      <c r="K924" s="41"/>
      <c r="L924" s="41"/>
    </row>
    <row r="925" spans="5:12" s="39" customFormat="1" x14ac:dyDescent="0.3">
      <c r="E925" s="41"/>
      <c r="F925" s="41"/>
      <c r="G925" s="41"/>
      <c r="H925" s="41"/>
      <c r="I925" s="41"/>
      <c r="J925" s="41"/>
      <c r="K925" s="41"/>
      <c r="L925" s="41"/>
    </row>
    <row r="926" spans="5:12" s="39" customFormat="1" x14ac:dyDescent="0.3">
      <c r="E926" s="41"/>
      <c r="F926" s="41"/>
      <c r="G926" s="41"/>
      <c r="H926" s="41"/>
      <c r="I926" s="41"/>
      <c r="J926" s="41"/>
      <c r="K926" s="41"/>
      <c r="L926" s="41"/>
    </row>
    <row r="927" spans="5:12" s="39" customFormat="1" x14ac:dyDescent="0.3">
      <c r="E927" s="41"/>
      <c r="F927" s="41"/>
      <c r="G927" s="41"/>
      <c r="H927" s="41"/>
      <c r="I927" s="41"/>
      <c r="J927" s="41"/>
      <c r="K927" s="41"/>
      <c r="L927" s="41"/>
    </row>
    <row r="928" spans="5:12" s="39" customFormat="1" x14ac:dyDescent="0.3">
      <c r="E928" s="41"/>
      <c r="F928" s="41"/>
      <c r="G928" s="41"/>
      <c r="H928" s="41"/>
      <c r="I928" s="41"/>
      <c r="J928" s="41"/>
      <c r="K928" s="41"/>
      <c r="L928" s="41"/>
    </row>
    <row r="929" spans="5:12" s="39" customFormat="1" x14ac:dyDescent="0.3">
      <c r="E929" s="41"/>
      <c r="F929" s="41"/>
      <c r="G929" s="41"/>
      <c r="H929" s="41"/>
      <c r="I929" s="41"/>
      <c r="J929" s="41"/>
      <c r="K929" s="41"/>
      <c r="L929" s="41"/>
    </row>
    <row r="930" spans="5:12" s="39" customFormat="1" x14ac:dyDescent="0.3">
      <c r="E930" s="41"/>
      <c r="F930" s="41"/>
      <c r="G930" s="41"/>
      <c r="H930" s="41"/>
      <c r="I930" s="41"/>
      <c r="J930" s="41"/>
      <c r="K930" s="41"/>
      <c r="L930" s="41"/>
    </row>
    <row r="931" spans="5:12" s="39" customFormat="1" x14ac:dyDescent="0.3">
      <c r="E931" s="41"/>
      <c r="F931" s="41"/>
      <c r="G931" s="41"/>
      <c r="H931" s="41"/>
      <c r="I931" s="41"/>
      <c r="J931" s="41"/>
      <c r="K931" s="41"/>
      <c r="L931" s="41"/>
    </row>
    <row r="932" spans="5:12" s="39" customFormat="1" x14ac:dyDescent="0.3">
      <c r="E932" s="41"/>
      <c r="F932" s="41"/>
      <c r="G932" s="41"/>
      <c r="H932" s="41"/>
      <c r="I932" s="41"/>
      <c r="J932" s="41"/>
      <c r="K932" s="41"/>
      <c r="L932" s="41"/>
    </row>
    <row r="933" spans="5:12" s="39" customFormat="1" x14ac:dyDescent="0.3">
      <c r="E933" s="41"/>
      <c r="F933" s="41"/>
      <c r="G933" s="41"/>
      <c r="H933" s="41"/>
      <c r="I933" s="41"/>
      <c r="J933" s="41"/>
      <c r="K933" s="41"/>
      <c r="L933" s="41"/>
    </row>
    <row r="934" spans="5:12" s="39" customFormat="1" x14ac:dyDescent="0.3">
      <c r="E934" s="41"/>
      <c r="F934" s="41"/>
      <c r="G934" s="41"/>
      <c r="H934" s="41"/>
      <c r="I934" s="41"/>
      <c r="J934" s="41"/>
      <c r="K934" s="41"/>
      <c r="L934" s="41"/>
    </row>
    <row r="935" spans="5:12" s="39" customFormat="1" x14ac:dyDescent="0.3">
      <c r="E935" s="41"/>
      <c r="F935" s="41"/>
      <c r="G935" s="41"/>
      <c r="H935" s="41"/>
      <c r="I935" s="41"/>
      <c r="J935" s="41"/>
      <c r="K935" s="41"/>
      <c r="L935" s="41"/>
    </row>
    <row r="936" spans="5:12" s="39" customFormat="1" x14ac:dyDescent="0.3">
      <c r="E936" s="41"/>
      <c r="F936" s="41"/>
      <c r="G936" s="41"/>
      <c r="H936" s="41"/>
      <c r="I936" s="41"/>
      <c r="J936" s="41"/>
      <c r="K936" s="41"/>
      <c r="L936" s="41"/>
    </row>
    <row r="937" spans="5:12" s="39" customFormat="1" x14ac:dyDescent="0.3">
      <c r="E937" s="41"/>
      <c r="F937" s="41"/>
      <c r="G937" s="41"/>
      <c r="H937" s="41"/>
      <c r="I937" s="41"/>
      <c r="J937" s="41"/>
      <c r="K937" s="41"/>
      <c r="L937" s="41"/>
    </row>
    <row r="938" spans="5:12" s="39" customFormat="1" x14ac:dyDescent="0.3">
      <c r="E938" s="41"/>
      <c r="F938" s="41"/>
      <c r="G938" s="41"/>
      <c r="H938" s="41"/>
      <c r="I938" s="41"/>
      <c r="J938" s="41"/>
      <c r="K938" s="41"/>
      <c r="L938" s="41"/>
    </row>
    <row r="939" spans="5:12" s="39" customFormat="1" x14ac:dyDescent="0.3">
      <c r="E939" s="41"/>
      <c r="F939" s="41"/>
      <c r="G939" s="41"/>
      <c r="H939" s="41"/>
      <c r="I939" s="41"/>
      <c r="J939" s="41"/>
      <c r="K939" s="41"/>
      <c r="L939" s="41"/>
    </row>
    <row r="940" spans="5:12" s="39" customFormat="1" x14ac:dyDescent="0.3">
      <c r="E940" s="41"/>
      <c r="F940" s="41"/>
      <c r="G940" s="41"/>
      <c r="H940" s="41"/>
      <c r="I940" s="41"/>
      <c r="J940" s="41"/>
      <c r="K940" s="41"/>
      <c r="L940" s="41"/>
    </row>
    <row r="941" spans="5:12" s="39" customFormat="1" x14ac:dyDescent="0.3">
      <c r="E941" s="41"/>
      <c r="F941" s="41"/>
      <c r="G941" s="41"/>
      <c r="H941" s="41"/>
      <c r="I941" s="41"/>
      <c r="J941" s="41"/>
      <c r="K941" s="41"/>
      <c r="L941" s="41"/>
    </row>
    <row r="942" spans="5:12" s="39" customFormat="1" x14ac:dyDescent="0.3">
      <c r="E942" s="41"/>
      <c r="F942" s="41"/>
      <c r="G942" s="41"/>
      <c r="H942" s="41"/>
      <c r="I942" s="41"/>
      <c r="J942" s="41"/>
      <c r="K942" s="41"/>
      <c r="L942" s="41"/>
    </row>
    <row r="943" spans="5:12" s="39" customFormat="1" x14ac:dyDescent="0.3">
      <c r="E943" s="41"/>
      <c r="F943" s="41"/>
      <c r="G943" s="41"/>
      <c r="H943" s="41"/>
      <c r="I943" s="41"/>
      <c r="J943" s="41"/>
      <c r="K943" s="41"/>
      <c r="L943" s="41"/>
    </row>
    <row r="944" spans="5:12" s="39" customFormat="1" x14ac:dyDescent="0.3">
      <c r="E944" s="41"/>
      <c r="F944" s="41"/>
      <c r="G944" s="41"/>
      <c r="H944" s="41"/>
      <c r="I944" s="41"/>
      <c r="J944" s="41"/>
      <c r="K944" s="41"/>
      <c r="L944" s="41"/>
    </row>
    <row r="945" spans="5:12" s="39" customFormat="1" x14ac:dyDescent="0.3">
      <c r="E945" s="41"/>
      <c r="F945" s="41"/>
      <c r="G945" s="41"/>
      <c r="H945" s="41"/>
      <c r="I945" s="41"/>
      <c r="J945" s="41"/>
      <c r="K945" s="41"/>
      <c r="L945" s="41"/>
    </row>
    <row r="946" spans="5:12" s="39" customFormat="1" x14ac:dyDescent="0.3">
      <c r="E946" s="41"/>
      <c r="F946" s="41"/>
      <c r="G946" s="41"/>
      <c r="H946" s="41"/>
      <c r="I946" s="41"/>
      <c r="J946" s="41"/>
      <c r="K946" s="41"/>
      <c r="L946" s="41"/>
    </row>
    <row r="947" spans="5:12" s="39" customFormat="1" x14ac:dyDescent="0.3">
      <c r="E947" s="41"/>
      <c r="F947" s="41"/>
      <c r="G947" s="41"/>
      <c r="H947" s="41"/>
      <c r="I947" s="41"/>
      <c r="J947" s="41"/>
      <c r="K947" s="41"/>
      <c r="L947" s="41"/>
    </row>
    <row r="948" spans="5:12" s="39" customFormat="1" x14ac:dyDescent="0.3">
      <c r="E948" s="41"/>
      <c r="F948" s="41"/>
      <c r="G948" s="41"/>
      <c r="H948" s="41"/>
      <c r="I948" s="41"/>
      <c r="J948" s="41"/>
      <c r="K948" s="41"/>
      <c r="L948" s="41"/>
    </row>
    <row r="949" spans="5:12" s="39" customFormat="1" x14ac:dyDescent="0.3">
      <c r="E949" s="41"/>
      <c r="F949" s="41"/>
      <c r="G949" s="41"/>
      <c r="H949" s="41"/>
      <c r="I949" s="41"/>
      <c r="J949" s="41"/>
      <c r="K949" s="41"/>
      <c r="L949" s="41"/>
    </row>
    <row r="950" spans="5:12" s="39" customFormat="1" x14ac:dyDescent="0.3">
      <c r="E950" s="41"/>
      <c r="F950" s="41"/>
      <c r="G950" s="41"/>
      <c r="H950" s="41"/>
      <c r="I950" s="41"/>
      <c r="J950" s="41"/>
      <c r="K950" s="41"/>
      <c r="L950" s="41"/>
    </row>
    <row r="951" spans="5:12" s="39" customFormat="1" x14ac:dyDescent="0.3">
      <c r="E951" s="41"/>
      <c r="F951" s="41"/>
      <c r="G951" s="41"/>
      <c r="H951" s="41"/>
      <c r="I951" s="41"/>
      <c r="J951" s="41"/>
      <c r="K951" s="41"/>
      <c r="L951" s="41"/>
    </row>
    <row r="952" spans="5:12" s="39" customFormat="1" x14ac:dyDescent="0.3">
      <c r="E952" s="41"/>
      <c r="F952" s="41"/>
      <c r="G952" s="41"/>
      <c r="H952" s="41"/>
      <c r="I952" s="41"/>
      <c r="J952" s="41"/>
      <c r="K952" s="41"/>
      <c r="L952" s="41"/>
    </row>
    <row r="953" spans="5:12" s="39" customFormat="1" x14ac:dyDescent="0.3">
      <c r="E953" s="41"/>
      <c r="F953" s="41"/>
      <c r="G953" s="41"/>
      <c r="H953" s="41"/>
      <c r="I953" s="41"/>
      <c r="J953" s="41"/>
      <c r="K953" s="41"/>
      <c r="L953" s="41"/>
    </row>
    <row r="954" spans="5:12" s="39" customFormat="1" x14ac:dyDescent="0.3">
      <c r="E954" s="41"/>
      <c r="F954" s="41"/>
      <c r="G954" s="41"/>
      <c r="H954" s="41"/>
      <c r="I954" s="41"/>
      <c r="J954" s="41"/>
      <c r="K954" s="41"/>
      <c r="L954" s="41"/>
    </row>
    <row r="955" spans="5:12" s="39" customFormat="1" x14ac:dyDescent="0.3">
      <c r="E955" s="41"/>
      <c r="F955" s="41"/>
      <c r="G955" s="41"/>
      <c r="H955" s="41"/>
      <c r="I955" s="41"/>
      <c r="J955" s="41"/>
      <c r="K955" s="41"/>
      <c r="L955" s="41"/>
    </row>
    <row r="956" spans="5:12" s="39" customFormat="1" x14ac:dyDescent="0.3">
      <c r="E956" s="41"/>
      <c r="F956" s="41"/>
      <c r="G956" s="41"/>
      <c r="H956" s="41"/>
      <c r="I956" s="41"/>
      <c r="J956" s="41"/>
      <c r="K956" s="41"/>
      <c r="L956" s="41"/>
    </row>
    <row r="957" spans="5:12" s="39" customFormat="1" x14ac:dyDescent="0.3">
      <c r="E957" s="41"/>
      <c r="F957" s="41"/>
      <c r="G957" s="41"/>
      <c r="H957" s="41"/>
      <c r="I957" s="41"/>
      <c r="J957" s="41"/>
      <c r="K957" s="41"/>
      <c r="L957" s="41"/>
    </row>
    <row r="958" spans="5:12" s="39" customFormat="1" x14ac:dyDescent="0.3">
      <c r="E958" s="41"/>
      <c r="F958" s="41"/>
      <c r="G958" s="41"/>
      <c r="H958" s="41"/>
      <c r="I958" s="41"/>
      <c r="J958" s="41"/>
      <c r="K958" s="41"/>
      <c r="L958" s="41"/>
    </row>
    <row r="959" spans="5:12" s="39" customFormat="1" x14ac:dyDescent="0.3">
      <c r="E959" s="41"/>
      <c r="F959" s="41"/>
      <c r="G959" s="41"/>
      <c r="H959" s="41"/>
      <c r="I959" s="41"/>
      <c r="J959" s="41"/>
      <c r="K959" s="41"/>
      <c r="L959" s="41"/>
    </row>
    <row r="960" spans="5:12" s="39" customFormat="1" x14ac:dyDescent="0.3">
      <c r="E960" s="41"/>
      <c r="F960" s="41"/>
      <c r="G960" s="41"/>
      <c r="H960" s="41"/>
      <c r="I960" s="41"/>
      <c r="J960" s="41"/>
      <c r="K960" s="41"/>
      <c r="L960" s="41"/>
    </row>
    <row r="961" spans="5:12" s="39" customFormat="1" x14ac:dyDescent="0.3">
      <c r="E961" s="41"/>
      <c r="F961" s="41"/>
      <c r="G961" s="41"/>
      <c r="H961" s="41"/>
      <c r="I961" s="41"/>
      <c r="J961" s="41"/>
      <c r="K961" s="41"/>
      <c r="L961" s="41"/>
    </row>
    <row r="962" spans="5:12" s="39" customFormat="1" x14ac:dyDescent="0.3">
      <c r="E962" s="41"/>
      <c r="F962" s="41"/>
      <c r="G962" s="41"/>
      <c r="H962" s="41"/>
      <c r="I962" s="41"/>
      <c r="J962" s="41"/>
      <c r="K962" s="41"/>
      <c r="L962" s="41"/>
    </row>
    <row r="963" spans="5:12" s="39" customFormat="1" x14ac:dyDescent="0.3">
      <c r="E963" s="41"/>
      <c r="F963" s="41"/>
      <c r="G963" s="41"/>
      <c r="H963" s="41"/>
      <c r="I963" s="41"/>
      <c r="J963" s="41"/>
      <c r="K963" s="41"/>
      <c r="L963" s="41"/>
    </row>
    <row r="964" spans="5:12" s="39" customFormat="1" x14ac:dyDescent="0.3">
      <c r="E964" s="41"/>
      <c r="F964" s="41"/>
      <c r="G964" s="41"/>
      <c r="H964" s="41"/>
      <c r="I964" s="41"/>
      <c r="J964" s="41"/>
      <c r="K964" s="41"/>
      <c r="L964" s="41"/>
    </row>
    <row r="965" spans="5:12" s="39" customFormat="1" x14ac:dyDescent="0.3">
      <c r="E965" s="41"/>
      <c r="F965" s="41"/>
      <c r="G965" s="41"/>
      <c r="H965" s="41"/>
      <c r="I965" s="41"/>
      <c r="J965" s="41"/>
      <c r="K965" s="41"/>
      <c r="L965" s="41"/>
    </row>
    <row r="966" spans="5:12" s="39" customFormat="1" x14ac:dyDescent="0.3">
      <c r="E966" s="41"/>
      <c r="F966" s="41"/>
      <c r="G966" s="41"/>
      <c r="H966" s="41"/>
      <c r="I966" s="41"/>
      <c r="J966" s="41"/>
      <c r="K966" s="41"/>
      <c r="L966" s="41"/>
    </row>
    <row r="967" spans="5:12" s="39" customFormat="1" x14ac:dyDescent="0.3">
      <c r="E967" s="41"/>
      <c r="F967" s="41"/>
      <c r="G967" s="41"/>
      <c r="H967" s="41"/>
      <c r="I967" s="41"/>
      <c r="J967" s="41"/>
      <c r="K967" s="41"/>
      <c r="L967" s="41"/>
    </row>
    <row r="968" spans="5:12" s="39" customFormat="1" x14ac:dyDescent="0.3">
      <c r="E968" s="41"/>
      <c r="F968" s="41"/>
      <c r="G968" s="41"/>
      <c r="H968" s="41"/>
      <c r="I968" s="41"/>
      <c r="J968" s="41"/>
      <c r="K968" s="41"/>
      <c r="L968" s="41"/>
    </row>
    <row r="969" spans="5:12" s="39" customFormat="1" x14ac:dyDescent="0.3">
      <c r="E969" s="41"/>
      <c r="F969" s="41"/>
      <c r="G969" s="41"/>
      <c r="H969" s="41"/>
      <c r="I969" s="41"/>
      <c r="J969" s="41"/>
      <c r="K969" s="41"/>
      <c r="L969" s="41"/>
    </row>
    <row r="970" spans="5:12" s="39" customFormat="1" x14ac:dyDescent="0.3">
      <c r="E970" s="41"/>
      <c r="F970" s="41"/>
      <c r="G970" s="41"/>
      <c r="H970" s="41"/>
      <c r="I970" s="41"/>
      <c r="J970" s="41"/>
      <c r="K970" s="41"/>
      <c r="L970" s="41"/>
    </row>
    <row r="971" spans="5:12" s="39" customFormat="1" x14ac:dyDescent="0.3">
      <c r="E971" s="41"/>
      <c r="F971" s="41"/>
      <c r="G971" s="41"/>
      <c r="H971" s="41"/>
      <c r="I971" s="41"/>
      <c r="J971" s="41"/>
      <c r="K971" s="41"/>
      <c r="L971" s="41"/>
    </row>
    <row r="972" spans="5:12" s="39" customFormat="1" x14ac:dyDescent="0.3">
      <c r="E972" s="41"/>
      <c r="F972" s="41"/>
      <c r="G972" s="41"/>
      <c r="H972" s="41"/>
      <c r="I972" s="41"/>
      <c r="J972" s="41"/>
      <c r="K972" s="41"/>
      <c r="L972" s="41"/>
    </row>
    <row r="973" spans="5:12" s="39" customFormat="1" x14ac:dyDescent="0.3">
      <c r="E973" s="41"/>
      <c r="F973" s="41"/>
      <c r="G973" s="41"/>
      <c r="H973" s="41"/>
      <c r="I973" s="41"/>
      <c r="J973" s="41"/>
      <c r="K973" s="41"/>
      <c r="L973" s="41"/>
    </row>
    <row r="974" spans="5:12" s="39" customFormat="1" x14ac:dyDescent="0.3">
      <c r="E974" s="41"/>
      <c r="F974" s="41"/>
      <c r="G974" s="41"/>
      <c r="H974" s="41"/>
      <c r="I974" s="41"/>
      <c r="J974" s="41"/>
      <c r="K974" s="41"/>
      <c r="L974" s="41"/>
    </row>
    <row r="975" spans="5:12" s="39" customFormat="1" x14ac:dyDescent="0.3">
      <c r="E975" s="41"/>
      <c r="F975" s="41"/>
      <c r="G975" s="41"/>
      <c r="H975" s="41"/>
      <c r="I975" s="41"/>
      <c r="J975" s="41"/>
      <c r="K975" s="41"/>
      <c r="L975" s="41"/>
    </row>
    <row r="976" spans="5:12" s="39" customFormat="1" x14ac:dyDescent="0.3">
      <c r="E976" s="41"/>
      <c r="F976" s="41"/>
      <c r="G976" s="41"/>
      <c r="H976" s="41"/>
      <c r="I976" s="41"/>
      <c r="J976" s="41"/>
      <c r="K976" s="41"/>
      <c r="L976" s="41"/>
    </row>
    <row r="977" spans="5:12" s="39" customFormat="1" x14ac:dyDescent="0.3">
      <c r="E977" s="41"/>
      <c r="F977" s="41"/>
      <c r="G977" s="41"/>
      <c r="H977" s="41"/>
      <c r="I977" s="41"/>
      <c r="J977" s="41"/>
      <c r="K977" s="41"/>
      <c r="L977" s="41"/>
    </row>
    <row r="978" spans="5:12" s="39" customFormat="1" x14ac:dyDescent="0.3">
      <c r="E978" s="41"/>
      <c r="F978" s="41"/>
      <c r="G978" s="41"/>
      <c r="H978" s="41"/>
      <c r="I978" s="41"/>
      <c r="J978" s="41"/>
      <c r="K978" s="41"/>
      <c r="L978" s="41"/>
    </row>
    <row r="979" spans="5:12" s="39" customFormat="1" x14ac:dyDescent="0.3">
      <c r="E979" s="41"/>
      <c r="F979" s="41"/>
      <c r="G979" s="41"/>
      <c r="H979" s="41"/>
      <c r="I979" s="41"/>
      <c r="J979" s="41"/>
      <c r="K979" s="41"/>
      <c r="L979" s="41"/>
    </row>
    <row r="980" spans="5:12" s="39" customFormat="1" x14ac:dyDescent="0.3">
      <c r="E980" s="41"/>
      <c r="F980" s="41"/>
      <c r="G980" s="41"/>
      <c r="H980" s="41"/>
      <c r="I980" s="41"/>
      <c r="J980" s="41"/>
      <c r="K980" s="41"/>
      <c r="L980" s="41"/>
    </row>
    <row r="981" spans="5:12" s="39" customFormat="1" x14ac:dyDescent="0.3">
      <c r="E981" s="41"/>
      <c r="F981" s="41"/>
      <c r="G981" s="41"/>
      <c r="H981" s="41"/>
      <c r="I981" s="41"/>
      <c r="J981" s="41"/>
      <c r="K981" s="41"/>
      <c r="L981" s="41"/>
    </row>
    <row r="982" spans="5:12" s="39" customFormat="1" x14ac:dyDescent="0.3">
      <c r="E982" s="41"/>
      <c r="F982" s="41"/>
      <c r="G982" s="41"/>
      <c r="H982" s="41"/>
      <c r="I982" s="41"/>
      <c r="J982" s="41"/>
      <c r="K982" s="41"/>
      <c r="L982" s="41"/>
    </row>
    <row r="983" spans="5:12" s="39" customFormat="1" x14ac:dyDescent="0.3">
      <c r="E983" s="41"/>
      <c r="F983" s="41"/>
      <c r="G983" s="41"/>
      <c r="H983" s="41"/>
      <c r="I983" s="41"/>
      <c r="J983" s="41"/>
      <c r="K983" s="41"/>
      <c r="L983" s="41"/>
    </row>
    <row r="984" spans="5:12" s="39" customFormat="1" x14ac:dyDescent="0.3">
      <c r="E984" s="41"/>
      <c r="F984" s="41"/>
      <c r="G984" s="41"/>
      <c r="H984" s="41"/>
      <c r="I984" s="41"/>
      <c r="J984" s="41"/>
      <c r="K984" s="41"/>
      <c r="L984" s="41"/>
    </row>
    <row r="985" spans="5:12" s="39" customFormat="1" x14ac:dyDescent="0.3">
      <c r="E985" s="41"/>
      <c r="F985" s="41"/>
      <c r="G985" s="41"/>
      <c r="H985" s="41"/>
      <c r="I985" s="41"/>
      <c r="J985" s="41"/>
      <c r="K985" s="41"/>
      <c r="L985" s="41"/>
    </row>
    <row r="986" spans="5:12" s="39" customFormat="1" x14ac:dyDescent="0.3">
      <c r="E986" s="41"/>
      <c r="F986" s="41"/>
      <c r="G986" s="41"/>
      <c r="H986" s="41"/>
      <c r="I986" s="41"/>
      <c r="J986" s="41"/>
      <c r="K986" s="41"/>
      <c r="L986" s="41"/>
    </row>
    <row r="987" spans="5:12" s="39" customFormat="1" x14ac:dyDescent="0.3">
      <c r="E987" s="41"/>
      <c r="F987" s="41"/>
      <c r="G987" s="41"/>
      <c r="H987" s="41"/>
      <c r="I987" s="41"/>
      <c r="J987" s="41"/>
      <c r="K987" s="41"/>
      <c r="L987" s="41"/>
    </row>
    <row r="988" spans="5:12" s="39" customFormat="1" x14ac:dyDescent="0.3">
      <c r="E988" s="41"/>
      <c r="F988" s="41"/>
      <c r="G988" s="41"/>
      <c r="H988" s="41"/>
      <c r="I988" s="41"/>
      <c r="J988" s="41"/>
      <c r="K988" s="41"/>
      <c r="L988" s="41"/>
    </row>
    <row r="989" spans="5:12" s="39" customFormat="1" x14ac:dyDescent="0.3">
      <c r="E989" s="41"/>
      <c r="F989" s="41"/>
      <c r="G989" s="41"/>
      <c r="H989" s="41"/>
      <c r="I989" s="41"/>
      <c r="J989" s="41"/>
      <c r="K989" s="41"/>
      <c r="L989" s="41"/>
    </row>
    <row r="990" spans="5:12" s="39" customFormat="1" x14ac:dyDescent="0.3">
      <c r="E990" s="41"/>
      <c r="F990" s="41"/>
      <c r="G990" s="41"/>
      <c r="H990" s="41"/>
      <c r="I990" s="41"/>
      <c r="J990" s="41"/>
      <c r="K990" s="41"/>
      <c r="L990" s="41"/>
    </row>
    <row r="991" spans="5:12" s="39" customFormat="1" x14ac:dyDescent="0.3">
      <c r="E991" s="41"/>
      <c r="F991" s="41"/>
      <c r="G991" s="41"/>
      <c r="H991" s="41"/>
      <c r="I991" s="41"/>
      <c r="J991" s="41"/>
      <c r="K991" s="41"/>
      <c r="L991" s="41"/>
    </row>
    <row r="992" spans="5:12" s="39" customFormat="1" x14ac:dyDescent="0.3">
      <c r="E992" s="41"/>
      <c r="F992" s="41"/>
      <c r="G992" s="41"/>
      <c r="H992" s="41"/>
      <c r="I992" s="41"/>
      <c r="J992" s="41"/>
      <c r="K992" s="41"/>
      <c r="L992" s="41"/>
    </row>
    <row r="993" spans="5:12" s="39" customFormat="1" x14ac:dyDescent="0.3">
      <c r="E993" s="41"/>
      <c r="F993" s="41"/>
      <c r="G993" s="41"/>
      <c r="H993" s="41"/>
      <c r="I993" s="41"/>
      <c r="J993" s="41"/>
      <c r="K993" s="41"/>
      <c r="L993" s="41"/>
    </row>
    <row r="994" spans="5:12" s="39" customFormat="1" x14ac:dyDescent="0.3">
      <c r="E994" s="41"/>
      <c r="F994" s="41"/>
      <c r="G994" s="41"/>
      <c r="H994" s="41"/>
      <c r="I994" s="41"/>
      <c r="J994" s="41"/>
      <c r="K994" s="41"/>
      <c r="L994" s="41"/>
    </row>
    <row r="995" spans="5:12" s="39" customFormat="1" x14ac:dyDescent="0.3">
      <c r="E995" s="41"/>
      <c r="F995" s="41"/>
      <c r="G995" s="41"/>
      <c r="H995" s="41"/>
      <c r="I995" s="41"/>
      <c r="J995" s="41"/>
      <c r="K995" s="41"/>
      <c r="L995" s="41"/>
    </row>
    <row r="996" spans="5:12" s="39" customFormat="1" x14ac:dyDescent="0.3">
      <c r="E996" s="41"/>
      <c r="F996" s="41"/>
      <c r="G996" s="41"/>
      <c r="H996" s="41"/>
      <c r="I996" s="41"/>
      <c r="J996" s="41"/>
      <c r="K996" s="41"/>
      <c r="L996" s="41"/>
    </row>
    <row r="997" spans="5:12" s="39" customFormat="1" x14ac:dyDescent="0.3">
      <c r="E997" s="41"/>
      <c r="F997" s="41"/>
      <c r="G997" s="41"/>
      <c r="H997" s="41"/>
      <c r="I997" s="41"/>
      <c r="J997" s="41"/>
      <c r="K997" s="41"/>
      <c r="L997" s="41"/>
    </row>
    <row r="998" spans="5:12" s="39" customFormat="1" x14ac:dyDescent="0.3">
      <c r="E998" s="41"/>
      <c r="F998" s="41"/>
      <c r="G998" s="41"/>
      <c r="H998" s="41"/>
      <c r="I998" s="41"/>
      <c r="J998" s="41"/>
      <c r="K998" s="41"/>
      <c r="L998" s="41"/>
    </row>
    <row r="999" spans="5:12" s="39" customFormat="1" x14ac:dyDescent="0.3">
      <c r="E999" s="41"/>
      <c r="F999" s="41"/>
      <c r="G999" s="41"/>
      <c r="H999" s="41"/>
      <c r="I999" s="41"/>
      <c r="J999" s="41"/>
      <c r="K999" s="41"/>
      <c r="L999" s="41"/>
    </row>
    <row r="1000" spans="5:12" s="39" customFormat="1" x14ac:dyDescent="0.3">
      <c r="E1000" s="41"/>
      <c r="F1000" s="41"/>
      <c r="G1000" s="41"/>
      <c r="H1000" s="41"/>
      <c r="I1000" s="41"/>
      <c r="J1000" s="41"/>
      <c r="K1000" s="41"/>
      <c r="L1000" s="41"/>
    </row>
    <row r="1001" spans="5:12" s="39" customFormat="1" x14ac:dyDescent="0.3">
      <c r="E1001" s="41"/>
      <c r="F1001" s="41"/>
      <c r="G1001" s="41"/>
      <c r="H1001" s="41"/>
      <c r="I1001" s="41"/>
      <c r="J1001" s="41"/>
      <c r="K1001" s="41"/>
      <c r="L1001" s="41"/>
    </row>
    <row r="1002" spans="5:12" s="39" customFormat="1" x14ac:dyDescent="0.3">
      <c r="E1002" s="41"/>
      <c r="F1002" s="41"/>
      <c r="G1002" s="41"/>
      <c r="H1002" s="41"/>
      <c r="I1002" s="41"/>
      <c r="J1002" s="41"/>
      <c r="K1002" s="41"/>
      <c r="L1002" s="41"/>
    </row>
    <row r="1003" spans="5:12" s="39" customFormat="1" x14ac:dyDescent="0.3">
      <c r="E1003" s="41"/>
      <c r="F1003" s="41"/>
      <c r="G1003" s="41"/>
      <c r="H1003" s="41"/>
      <c r="I1003" s="41"/>
      <c r="J1003" s="41"/>
      <c r="K1003" s="41"/>
      <c r="L1003" s="41"/>
    </row>
    <row r="1004" spans="5:12" s="39" customFormat="1" x14ac:dyDescent="0.3">
      <c r="E1004" s="41"/>
      <c r="F1004" s="41"/>
      <c r="G1004" s="41"/>
      <c r="H1004" s="41"/>
      <c r="I1004" s="41"/>
      <c r="J1004" s="41"/>
      <c r="K1004" s="41"/>
      <c r="L1004" s="41"/>
    </row>
    <row r="1005" spans="5:12" s="39" customFormat="1" x14ac:dyDescent="0.3">
      <c r="E1005" s="41"/>
      <c r="F1005" s="41"/>
      <c r="G1005" s="41"/>
      <c r="H1005" s="41"/>
      <c r="I1005" s="41"/>
      <c r="J1005" s="41"/>
      <c r="K1005" s="41"/>
      <c r="L1005" s="41"/>
    </row>
    <row r="1006" spans="5:12" s="39" customFormat="1" x14ac:dyDescent="0.3">
      <c r="E1006" s="41"/>
      <c r="F1006" s="41"/>
      <c r="G1006" s="41"/>
      <c r="H1006" s="41"/>
      <c r="I1006" s="41"/>
      <c r="J1006" s="41"/>
      <c r="K1006" s="41"/>
      <c r="L1006" s="41"/>
    </row>
    <row r="1007" spans="5:12" s="39" customFormat="1" x14ac:dyDescent="0.3">
      <c r="E1007" s="41"/>
      <c r="F1007" s="41"/>
      <c r="G1007" s="41"/>
      <c r="H1007" s="41"/>
      <c r="I1007" s="41"/>
      <c r="J1007" s="41"/>
      <c r="K1007" s="41"/>
      <c r="L1007" s="41"/>
    </row>
    <row r="1008" spans="5:12" s="39" customFormat="1" x14ac:dyDescent="0.3">
      <c r="E1008" s="41"/>
      <c r="F1008" s="41"/>
      <c r="G1008" s="41"/>
      <c r="H1008" s="41"/>
      <c r="I1008" s="41"/>
      <c r="J1008" s="41"/>
      <c r="K1008" s="41"/>
      <c r="L1008" s="41"/>
    </row>
    <row r="1009" spans="5:12" s="39" customFormat="1" x14ac:dyDescent="0.3">
      <c r="E1009" s="41"/>
      <c r="F1009" s="41"/>
      <c r="G1009" s="41"/>
      <c r="H1009" s="41"/>
      <c r="I1009" s="41"/>
      <c r="J1009" s="41"/>
      <c r="K1009" s="41"/>
      <c r="L1009" s="41"/>
    </row>
    <row r="1010" spans="5:12" s="39" customFormat="1" x14ac:dyDescent="0.3">
      <c r="E1010" s="41"/>
      <c r="F1010" s="41"/>
      <c r="G1010" s="41"/>
      <c r="H1010" s="41"/>
      <c r="I1010" s="41"/>
      <c r="J1010" s="41"/>
      <c r="K1010" s="41"/>
      <c r="L1010" s="41"/>
    </row>
    <row r="1011" spans="5:12" s="39" customFormat="1" x14ac:dyDescent="0.3">
      <c r="E1011" s="41"/>
      <c r="F1011" s="41"/>
      <c r="G1011" s="41"/>
      <c r="H1011" s="41"/>
      <c r="I1011" s="41"/>
      <c r="J1011" s="41"/>
      <c r="K1011" s="41"/>
      <c r="L1011" s="41"/>
    </row>
    <row r="1012" spans="5:12" s="39" customFormat="1" x14ac:dyDescent="0.3">
      <c r="E1012" s="41"/>
      <c r="F1012" s="41"/>
      <c r="G1012" s="41"/>
      <c r="H1012" s="41"/>
      <c r="I1012" s="41"/>
      <c r="J1012" s="41"/>
      <c r="K1012" s="41"/>
      <c r="L1012" s="41"/>
    </row>
    <row r="1013" spans="5:12" s="39" customFormat="1" x14ac:dyDescent="0.3">
      <c r="E1013" s="41"/>
      <c r="F1013" s="41"/>
      <c r="G1013" s="41"/>
      <c r="H1013" s="41"/>
      <c r="I1013" s="41"/>
      <c r="J1013" s="41"/>
      <c r="K1013" s="41"/>
      <c r="L1013" s="41"/>
    </row>
    <row r="1014" spans="5:12" s="39" customFormat="1" x14ac:dyDescent="0.3">
      <c r="E1014" s="41"/>
      <c r="F1014" s="41"/>
      <c r="G1014" s="41"/>
      <c r="H1014" s="41"/>
      <c r="I1014" s="41"/>
      <c r="J1014" s="41"/>
      <c r="K1014" s="41"/>
      <c r="L1014" s="41"/>
    </row>
    <row r="1015" spans="5:12" s="39" customFormat="1" x14ac:dyDescent="0.3">
      <c r="E1015" s="41"/>
      <c r="F1015" s="41"/>
      <c r="G1015" s="41"/>
      <c r="H1015" s="41"/>
      <c r="I1015" s="41"/>
      <c r="J1015" s="41"/>
      <c r="K1015" s="41"/>
      <c r="L1015" s="41"/>
    </row>
    <row r="1016" spans="5:12" s="39" customFormat="1" x14ac:dyDescent="0.3">
      <c r="E1016" s="41"/>
      <c r="F1016" s="41"/>
      <c r="G1016" s="41"/>
      <c r="H1016" s="41"/>
      <c r="I1016" s="41"/>
      <c r="J1016" s="41"/>
      <c r="K1016" s="41"/>
      <c r="L1016" s="41"/>
    </row>
    <row r="1017" spans="5:12" s="39" customFormat="1" x14ac:dyDescent="0.3">
      <c r="E1017" s="41"/>
      <c r="F1017" s="41"/>
      <c r="G1017" s="41"/>
      <c r="H1017" s="41"/>
      <c r="I1017" s="41"/>
      <c r="J1017" s="41"/>
      <c r="K1017" s="41"/>
      <c r="L1017" s="41"/>
    </row>
    <row r="1018" spans="5:12" s="39" customFormat="1" x14ac:dyDescent="0.3">
      <c r="E1018" s="41"/>
      <c r="F1018" s="41"/>
      <c r="G1018" s="41"/>
      <c r="H1018" s="41"/>
      <c r="I1018" s="41"/>
      <c r="J1018" s="41"/>
      <c r="K1018" s="41"/>
      <c r="L1018" s="41"/>
    </row>
    <row r="1019" spans="5:12" s="39" customFormat="1" x14ac:dyDescent="0.3">
      <c r="E1019" s="41"/>
      <c r="F1019" s="41"/>
      <c r="G1019" s="41"/>
      <c r="H1019" s="41"/>
      <c r="I1019" s="41"/>
      <c r="J1019" s="41"/>
      <c r="K1019" s="41"/>
      <c r="L1019" s="41"/>
    </row>
    <row r="1020" spans="5:12" s="39" customFormat="1" x14ac:dyDescent="0.3">
      <c r="E1020" s="41"/>
      <c r="F1020" s="41"/>
      <c r="G1020" s="41"/>
      <c r="H1020" s="41"/>
      <c r="I1020" s="41"/>
      <c r="J1020" s="41"/>
      <c r="K1020" s="41"/>
      <c r="L1020" s="41"/>
    </row>
    <row r="1021" spans="5:12" s="39" customFormat="1" x14ac:dyDescent="0.3">
      <c r="E1021" s="41"/>
      <c r="F1021" s="41"/>
      <c r="G1021" s="41"/>
      <c r="H1021" s="41"/>
      <c r="I1021" s="41"/>
      <c r="J1021" s="41"/>
      <c r="K1021" s="41"/>
      <c r="L1021" s="41"/>
    </row>
    <row r="1022" spans="5:12" s="39" customFormat="1" x14ac:dyDescent="0.3">
      <c r="E1022" s="41"/>
      <c r="F1022" s="41"/>
      <c r="G1022" s="41"/>
      <c r="H1022" s="41"/>
      <c r="I1022" s="41"/>
      <c r="J1022" s="41"/>
      <c r="K1022" s="41"/>
      <c r="L1022" s="41"/>
    </row>
    <row r="1023" spans="5:12" s="39" customFormat="1" x14ac:dyDescent="0.3">
      <c r="E1023" s="41"/>
      <c r="F1023" s="41"/>
      <c r="G1023" s="41"/>
      <c r="H1023" s="41"/>
      <c r="I1023" s="41"/>
      <c r="J1023" s="41"/>
      <c r="K1023" s="41"/>
      <c r="L1023" s="41"/>
    </row>
    <row r="1024" spans="5:12" s="39" customFormat="1" x14ac:dyDescent="0.3">
      <c r="E1024" s="41"/>
      <c r="F1024" s="41"/>
      <c r="G1024" s="41"/>
      <c r="H1024" s="41"/>
      <c r="I1024" s="41"/>
      <c r="J1024" s="41"/>
      <c r="K1024" s="41"/>
      <c r="L1024" s="41"/>
    </row>
    <row r="1025" spans="5:12" s="39" customFormat="1" x14ac:dyDescent="0.3">
      <c r="E1025" s="41"/>
      <c r="F1025" s="41"/>
      <c r="G1025" s="41"/>
      <c r="H1025" s="41"/>
      <c r="I1025" s="41"/>
      <c r="J1025" s="41"/>
      <c r="K1025" s="41"/>
      <c r="L1025" s="41"/>
    </row>
    <row r="1026" spans="5:12" s="39" customFormat="1" x14ac:dyDescent="0.3">
      <c r="E1026" s="41"/>
      <c r="F1026" s="41"/>
      <c r="G1026" s="41"/>
      <c r="H1026" s="41"/>
      <c r="I1026" s="41"/>
      <c r="J1026" s="41"/>
      <c r="K1026" s="41"/>
      <c r="L1026" s="41"/>
    </row>
    <row r="1027" spans="5:12" s="39" customFormat="1" x14ac:dyDescent="0.3">
      <c r="E1027" s="41"/>
      <c r="F1027" s="41"/>
      <c r="G1027" s="41"/>
      <c r="H1027" s="41"/>
      <c r="I1027" s="41"/>
      <c r="J1027" s="41"/>
      <c r="K1027" s="41"/>
      <c r="L1027" s="41"/>
    </row>
    <row r="1028" spans="5:12" s="39" customFormat="1" x14ac:dyDescent="0.3">
      <c r="E1028" s="41"/>
      <c r="F1028" s="41"/>
      <c r="G1028" s="41"/>
      <c r="H1028" s="41"/>
      <c r="I1028" s="41"/>
      <c r="J1028" s="41"/>
      <c r="K1028" s="41"/>
      <c r="L1028" s="41"/>
    </row>
    <row r="1029" spans="5:12" s="39" customFormat="1" x14ac:dyDescent="0.3">
      <c r="E1029" s="41"/>
      <c r="F1029" s="41"/>
      <c r="G1029" s="41"/>
      <c r="H1029" s="41"/>
      <c r="I1029" s="41"/>
      <c r="J1029" s="41"/>
      <c r="K1029" s="41"/>
      <c r="L1029" s="41"/>
    </row>
    <row r="1030" spans="5:12" s="39" customFormat="1" x14ac:dyDescent="0.3">
      <c r="E1030" s="41"/>
      <c r="F1030" s="41"/>
      <c r="G1030" s="41"/>
      <c r="H1030" s="41"/>
      <c r="I1030" s="41"/>
      <c r="J1030" s="41"/>
      <c r="K1030" s="41"/>
      <c r="L1030" s="41"/>
    </row>
    <row r="1031" spans="5:12" s="39" customFormat="1" x14ac:dyDescent="0.3">
      <c r="E1031" s="41"/>
      <c r="F1031" s="41"/>
      <c r="G1031" s="41"/>
      <c r="H1031" s="41"/>
      <c r="I1031" s="41"/>
      <c r="J1031" s="41"/>
      <c r="K1031" s="41"/>
      <c r="L1031" s="41"/>
    </row>
    <row r="1032" spans="5:12" s="39" customFormat="1" x14ac:dyDescent="0.3">
      <c r="E1032" s="41"/>
      <c r="F1032" s="41"/>
      <c r="G1032" s="41"/>
      <c r="H1032" s="41"/>
      <c r="I1032" s="41"/>
      <c r="J1032" s="41"/>
      <c r="K1032" s="41"/>
      <c r="L1032" s="41"/>
    </row>
    <row r="1033" spans="5:12" s="39" customFormat="1" x14ac:dyDescent="0.3">
      <c r="E1033" s="41"/>
      <c r="F1033" s="41"/>
      <c r="G1033" s="41"/>
      <c r="H1033" s="41"/>
      <c r="I1033" s="41"/>
      <c r="J1033" s="41"/>
      <c r="K1033" s="41"/>
      <c r="L1033" s="41"/>
    </row>
    <row r="1034" spans="5:12" s="39" customFormat="1" x14ac:dyDescent="0.3">
      <c r="E1034" s="41"/>
      <c r="F1034" s="41"/>
      <c r="G1034" s="41"/>
      <c r="H1034" s="41"/>
      <c r="I1034" s="41"/>
      <c r="J1034" s="41"/>
      <c r="K1034" s="41"/>
      <c r="L1034" s="41"/>
    </row>
    <row r="1035" spans="5:12" s="39" customFormat="1" x14ac:dyDescent="0.3">
      <c r="E1035" s="41"/>
      <c r="F1035" s="41"/>
      <c r="G1035" s="41"/>
      <c r="H1035" s="41"/>
      <c r="I1035" s="41"/>
      <c r="J1035" s="41"/>
      <c r="K1035" s="41"/>
      <c r="L1035" s="41"/>
    </row>
    <row r="1036" spans="5:12" s="39" customFormat="1" x14ac:dyDescent="0.3">
      <c r="E1036" s="41"/>
      <c r="F1036" s="41"/>
      <c r="G1036" s="41"/>
      <c r="H1036" s="41"/>
      <c r="I1036" s="41"/>
      <c r="J1036" s="41"/>
      <c r="K1036" s="41"/>
      <c r="L1036" s="41"/>
    </row>
    <row r="1037" spans="5:12" s="39" customFormat="1" x14ac:dyDescent="0.3">
      <c r="E1037" s="41"/>
      <c r="F1037" s="41"/>
      <c r="G1037" s="41"/>
      <c r="H1037" s="41"/>
      <c r="I1037" s="41"/>
      <c r="J1037" s="41"/>
      <c r="K1037" s="41"/>
      <c r="L1037" s="41"/>
    </row>
    <row r="1038" spans="5:12" s="39" customFormat="1" x14ac:dyDescent="0.3">
      <c r="E1038" s="41"/>
      <c r="F1038" s="41"/>
      <c r="G1038" s="41"/>
      <c r="H1038" s="41"/>
      <c r="I1038" s="41"/>
      <c r="J1038" s="41"/>
      <c r="K1038" s="41"/>
      <c r="L1038" s="41"/>
    </row>
    <row r="1039" spans="5:12" s="39" customFormat="1" x14ac:dyDescent="0.3">
      <c r="E1039" s="41"/>
      <c r="F1039" s="41"/>
      <c r="G1039" s="41"/>
      <c r="H1039" s="41"/>
      <c r="I1039" s="41"/>
      <c r="J1039" s="41"/>
      <c r="K1039" s="41"/>
      <c r="L1039" s="41"/>
    </row>
    <row r="1040" spans="5:12" s="39" customFormat="1" x14ac:dyDescent="0.3">
      <c r="E1040" s="41"/>
      <c r="F1040" s="41"/>
      <c r="G1040" s="41"/>
      <c r="H1040" s="41"/>
      <c r="I1040" s="41"/>
      <c r="J1040" s="41"/>
      <c r="K1040" s="41"/>
      <c r="L1040" s="41"/>
    </row>
    <row r="1041" spans="5:12" s="39" customFormat="1" x14ac:dyDescent="0.3">
      <c r="E1041" s="41"/>
      <c r="F1041" s="41"/>
      <c r="G1041" s="41"/>
      <c r="H1041" s="41"/>
      <c r="I1041" s="41"/>
      <c r="J1041" s="41"/>
      <c r="K1041" s="41"/>
      <c r="L1041" s="41"/>
    </row>
    <row r="1042" spans="5:12" s="39" customFormat="1" x14ac:dyDescent="0.3">
      <c r="E1042" s="41"/>
      <c r="F1042" s="41"/>
      <c r="G1042" s="41"/>
      <c r="H1042" s="41"/>
      <c r="I1042" s="41"/>
      <c r="J1042" s="41"/>
      <c r="K1042" s="41"/>
      <c r="L1042" s="41"/>
    </row>
    <row r="1043" spans="5:12" s="39" customFormat="1" x14ac:dyDescent="0.3">
      <c r="E1043" s="41"/>
      <c r="F1043" s="41"/>
      <c r="G1043" s="41"/>
      <c r="H1043" s="41"/>
      <c r="I1043" s="41"/>
      <c r="J1043" s="41"/>
      <c r="K1043" s="41"/>
      <c r="L1043" s="41"/>
    </row>
    <row r="1044" spans="5:12" s="39" customFormat="1" x14ac:dyDescent="0.3">
      <c r="E1044" s="41"/>
      <c r="F1044" s="41"/>
      <c r="G1044" s="41"/>
      <c r="H1044" s="41"/>
      <c r="I1044" s="41"/>
      <c r="J1044" s="41"/>
      <c r="K1044" s="41"/>
      <c r="L1044" s="41"/>
    </row>
    <row r="1045" spans="5:12" s="39" customFormat="1" x14ac:dyDescent="0.3">
      <c r="E1045" s="41"/>
      <c r="F1045" s="41"/>
      <c r="G1045" s="41"/>
      <c r="H1045" s="41"/>
      <c r="I1045" s="41"/>
      <c r="J1045" s="41"/>
      <c r="K1045" s="41"/>
      <c r="L1045" s="41"/>
    </row>
    <row r="1046" spans="5:12" s="39" customFormat="1" x14ac:dyDescent="0.3">
      <c r="E1046" s="41"/>
      <c r="F1046" s="41"/>
      <c r="G1046" s="41"/>
      <c r="H1046" s="41"/>
      <c r="I1046" s="41"/>
      <c r="J1046" s="41"/>
      <c r="K1046" s="41"/>
      <c r="L1046" s="41"/>
    </row>
    <row r="1047" spans="5:12" s="39" customFormat="1" x14ac:dyDescent="0.3">
      <c r="E1047" s="41"/>
      <c r="F1047" s="41"/>
      <c r="G1047" s="41"/>
      <c r="H1047" s="41"/>
      <c r="I1047" s="41"/>
      <c r="J1047" s="41"/>
      <c r="K1047" s="41"/>
      <c r="L1047" s="41"/>
    </row>
    <row r="1048" spans="5:12" s="39" customFormat="1" x14ac:dyDescent="0.3">
      <c r="E1048" s="41"/>
      <c r="F1048" s="41"/>
      <c r="G1048" s="41"/>
      <c r="H1048" s="41"/>
      <c r="I1048" s="41"/>
      <c r="J1048" s="41"/>
      <c r="K1048" s="41"/>
      <c r="L1048" s="41"/>
    </row>
    <row r="1049" spans="5:12" s="39" customFormat="1" x14ac:dyDescent="0.3">
      <c r="E1049" s="41"/>
      <c r="F1049" s="41"/>
      <c r="G1049" s="41"/>
      <c r="H1049" s="41"/>
      <c r="I1049" s="41"/>
      <c r="J1049" s="41"/>
      <c r="K1049" s="41"/>
      <c r="L1049" s="41"/>
    </row>
    <row r="1050" spans="5:12" s="39" customFormat="1" x14ac:dyDescent="0.3">
      <c r="E1050" s="41"/>
      <c r="F1050" s="41"/>
      <c r="G1050" s="41"/>
      <c r="H1050" s="41"/>
      <c r="I1050" s="41"/>
      <c r="J1050" s="41"/>
      <c r="K1050" s="41"/>
      <c r="L1050" s="41"/>
    </row>
    <row r="1051" spans="5:12" s="39" customFormat="1" x14ac:dyDescent="0.3">
      <c r="E1051" s="41"/>
      <c r="F1051" s="41"/>
      <c r="G1051" s="41"/>
      <c r="H1051" s="41"/>
      <c r="I1051" s="41"/>
      <c r="J1051" s="41"/>
      <c r="K1051" s="41"/>
      <c r="L1051" s="41"/>
    </row>
    <row r="1052" spans="5:12" s="39" customFormat="1" x14ac:dyDescent="0.3">
      <c r="E1052" s="41"/>
      <c r="F1052" s="41"/>
      <c r="G1052" s="41"/>
      <c r="H1052" s="41"/>
      <c r="I1052" s="41"/>
      <c r="J1052" s="41"/>
      <c r="K1052" s="41"/>
      <c r="L1052" s="41"/>
    </row>
    <row r="1053" spans="5:12" s="39" customFormat="1" x14ac:dyDescent="0.3">
      <c r="E1053" s="41"/>
      <c r="F1053" s="41"/>
      <c r="G1053" s="41"/>
      <c r="H1053" s="41"/>
      <c r="I1053" s="41"/>
      <c r="J1053" s="41"/>
      <c r="K1053" s="41"/>
      <c r="L1053" s="41"/>
    </row>
    <row r="1054" spans="5:12" s="39" customFormat="1" x14ac:dyDescent="0.3">
      <c r="E1054" s="41"/>
      <c r="F1054" s="41"/>
      <c r="G1054" s="41"/>
      <c r="H1054" s="41"/>
      <c r="I1054" s="41"/>
      <c r="J1054" s="41"/>
      <c r="K1054" s="41"/>
      <c r="L1054" s="41"/>
    </row>
    <row r="1055" spans="5:12" s="39" customFormat="1" x14ac:dyDescent="0.3">
      <c r="E1055" s="41"/>
      <c r="F1055" s="41"/>
      <c r="G1055" s="41"/>
      <c r="H1055" s="41"/>
      <c r="I1055" s="41"/>
      <c r="J1055" s="41"/>
      <c r="K1055" s="41"/>
      <c r="L1055" s="41"/>
    </row>
    <row r="1056" spans="5:12" s="39" customFormat="1" x14ac:dyDescent="0.3">
      <c r="E1056" s="41"/>
      <c r="F1056" s="41"/>
      <c r="G1056" s="41"/>
      <c r="H1056" s="41"/>
      <c r="I1056" s="41"/>
      <c r="J1056" s="41"/>
      <c r="K1056" s="41"/>
      <c r="L1056" s="41"/>
    </row>
    <row r="1057" spans="5:12" s="39" customFormat="1" x14ac:dyDescent="0.3">
      <c r="E1057" s="41"/>
      <c r="F1057" s="41"/>
      <c r="G1057" s="41"/>
      <c r="H1057" s="41"/>
      <c r="I1057" s="41"/>
      <c r="J1057" s="41"/>
      <c r="K1057" s="41"/>
      <c r="L1057" s="41"/>
    </row>
    <row r="1058" spans="5:12" s="39" customFormat="1" x14ac:dyDescent="0.3">
      <c r="E1058" s="41"/>
      <c r="F1058" s="41"/>
      <c r="G1058" s="41"/>
      <c r="H1058" s="41"/>
      <c r="I1058" s="41"/>
      <c r="J1058" s="41"/>
      <c r="K1058" s="41"/>
      <c r="L1058" s="41"/>
    </row>
    <row r="1059" spans="5:12" s="39" customFormat="1" x14ac:dyDescent="0.3">
      <c r="E1059" s="41"/>
      <c r="F1059" s="41"/>
      <c r="G1059" s="41"/>
      <c r="H1059" s="41"/>
      <c r="I1059" s="41"/>
      <c r="J1059" s="41"/>
      <c r="K1059" s="41"/>
      <c r="L1059" s="41"/>
    </row>
    <row r="1060" spans="5:12" s="39" customFormat="1" x14ac:dyDescent="0.3">
      <c r="E1060" s="41"/>
      <c r="F1060" s="41"/>
      <c r="G1060" s="41"/>
      <c r="H1060" s="41"/>
      <c r="I1060" s="41"/>
      <c r="J1060" s="41"/>
      <c r="K1060" s="41"/>
      <c r="L1060" s="41"/>
    </row>
    <row r="1061" spans="5:12" s="39" customFormat="1" x14ac:dyDescent="0.3">
      <c r="E1061" s="41"/>
      <c r="F1061" s="41"/>
      <c r="G1061" s="41"/>
      <c r="H1061" s="41"/>
      <c r="I1061" s="41"/>
      <c r="J1061" s="41"/>
      <c r="K1061" s="41"/>
      <c r="L1061" s="41"/>
    </row>
    <row r="1062" spans="5:12" s="39" customFormat="1" x14ac:dyDescent="0.3">
      <c r="E1062" s="41"/>
      <c r="F1062" s="41"/>
      <c r="G1062" s="41"/>
      <c r="H1062" s="41"/>
      <c r="I1062" s="41"/>
      <c r="J1062" s="41"/>
      <c r="K1062" s="41"/>
      <c r="L1062" s="41"/>
    </row>
    <row r="1063" spans="5:12" s="39" customFormat="1" x14ac:dyDescent="0.3">
      <c r="E1063" s="41"/>
      <c r="F1063" s="41"/>
      <c r="G1063" s="41"/>
      <c r="H1063" s="41"/>
      <c r="I1063" s="41"/>
      <c r="J1063" s="41"/>
      <c r="K1063" s="41"/>
      <c r="L1063" s="41"/>
    </row>
    <row r="1064" spans="5:12" s="39" customFormat="1" x14ac:dyDescent="0.3">
      <c r="E1064" s="41"/>
      <c r="F1064" s="41"/>
      <c r="G1064" s="41"/>
      <c r="H1064" s="41"/>
      <c r="I1064" s="41"/>
      <c r="J1064" s="41"/>
      <c r="K1064" s="41"/>
      <c r="L1064" s="41"/>
    </row>
    <row r="1065" spans="5:12" s="39" customFormat="1" x14ac:dyDescent="0.3">
      <c r="E1065" s="41"/>
      <c r="F1065" s="41"/>
      <c r="G1065" s="41"/>
      <c r="H1065" s="41"/>
      <c r="I1065" s="41"/>
      <c r="J1065" s="41"/>
      <c r="K1065" s="41"/>
      <c r="L1065" s="41"/>
    </row>
    <row r="1066" spans="5:12" s="39" customFormat="1" x14ac:dyDescent="0.3">
      <c r="E1066" s="41"/>
      <c r="F1066" s="41"/>
      <c r="G1066" s="41"/>
      <c r="H1066" s="41"/>
      <c r="I1066" s="41"/>
      <c r="J1066" s="41"/>
      <c r="K1066" s="41"/>
      <c r="L1066" s="41"/>
    </row>
    <row r="1067" spans="5:12" s="39" customFormat="1" x14ac:dyDescent="0.3">
      <c r="E1067" s="41"/>
      <c r="F1067" s="41"/>
      <c r="G1067" s="41"/>
      <c r="H1067" s="41"/>
      <c r="I1067" s="41"/>
      <c r="J1067" s="41"/>
      <c r="K1067" s="41"/>
      <c r="L1067" s="41"/>
    </row>
    <row r="1068" spans="5:12" s="39" customFormat="1" x14ac:dyDescent="0.3">
      <c r="E1068" s="41"/>
      <c r="F1068" s="41"/>
      <c r="G1068" s="41"/>
      <c r="H1068" s="41"/>
      <c r="I1068" s="41"/>
      <c r="J1068" s="41"/>
      <c r="K1068" s="41"/>
      <c r="L1068" s="41"/>
    </row>
    <row r="1069" spans="5:12" s="39" customFormat="1" x14ac:dyDescent="0.3">
      <c r="E1069" s="41"/>
      <c r="F1069" s="41"/>
      <c r="G1069" s="41"/>
      <c r="H1069" s="41"/>
      <c r="I1069" s="41"/>
      <c r="J1069" s="41"/>
      <c r="K1069" s="41"/>
      <c r="L1069" s="41"/>
    </row>
    <row r="1070" spans="5:12" s="39" customFormat="1" x14ac:dyDescent="0.3">
      <c r="E1070" s="41"/>
      <c r="F1070" s="41"/>
      <c r="G1070" s="41"/>
      <c r="H1070" s="41"/>
      <c r="I1070" s="41"/>
      <c r="J1070" s="41"/>
      <c r="K1070" s="41"/>
      <c r="L1070" s="41"/>
    </row>
    <row r="1071" spans="5:12" s="39" customFormat="1" x14ac:dyDescent="0.3">
      <c r="E1071" s="41"/>
      <c r="F1071" s="41"/>
      <c r="G1071" s="41"/>
      <c r="H1071" s="41"/>
      <c r="I1071" s="41"/>
      <c r="J1071" s="41"/>
      <c r="K1071" s="41"/>
      <c r="L1071" s="41"/>
    </row>
    <row r="1072" spans="5:12" s="39" customFormat="1" x14ac:dyDescent="0.3">
      <c r="E1072" s="41"/>
      <c r="F1072" s="41"/>
      <c r="G1072" s="41"/>
      <c r="H1072" s="41"/>
      <c r="I1072" s="41"/>
      <c r="J1072" s="41"/>
      <c r="K1072" s="41"/>
      <c r="L1072" s="41"/>
    </row>
    <row r="1073" spans="5:12" s="39" customFormat="1" x14ac:dyDescent="0.3">
      <c r="E1073" s="41"/>
      <c r="F1073" s="41"/>
      <c r="G1073" s="41"/>
      <c r="H1073" s="41"/>
      <c r="I1073" s="41"/>
      <c r="J1073" s="41"/>
      <c r="K1073" s="41"/>
      <c r="L1073" s="41"/>
    </row>
    <row r="1074" spans="5:12" s="39" customFormat="1" x14ac:dyDescent="0.3">
      <c r="E1074" s="41"/>
      <c r="F1074" s="41"/>
      <c r="G1074" s="41"/>
      <c r="H1074" s="41"/>
      <c r="I1074" s="41"/>
      <c r="J1074" s="41"/>
      <c r="K1074" s="41"/>
      <c r="L1074" s="41"/>
    </row>
    <row r="1075" spans="5:12" s="39" customFormat="1" x14ac:dyDescent="0.3">
      <c r="E1075" s="41"/>
      <c r="F1075" s="41"/>
      <c r="G1075" s="41"/>
      <c r="H1075" s="41"/>
      <c r="I1075" s="41"/>
      <c r="J1075" s="41"/>
      <c r="K1075" s="41"/>
      <c r="L1075" s="41"/>
    </row>
    <row r="1076" spans="5:12" s="39" customFormat="1" x14ac:dyDescent="0.3">
      <c r="E1076" s="41"/>
      <c r="F1076" s="41"/>
      <c r="G1076" s="41"/>
      <c r="H1076" s="41"/>
      <c r="I1076" s="41"/>
      <c r="J1076" s="41"/>
      <c r="K1076" s="41"/>
      <c r="L1076" s="41"/>
    </row>
    <row r="1077" spans="5:12" s="39" customFormat="1" x14ac:dyDescent="0.3">
      <c r="E1077" s="41"/>
      <c r="F1077" s="41"/>
      <c r="G1077" s="41"/>
      <c r="H1077" s="41"/>
      <c r="I1077" s="41"/>
      <c r="J1077" s="41"/>
      <c r="K1077" s="41"/>
      <c r="L1077" s="41"/>
    </row>
    <row r="1078" spans="5:12" s="39" customFormat="1" x14ac:dyDescent="0.3">
      <c r="E1078" s="41"/>
      <c r="F1078" s="41"/>
      <c r="G1078" s="41"/>
      <c r="H1078" s="41"/>
      <c r="I1078" s="41"/>
      <c r="J1078" s="41"/>
      <c r="K1078" s="41"/>
      <c r="L1078" s="41"/>
    </row>
    <row r="1079" spans="5:12" s="39" customFormat="1" x14ac:dyDescent="0.3">
      <c r="E1079" s="41"/>
      <c r="F1079" s="41"/>
      <c r="G1079" s="41"/>
      <c r="H1079" s="41"/>
      <c r="I1079" s="41"/>
      <c r="J1079" s="41"/>
      <c r="K1079" s="41"/>
      <c r="L1079" s="41"/>
    </row>
    <row r="1080" spans="5:12" s="39" customFormat="1" x14ac:dyDescent="0.3">
      <c r="E1080" s="41"/>
      <c r="F1080" s="41"/>
      <c r="G1080" s="41"/>
      <c r="H1080" s="41"/>
      <c r="I1080" s="41"/>
      <c r="J1080" s="41"/>
      <c r="K1080" s="41"/>
      <c r="L1080" s="41"/>
    </row>
    <row r="1081" spans="5:12" s="39" customFormat="1" x14ac:dyDescent="0.3">
      <c r="E1081" s="41"/>
      <c r="F1081" s="41"/>
      <c r="G1081" s="41"/>
      <c r="H1081" s="41"/>
      <c r="I1081" s="41"/>
      <c r="J1081" s="41"/>
      <c r="K1081" s="41"/>
      <c r="L1081" s="41"/>
    </row>
    <row r="1082" spans="5:12" s="39" customFormat="1" x14ac:dyDescent="0.3">
      <c r="E1082" s="41"/>
      <c r="F1082" s="41"/>
      <c r="G1082" s="41"/>
      <c r="H1082" s="41"/>
      <c r="I1082" s="41"/>
      <c r="J1082" s="41"/>
      <c r="K1082" s="41"/>
      <c r="L1082" s="41"/>
    </row>
    <row r="1083" spans="5:12" s="39" customFormat="1" x14ac:dyDescent="0.3">
      <c r="E1083" s="41"/>
      <c r="F1083" s="41"/>
      <c r="G1083" s="41"/>
      <c r="H1083" s="41"/>
      <c r="I1083" s="41"/>
      <c r="J1083" s="41"/>
      <c r="K1083" s="41"/>
      <c r="L1083" s="41"/>
    </row>
    <row r="1084" spans="5:12" s="39" customFormat="1" x14ac:dyDescent="0.3">
      <c r="E1084" s="41"/>
      <c r="F1084" s="41"/>
      <c r="G1084" s="41"/>
      <c r="H1084" s="41"/>
      <c r="I1084" s="41"/>
      <c r="J1084" s="41"/>
      <c r="K1084" s="41"/>
      <c r="L1084" s="41"/>
    </row>
    <row r="1085" spans="5:12" s="39" customFormat="1" x14ac:dyDescent="0.3">
      <c r="E1085" s="41"/>
      <c r="F1085" s="41"/>
      <c r="G1085" s="41"/>
      <c r="H1085" s="41"/>
      <c r="I1085" s="41"/>
      <c r="J1085" s="41"/>
      <c r="K1085" s="41"/>
      <c r="L1085" s="41"/>
    </row>
    <row r="1086" spans="5:12" s="39" customFormat="1" x14ac:dyDescent="0.3">
      <c r="E1086" s="41"/>
      <c r="F1086" s="41"/>
      <c r="G1086" s="41"/>
      <c r="H1086" s="41"/>
      <c r="I1086" s="41"/>
      <c r="J1086" s="41"/>
      <c r="K1086" s="41"/>
      <c r="L1086" s="41"/>
    </row>
    <row r="1087" spans="5:12" s="39" customFormat="1" x14ac:dyDescent="0.3">
      <c r="E1087" s="41"/>
      <c r="F1087" s="41"/>
      <c r="G1087" s="41"/>
      <c r="H1087" s="41"/>
      <c r="I1087" s="41"/>
      <c r="J1087" s="41"/>
      <c r="K1087" s="41"/>
      <c r="L1087" s="41"/>
    </row>
    <row r="1088" spans="5:12" s="39" customFormat="1" x14ac:dyDescent="0.3">
      <c r="E1088" s="41"/>
      <c r="F1088" s="41"/>
      <c r="G1088" s="41"/>
      <c r="H1088" s="41"/>
      <c r="I1088" s="41"/>
      <c r="J1088" s="41"/>
      <c r="K1088" s="41"/>
      <c r="L1088" s="41"/>
    </row>
    <row r="1089" spans="5:12" s="39" customFormat="1" x14ac:dyDescent="0.3">
      <c r="E1089" s="41"/>
      <c r="F1089" s="41"/>
      <c r="G1089" s="41"/>
      <c r="H1089" s="41"/>
      <c r="I1089" s="41"/>
      <c r="J1089" s="41"/>
      <c r="K1089" s="41"/>
      <c r="L1089" s="41"/>
    </row>
    <row r="1090" spans="5:12" s="39" customFormat="1" x14ac:dyDescent="0.3">
      <c r="E1090" s="41"/>
      <c r="F1090" s="41"/>
      <c r="G1090" s="41"/>
      <c r="H1090" s="41"/>
      <c r="I1090" s="41"/>
      <c r="J1090" s="41"/>
      <c r="K1090" s="41"/>
      <c r="L1090" s="41"/>
    </row>
    <row r="1091" spans="5:12" s="39" customFormat="1" x14ac:dyDescent="0.3">
      <c r="E1091" s="41"/>
      <c r="F1091" s="41"/>
      <c r="G1091" s="41"/>
      <c r="H1091" s="41"/>
      <c r="I1091" s="41"/>
      <c r="J1091" s="41"/>
      <c r="K1091" s="41"/>
      <c r="L1091" s="41"/>
    </row>
    <row r="1092" spans="5:12" s="39" customFormat="1" x14ac:dyDescent="0.3">
      <c r="E1092" s="41"/>
      <c r="F1092" s="41"/>
      <c r="G1092" s="41"/>
      <c r="H1092" s="41"/>
      <c r="I1092" s="41"/>
      <c r="J1092" s="41"/>
      <c r="K1092" s="41"/>
      <c r="L1092" s="41"/>
    </row>
    <row r="1093" spans="5:12" s="39" customFormat="1" x14ac:dyDescent="0.3">
      <c r="E1093" s="41"/>
      <c r="F1093" s="41"/>
      <c r="G1093" s="41"/>
      <c r="H1093" s="41"/>
      <c r="I1093" s="41"/>
      <c r="J1093" s="41"/>
      <c r="K1093" s="41"/>
      <c r="L1093" s="41"/>
    </row>
    <row r="1094" spans="5:12" s="39" customFormat="1" x14ac:dyDescent="0.3">
      <c r="E1094" s="41"/>
      <c r="F1094" s="41"/>
      <c r="G1094" s="41"/>
      <c r="H1094" s="41"/>
      <c r="I1094" s="41"/>
      <c r="J1094" s="41"/>
      <c r="K1094" s="41"/>
      <c r="L1094" s="41"/>
    </row>
    <row r="1095" spans="5:12" s="39" customFormat="1" x14ac:dyDescent="0.3">
      <c r="E1095" s="41"/>
      <c r="F1095" s="41"/>
      <c r="G1095" s="41"/>
      <c r="H1095" s="41"/>
      <c r="I1095" s="41"/>
      <c r="J1095" s="41"/>
      <c r="K1095" s="41"/>
      <c r="L1095" s="41"/>
    </row>
    <row r="1096" spans="5:12" s="39" customFormat="1" x14ac:dyDescent="0.3">
      <c r="E1096" s="41"/>
      <c r="F1096" s="41"/>
      <c r="G1096" s="41"/>
      <c r="H1096" s="41"/>
      <c r="I1096" s="41"/>
      <c r="J1096" s="41"/>
      <c r="K1096" s="41"/>
      <c r="L1096" s="41"/>
    </row>
    <row r="1097" spans="5:12" s="39" customFormat="1" x14ac:dyDescent="0.3">
      <c r="E1097" s="41"/>
      <c r="F1097" s="41"/>
      <c r="G1097" s="41"/>
      <c r="H1097" s="41"/>
      <c r="I1097" s="41"/>
      <c r="J1097" s="41"/>
      <c r="K1097" s="41"/>
      <c r="L1097" s="41"/>
    </row>
    <row r="1098" spans="5:12" s="39" customFormat="1" x14ac:dyDescent="0.3">
      <c r="E1098" s="41"/>
      <c r="F1098" s="41"/>
      <c r="G1098" s="41"/>
      <c r="H1098" s="41"/>
      <c r="I1098" s="41"/>
      <c r="J1098" s="41"/>
      <c r="K1098" s="41"/>
      <c r="L1098" s="41"/>
    </row>
    <row r="1099" spans="5:12" s="39" customFormat="1" x14ac:dyDescent="0.3">
      <c r="E1099" s="41"/>
      <c r="F1099" s="41"/>
      <c r="G1099" s="41"/>
      <c r="H1099" s="41"/>
      <c r="I1099" s="41"/>
      <c r="J1099" s="41"/>
      <c r="K1099" s="41"/>
      <c r="L1099" s="41"/>
    </row>
    <row r="1100" spans="5:12" s="39" customFormat="1" x14ac:dyDescent="0.3">
      <c r="E1100" s="41"/>
      <c r="F1100" s="41"/>
      <c r="G1100" s="41"/>
      <c r="H1100" s="41"/>
      <c r="I1100" s="41"/>
      <c r="J1100" s="41"/>
      <c r="K1100" s="41"/>
      <c r="L1100" s="41"/>
    </row>
    <row r="1101" spans="5:12" s="39" customFormat="1" x14ac:dyDescent="0.3">
      <c r="E1101" s="41"/>
      <c r="F1101" s="41"/>
      <c r="G1101" s="41"/>
      <c r="H1101" s="41"/>
      <c r="I1101" s="41"/>
      <c r="J1101" s="41"/>
      <c r="K1101" s="41"/>
      <c r="L1101" s="41"/>
    </row>
    <row r="1102" spans="5:12" s="39" customFormat="1" x14ac:dyDescent="0.3">
      <c r="E1102" s="41"/>
      <c r="F1102" s="41"/>
      <c r="G1102" s="41"/>
      <c r="H1102" s="41"/>
      <c r="I1102" s="41"/>
      <c r="J1102" s="41"/>
      <c r="K1102" s="41"/>
      <c r="L1102" s="41"/>
    </row>
    <row r="1103" spans="5:12" s="39" customFormat="1" x14ac:dyDescent="0.3">
      <c r="E1103" s="41"/>
      <c r="F1103" s="41"/>
      <c r="G1103" s="41"/>
      <c r="H1103" s="41"/>
      <c r="I1103" s="41"/>
      <c r="J1103" s="41"/>
      <c r="K1103" s="41"/>
      <c r="L1103" s="41"/>
    </row>
    <row r="1104" spans="5:12" s="39" customFormat="1" x14ac:dyDescent="0.3">
      <c r="E1104" s="41"/>
      <c r="F1104" s="41"/>
      <c r="G1104" s="41"/>
      <c r="H1104" s="41"/>
      <c r="I1104" s="41"/>
      <c r="J1104" s="41"/>
      <c r="K1104" s="41"/>
      <c r="L1104" s="41"/>
    </row>
    <row r="1105" spans="5:12" s="39" customFormat="1" x14ac:dyDescent="0.3">
      <c r="E1105" s="41"/>
      <c r="F1105" s="41"/>
      <c r="G1105" s="41"/>
      <c r="H1105" s="41"/>
      <c r="I1105" s="41"/>
      <c r="J1105" s="41"/>
      <c r="K1105" s="41"/>
      <c r="L1105" s="41"/>
    </row>
    <row r="1106" spans="5:12" s="39" customFormat="1" x14ac:dyDescent="0.3">
      <c r="E1106" s="41"/>
      <c r="F1106" s="41"/>
      <c r="G1106" s="41"/>
      <c r="H1106" s="41"/>
      <c r="I1106" s="41"/>
      <c r="J1106" s="41"/>
      <c r="K1106" s="41"/>
      <c r="L1106" s="41"/>
    </row>
    <row r="1107" spans="5:12" s="39" customFormat="1" x14ac:dyDescent="0.3">
      <c r="E1107" s="41"/>
      <c r="F1107" s="41"/>
      <c r="G1107" s="41"/>
      <c r="H1107" s="41"/>
      <c r="I1107" s="41"/>
      <c r="J1107" s="41"/>
      <c r="K1107" s="41"/>
      <c r="L1107" s="41"/>
    </row>
    <row r="1108" spans="5:12" s="39" customFormat="1" x14ac:dyDescent="0.3">
      <c r="E1108" s="41"/>
      <c r="F1108" s="41"/>
      <c r="G1108" s="41"/>
      <c r="H1108" s="41"/>
      <c r="I1108" s="41"/>
      <c r="J1108" s="41"/>
      <c r="K1108" s="41"/>
      <c r="L1108" s="41"/>
    </row>
    <row r="1109" spans="5:12" s="39" customFormat="1" x14ac:dyDescent="0.3">
      <c r="E1109" s="41"/>
      <c r="F1109" s="41"/>
      <c r="G1109" s="41"/>
      <c r="H1109" s="41"/>
      <c r="I1109" s="41"/>
      <c r="J1109" s="41"/>
      <c r="K1109" s="41"/>
      <c r="L1109" s="41"/>
    </row>
    <row r="1110" spans="5:12" s="39" customFormat="1" x14ac:dyDescent="0.3">
      <c r="E1110" s="41"/>
      <c r="F1110" s="41"/>
      <c r="G1110" s="41"/>
      <c r="H1110" s="41"/>
      <c r="I1110" s="41"/>
      <c r="J1110" s="41"/>
      <c r="K1110" s="41"/>
      <c r="L1110" s="41"/>
    </row>
    <row r="1111" spans="5:12" s="39" customFormat="1" x14ac:dyDescent="0.3">
      <c r="E1111" s="41"/>
      <c r="F1111" s="41"/>
      <c r="G1111" s="41"/>
      <c r="H1111" s="41"/>
      <c r="I1111" s="41"/>
      <c r="J1111" s="41"/>
      <c r="K1111" s="41"/>
      <c r="L1111" s="41"/>
    </row>
    <row r="1112" spans="5:12" s="39" customFormat="1" x14ac:dyDescent="0.3">
      <c r="E1112" s="41"/>
      <c r="F1112" s="41"/>
      <c r="G1112" s="41"/>
      <c r="H1112" s="41"/>
      <c r="I1112" s="41"/>
      <c r="J1112" s="41"/>
      <c r="K1112" s="41"/>
      <c r="L1112" s="41"/>
    </row>
    <row r="1113" spans="5:12" s="39" customFormat="1" x14ac:dyDescent="0.3">
      <c r="E1113" s="41"/>
      <c r="F1113" s="41"/>
      <c r="G1113" s="41"/>
      <c r="H1113" s="41"/>
      <c r="I1113" s="41"/>
      <c r="J1113" s="41"/>
      <c r="K1113" s="41"/>
      <c r="L1113" s="41"/>
    </row>
    <row r="1114" spans="5:12" s="39" customFormat="1" x14ac:dyDescent="0.3">
      <c r="E1114" s="41"/>
      <c r="F1114" s="41"/>
      <c r="G1114" s="41"/>
      <c r="H1114" s="41"/>
      <c r="I1114" s="41"/>
      <c r="J1114" s="41"/>
      <c r="K1114" s="41"/>
      <c r="L1114" s="41"/>
    </row>
    <row r="1115" spans="5:12" s="39" customFormat="1" x14ac:dyDescent="0.3">
      <c r="E1115" s="41"/>
      <c r="F1115" s="41"/>
      <c r="G1115" s="41"/>
      <c r="H1115" s="41"/>
      <c r="I1115" s="41"/>
      <c r="J1115" s="41"/>
      <c r="K1115" s="41"/>
      <c r="L1115" s="41"/>
    </row>
    <row r="1116" spans="5:12" s="39" customFormat="1" x14ac:dyDescent="0.3">
      <c r="E1116" s="41"/>
      <c r="F1116" s="41"/>
      <c r="G1116" s="41"/>
      <c r="H1116" s="41"/>
      <c r="I1116" s="41"/>
      <c r="J1116" s="41"/>
      <c r="K1116" s="41"/>
      <c r="L1116" s="41"/>
    </row>
    <row r="1117" spans="5:12" s="39" customFormat="1" x14ac:dyDescent="0.3">
      <c r="E1117" s="41"/>
      <c r="F1117" s="41"/>
      <c r="G1117" s="41"/>
      <c r="H1117" s="41"/>
      <c r="I1117" s="41"/>
      <c r="J1117" s="41"/>
      <c r="K1117" s="41"/>
      <c r="L1117" s="41"/>
    </row>
    <row r="1118" spans="5:12" s="39" customFormat="1" x14ac:dyDescent="0.3">
      <c r="E1118" s="41"/>
      <c r="F1118" s="41"/>
      <c r="G1118" s="41"/>
      <c r="H1118" s="41"/>
      <c r="I1118" s="41"/>
      <c r="J1118" s="41"/>
      <c r="K1118" s="41"/>
      <c r="L1118" s="41"/>
    </row>
    <row r="1119" spans="5:12" s="39" customFormat="1" x14ac:dyDescent="0.3">
      <c r="E1119" s="41"/>
      <c r="F1119" s="41"/>
      <c r="G1119" s="41"/>
      <c r="H1119" s="41"/>
      <c r="I1119" s="41"/>
      <c r="J1119" s="41"/>
      <c r="K1119" s="41"/>
      <c r="L1119" s="41"/>
    </row>
    <row r="1120" spans="5:12" s="39" customFormat="1" x14ac:dyDescent="0.3">
      <c r="E1120" s="41"/>
      <c r="F1120" s="41"/>
      <c r="G1120" s="41"/>
      <c r="H1120" s="41"/>
      <c r="I1120" s="41"/>
      <c r="J1120" s="41"/>
      <c r="K1120" s="41"/>
      <c r="L1120" s="41"/>
    </row>
    <row r="1121" spans="5:12" s="39" customFormat="1" x14ac:dyDescent="0.3">
      <c r="E1121" s="41"/>
      <c r="F1121" s="41"/>
      <c r="G1121" s="41"/>
      <c r="H1121" s="41"/>
      <c r="I1121" s="41"/>
      <c r="J1121" s="41"/>
      <c r="K1121" s="41"/>
      <c r="L1121" s="41"/>
    </row>
    <row r="1122" spans="5:12" s="39" customFormat="1" x14ac:dyDescent="0.3">
      <c r="E1122" s="41"/>
      <c r="F1122" s="41"/>
      <c r="G1122" s="41"/>
      <c r="H1122" s="41"/>
      <c r="I1122" s="41"/>
      <c r="J1122" s="41"/>
      <c r="K1122" s="41"/>
      <c r="L1122" s="41"/>
    </row>
    <row r="1123" spans="5:12" s="39" customFormat="1" x14ac:dyDescent="0.3">
      <c r="E1123" s="41"/>
      <c r="F1123" s="41"/>
      <c r="G1123" s="41"/>
      <c r="H1123" s="41"/>
      <c r="I1123" s="41"/>
      <c r="J1123" s="41"/>
      <c r="K1123" s="41"/>
      <c r="L1123" s="41"/>
    </row>
    <row r="1124" spans="5:12" s="39" customFormat="1" x14ac:dyDescent="0.3">
      <c r="E1124" s="41"/>
      <c r="F1124" s="41"/>
      <c r="G1124" s="41"/>
      <c r="H1124" s="41"/>
      <c r="I1124" s="41"/>
      <c r="J1124" s="41"/>
      <c r="K1124" s="41"/>
      <c r="L1124" s="41"/>
    </row>
    <row r="1125" spans="5:12" s="39" customFormat="1" x14ac:dyDescent="0.3">
      <c r="E1125" s="41"/>
      <c r="F1125" s="41"/>
      <c r="G1125" s="41"/>
      <c r="H1125" s="41"/>
      <c r="I1125" s="41"/>
      <c r="J1125" s="41"/>
      <c r="K1125" s="41"/>
      <c r="L1125" s="41"/>
    </row>
    <row r="1126" spans="5:12" s="39" customFormat="1" x14ac:dyDescent="0.3">
      <c r="E1126" s="41"/>
      <c r="F1126" s="41"/>
      <c r="G1126" s="41"/>
      <c r="H1126" s="41"/>
      <c r="I1126" s="41"/>
      <c r="J1126" s="41"/>
      <c r="K1126" s="41"/>
      <c r="L1126" s="41"/>
    </row>
    <row r="1127" spans="5:12" s="39" customFormat="1" x14ac:dyDescent="0.3">
      <c r="E1127" s="41"/>
      <c r="F1127" s="41"/>
      <c r="G1127" s="41"/>
      <c r="H1127" s="41"/>
      <c r="I1127" s="41"/>
      <c r="J1127" s="41"/>
      <c r="K1127" s="41"/>
      <c r="L1127" s="41"/>
    </row>
    <row r="1128" spans="5:12" s="39" customFormat="1" x14ac:dyDescent="0.3">
      <c r="E1128" s="41"/>
      <c r="F1128" s="41"/>
      <c r="G1128" s="41"/>
      <c r="H1128" s="41"/>
      <c r="I1128" s="41"/>
      <c r="J1128" s="41"/>
      <c r="K1128" s="41"/>
      <c r="L1128" s="41"/>
    </row>
    <row r="1129" spans="5:12" s="39" customFormat="1" x14ac:dyDescent="0.3">
      <c r="E1129" s="41"/>
      <c r="F1129" s="41"/>
      <c r="G1129" s="41"/>
      <c r="H1129" s="41"/>
      <c r="I1129" s="41"/>
      <c r="J1129" s="41"/>
      <c r="K1129" s="41"/>
      <c r="L1129" s="41"/>
    </row>
    <row r="1130" spans="5:12" s="39" customFormat="1" x14ac:dyDescent="0.3">
      <c r="E1130" s="41"/>
      <c r="F1130" s="41"/>
      <c r="G1130" s="41"/>
      <c r="H1130" s="41"/>
      <c r="I1130" s="41"/>
      <c r="J1130" s="41"/>
      <c r="K1130" s="41"/>
      <c r="L1130" s="41"/>
    </row>
    <row r="1131" spans="5:12" s="39" customFormat="1" x14ac:dyDescent="0.3">
      <c r="E1131" s="41"/>
      <c r="F1131" s="41"/>
      <c r="G1131" s="41"/>
      <c r="H1131" s="41"/>
      <c r="I1131" s="41"/>
      <c r="J1131" s="41"/>
      <c r="K1131" s="41"/>
      <c r="L1131" s="41"/>
    </row>
    <row r="1132" spans="5:12" s="39" customFormat="1" x14ac:dyDescent="0.3">
      <c r="E1132" s="41"/>
      <c r="F1132" s="41"/>
      <c r="G1132" s="41"/>
      <c r="H1132" s="41"/>
      <c r="I1132" s="41"/>
      <c r="J1132" s="41"/>
      <c r="K1132" s="41"/>
      <c r="L1132" s="41"/>
    </row>
    <row r="1133" spans="5:12" s="39" customFormat="1" x14ac:dyDescent="0.3">
      <c r="E1133" s="41"/>
      <c r="F1133" s="41"/>
      <c r="G1133" s="41"/>
      <c r="H1133" s="41"/>
      <c r="I1133" s="41"/>
      <c r="J1133" s="41"/>
      <c r="K1133" s="41"/>
      <c r="L1133" s="41"/>
    </row>
    <row r="1134" spans="5:12" s="39" customFormat="1" x14ac:dyDescent="0.3">
      <c r="E1134" s="41"/>
      <c r="F1134" s="41"/>
      <c r="G1134" s="41"/>
      <c r="H1134" s="41"/>
      <c r="I1134" s="41"/>
      <c r="J1134" s="41"/>
      <c r="K1134" s="41"/>
      <c r="L1134" s="41"/>
    </row>
    <row r="1135" spans="5:12" s="39" customFormat="1" x14ac:dyDescent="0.3">
      <c r="E1135" s="41"/>
      <c r="F1135" s="41"/>
      <c r="G1135" s="41"/>
      <c r="H1135" s="41"/>
      <c r="I1135" s="41"/>
      <c r="J1135" s="41"/>
      <c r="K1135" s="41"/>
      <c r="L1135" s="41"/>
    </row>
    <row r="1136" spans="5:12" s="39" customFormat="1" x14ac:dyDescent="0.3">
      <c r="E1136" s="41"/>
      <c r="F1136" s="41"/>
      <c r="G1136" s="41"/>
      <c r="H1136" s="41"/>
      <c r="I1136" s="41"/>
      <c r="J1136" s="41"/>
      <c r="K1136" s="41"/>
      <c r="L1136" s="41"/>
    </row>
    <row r="1137" spans="5:12" s="39" customFormat="1" x14ac:dyDescent="0.3">
      <c r="E1137" s="41"/>
      <c r="F1137" s="41"/>
      <c r="G1137" s="41"/>
      <c r="H1137" s="41"/>
      <c r="I1137" s="41"/>
      <c r="J1137" s="41"/>
      <c r="K1137" s="41"/>
      <c r="L1137" s="41"/>
    </row>
    <row r="1138" spans="5:12" s="39" customFormat="1" x14ac:dyDescent="0.3">
      <c r="E1138" s="41"/>
      <c r="F1138" s="41"/>
      <c r="G1138" s="41"/>
      <c r="H1138" s="41"/>
      <c r="I1138" s="41"/>
      <c r="J1138" s="41"/>
      <c r="K1138" s="41"/>
      <c r="L1138" s="41"/>
    </row>
    <row r="1139" spans="5:12" s="39" customFormat="1" x14ac:dyDescent="0.3">
      <c r="E1139" s="41"/>
      <c r="F1139" s="41"/>
      <c r="G1139" s="41"/>
      <c r="H1139" s="41"/>
      <c r="I1139" s="41"/>
      <c r="J1139" s="41"/>
      <c r="K1139" s="41"/>
      <c r="L1139" s="41"/>
    </row>
    <row r="1140" spans="5:12" s="39" customFormat="1" x14ac:dyDescent="0.3">
      <c r="E1140" s="41"/>
      <c r="F1140" s="41"/>
      <c r="G1140" s="41"/>
      <c r="H1140" s="41"/>
      <c r="I1140" s="41"/>
      <c r="J1140" s="41"/>
      <c r="K1140" s="41"/>
      <c r="L1140" s="41"/>
    </row>
    <row r="1141" spans="5:12" s="39" customFormat="1" x14ac:dyDescent="0.3">
      <c r="E1141" s="41"/>
      <c r="F1141" s="41"/>
      <c r="G1141" s="41"/>
      <c r="H1141" s="41"/>
      <c r="I1141" s="41"/>
      <c r="J1141" s="41"/>
      <c r="K1141" s="41"/>
      <c r="L1141" s="41"/>
    </row>
    <row r="1142" spans="5:12" s="39" customFormat="1" x14ac:dyDescent="0.3">
      <c r="E1142" s="41"/>
      <c r="F1142" s="41"/>
      <c r="G1142" s="41"/>
      <c r="H1142" s="41"/>
      <c r="I1142" s="41"/>
      <c r="J1142" s="41"/>
      <c r="K1142" s="41"/>
      <c r="L1142" s="41"/>
    </row>
    <row r="1143" spans="5:12" s="39" customFormat="1" x14ac:dyDescent="0.3">
      <c r="E1143" s="41"/>
      <c r="F1143" s="41"/>
      <c r="G1143" s="41"/>
      <c r="H1143" s="41"/>
      <c r="I1143" s="41"/>
      <c r="J1143" s="41"/>
      <c r="K1143" s="41"/>
      <c r="L1143" s="41"/>
    </row>
    <row r="1144" spans="5:12" s="39" customFormat="1" x14ac:dyDescent="0.3">
      <c r="E1144" s="41"/>
      <c r="F1144" s="41"/>
      <c r="G1144" s="41"/>
      <c r="H1144" s="41"/>
      <c r="I1144" s="41"/>
      <c r="J1144" s="41"/>
      <c r="K1144" s="41"/>
      <c r="L1144" s="41"/>
    </row>
    <row r="1145" spans="5:12" s="39" customFormat="1" x14ac:dyDescent="0.3">
      <c r="E1145" s="41"/>
      <c r="F1145" s="41"/>
      <c r="G1145" s="41"/>
      <c r="H1145" s="41"/>
      <c r="I1145" s="41"/>
      <c r="J1145" s="41"/>
      <c r="K1145" s="41"/>
      <c r="L1145" s="41"/>
    </row>
    <row r="1146" spans="5:12" s="39" customFormat="1" x14ac:dyDescent="0.3">
      <c r="E1146" s="41"/>
      <c r="F1146" s="41"/>
      <c r="G1146" s="41"/>
      <c r="H1146" s="41"/>
      <c r="I1146" s="41"/>
      <c r="J1146" s="41"/>
      <c r="K1146" s="41"/>
      <c r="L1146" s="41"/>
    </row>
    <row r="1147" spans="5:12" s="39" customFormat="1" x14ac:dyDescent="0.3">
      <c r="E1147" s="41"/>
      <c r="F1147" s="41"/>
      <c r="G1147" s="41"/>
      <c r="H1147" s="41"/>
      <c r="I1147" s="41"/>
      <c r="J1147" s="41"/>
      <c r="K1147" s="41"/>
      <c r="L1147" s="41"/>
    </row>
    <row r="1148" spans="5:12" s="39" customFormat="1" x14ac:dyDescent="0.3">
      <c r="E1148" s="41"/>
      <c r="F1148" s="41"/>
      <c r="G1148" s="41"/>
      <c r="H1148" s="41"/>
      <c r="I1148" s="41"/>
      <c r="J1148" s="41"/>
      <c r="K1148" s="41"/>
      <c r="L1148" s="41"/>
    </row>
    <row r="1149" spans="5:12" s="39" customFormat="1" x14ac:dyDescent="0.3">
      <c r="E1149" s="41"/>
      <c r="F1149" s="41"/>
      <c r="G1149" s="41"/>
      <c r="H1149" s="41"/>
      <c r="I1149" s="41"/>
      <c r="J1149" s="41"/>
      <c r="K1149" s="41"/>
      <c r="L1149" s="41"/>
    </row>
    <row r="1150" spans="5:12" s="39" customFormat="1" x14ac:dyDescent="0.3">
      <c r="E1150" s="41"/>
      <c r="F1150" s="41"/>
      <c r="G1150" s="41"/>
      <c r="H1150" s="41"/>
      <c r="I1150" s="41"/>
      <c r="J1150" s="41"/>
      <c r="K1150" s="41"/>
      <c r="L1150" s="41"/>
    </row>
    <row r="1151" spans="5:12" s="39" customFormat="1" x14ac:dyDescent="0.3">
      <c r="E1151" s="41"/>
      <c r="F1151" s="41"/>
      <c r="G1151" s="41"/>
      <c r="H1151" s="41"/>
      <c r="I1151" s="41"/>
      <c r="J1151" s="41"/>
      <c r="K1151" s="41"/>
      <c r="L1151" s="41"/>
    </row>
    <row r="1152" spans="5:12" s="39" customFormat="1" x14ac:dyDescent="0.3">
      <c r="E1152" s="41"/>
      <c r="F1152" s="41"/>
      <c r="G1152" s="41"/>
      <c r="H1152" s="41"/>
      <c r="I1152" s="41"/>
      <c r="J1152" s="41"/>
      <c r="K1152" s="41"/>
      <c r="L1152" s="41"/>
    </row>
    <row r="1153" spans="5:12" s="39" customFormat="1" x14ac:dyDescent="0.3">
      <c r="E1153" s="41"/>
      <c r="F1153" s="41"/>
      <c r="G1153" s="41"/>
      <c r="H1153" s="41"/>
      <c r="I1153" s="41"/>
      <c r="J1153" s="41"/>
      <c r="K1153" s="41"/>
      <c r="L1153" s="41"/>
    </row>
    <row r="1154" spans="5:12" s="39" customFormat="1" x14ac:dyDescent="0.3">
      <c r="E1154" s="41"/>
      <c r="F1154" s="41"/>
      <c r="G1154" s="41"/>
      <c r="H1154" s="41"/>
      <c r="I1154" s="41"/>
      <c r="J1154" s="41"/>
      <c r="K1154" s="41"/>
      <c r="L1154" s="41"/>
    </row>
    <row r="1155" spans="5:12" s="39" customFormat="1" x14ac:dyDescent="0.3">
      <c r="E1155" s="41"/>
      <c r="F1155" s="41"/>
      <c r="G1155" s="41"/>
      <c r="H1155" s="41"/>
      <c r="I1155" s="41"/>
      <c r="J1155" s="41"/>
      <c r="K1155" s="41"/>
      <c r="L1155" s="41"/>
    </row>
    <row r="1156" spans="5:12" s="39" customFormat="1" x14ac:dyDescent="0.3">
      <c r="E1156" s="41"/>
      <c r="F1156" s="41"/>
      <c r="G1156" s="41"/>
      <c r="H1156" s="41"/>
      <c r="I1156" s="41"/>
      <c r="J1156" s="41"/>
      <c r="K1156" s="41"/>
      <c r="L1156" s="41"/>
    </row>
    <row r="1157" spans="5:12" s="39" customFormat="1" x14ac:dyDescent="0.3">
      <c r="E1157" s="41"/>
      <c r="F1157" s="41"/>
      <c r="G1157" s="41"/>
      <c r="H1157" s="41"/>
      <c r="I1157" s="41"/>
      <c r="J1157" s="41"/>
      <c r="K1157" s="41"/>
      <c r="L1157" s="41"/>
    </row>
    <row r="1158" spans="5:12" s="39" customFormat="1" x14ac:dyDescent="0.3">
      <c r="E1158" s="41"/>
      <c r="F1158" s="41"/>
      <c r="G1158" s="41"/>
      <c r="H1158" s="41"/>
      <c r="I1158" s="41"/>
      <c r="J1158" s="41"/>
      <c r="K1158" s="41"/>
      <c r="L1158" s="41"/>
    </row>
    <row r="1159" spans="5:12" s="39" customFormat="1" x14ac:dyDescent="0.3">
      <c r="E1159" s="41"/>
      <c r="F1159" s="41"/>
      <c r="G1159" s="41"/>
      <c r="H1159" s="41"/>
      <c r="I1159" s="41"/>
      <c r="J1159" s="41"/>
      <c r="K1159" s="41"/>
      <c r="L1159" s="41"/>
    </row>
    <row r="1160" spans="5:12" s="39" customFormat="1" x14ac:dyDescent="0.3">
      <c r="E1160" s="41"/>
      <c r="F1160" s="41"/>
      <c r="G1160" s="41"/>
      <c r="H1160" s="41"/>
      <c r="I1160" s="41"/>
      <c r="J1160" s="41"/>
      <c r="K1160" s="41"/>
      <c r="L1160" s="41"/>
    </row>
    <row r="1161" spans="5:12" s="39" customFormat="1" x14ac:dyDescent="0.3">
      <c r="E1161" s="41"/>
      <c r="F1161" s="41"/>
      <c r="G1161" s="41"/>
      <c r="H1161" s="41"/>
      <c r="I1161" s="41"/>
      <c r="J1161" s="41"/>
      <c r="K1161" s="41"/>
      <c r="L1161" s="41"/>
    </row>
    <row r="1162" spans="5:12" s="39" customFormat="1" x14ac:dyDescent="0.3">
      <c r="E1162" s="41"/>
      <c r="F1162" s="41"/>
      <c r="G1162" s="41"/>
      <c r="H1162" s="41"/>
      <c r="I1162" s="41"/>
      <c r="J1162" s="41"/>
      <c r="K1162" s="41"/>
      <c r="L1162" s="41"/>
    </row>
    <row r="1163" spans="5:12" s="39" customFormat="1" x14ac:dyDescent="0.3">
      <c r="E1163" s="41"/>
      <c r="F1163" s="41"/>
      <c r="G1163" s="41"/>
      <c r="H1163" s="41"/>
      <c r="I1163" s="41"/>
      <c r="J1163" s="41"/>
      <c r="K1163" s="41"/>
      <c r="L1163" s="41"/>
    </row>
    <row r="1164" spans="5:12" s="39" customFormat="1" x14ac:dyDescent="0.3">
      <c r="E1164" s="41"/>
      <c r="F1164" s="41"/>
      <c r="G1164" s="41"/>
      <c r="H1164" s="41"/>
      <c r="I1164" s="41"/>
      <c r="J1164" s="41"/>
      <c r="K1164" s="41"/>
      <c r="L1164" s="41"/>
    </row>
    <row r="1165" spans="5:12" s="39" customFormat="1" x14ac:dyDescent="0.3">
      <c r="E1165" s="41"/>
      <c r="F1165" s="41"/>
      <c r="G1165" s="41"/>
      <c r="H1165" s="41"/>
      <c r="I1165" s="41"/>
      <c r="J1165" s="41"/>
      <c r="K1165" s="41"/>
      <c r="L1165" s="41"/>
    </row>
    <row r="1166" spans="5:12" s="39" customFormat="1" x14ac:dyDescent="0.3">
      <c r="E1166" s="41"/>
      <c r="F1166" s="41"/>
      <c r="G1166" s="41"/>
      <c r="H1166" s="41"/>
      <c r="I1166" s="41"/>
      <c r="J1166" s="41"/>
      <c r="K1166" s="41"/>
      <c r="L1166" s="41"/>
    </row>
    <row r="1167" spans="5:12" s="39" customFormat="1" x14ac:dyDescent="0.3">
      <c r="E1167" s="41"/>
      <c r="F1167" s="41"/>
      <c r="G1167" s="41"/>
      <c r="H1167" s="41"/>
      <c r="I1167" s="41"/>
      <c r="J1167" s="41"/>
      <c r="K1167" s="41"/>
      <c r="L1167" s="41"/>
    </row>
    <row r="1168" spans="5:12" s="39" customFormat="1" x14ac:dyDescent="0.3">
      <c r="E1168" s="41"/>
      <c r="F1168" s="41"/>
      <c r="G1168" s="41"/>
      <c r="H1168" s="41"/>
      <c r="I1168" s="41"/>
      <c r="J1168" s="41"/>
      <c r="K1168" s="41"/>
      <c r="L1168" s="41"/>
    </row>
    <row r="1169" spans="5:12" s="39" customFormat="1" x14ac:dyDescent="0.3">
      <c r="E1169" s="41"/>
      <c r="F1169" s="41"/>
      <c r="G1169" s="41"/>
      <c r="H1169" s="41"/>
      <c r="I1169" s="41"/>
      <c r="J1169" s="41"/>
      <c r="K1169" s="41"/>
      <c r="L1169" s="41"/>
    </row>
    <row r="1170" spans="5:12" s="39" customFormat="1" x14ac:dyDescent="0.3">
      <c r="E1170" s="41"/>
      <c r="F1170" s="41"/>
      <c r="G1170" s="41"/>
      <c r="H1170" s="41"/>
      <c r="I1170" s="41"/>
      <c r="J1170" s="41"/>
      <c r="K1170" s="41"/>
      <c r="L1170" s="41"/>
    </row>
    <row r="1171" spans="5:12" s="39" customFormat="1" x14ac:dyDescent="0.3">
      <c r="E1171" s="41"/>
      <c r="F1171" s="41"/>
      <c r="G1171" s="41"/>
      <c r="H1171" s="41"/>
      <c r="I1171" s="41"/>
      <c r="J1171" s="41"/>
      <c r="K1171" s="41"/>
      <c r="L1171" s="41"/>
    </row>
    <row r="1172" spans="5:12" s="39" customFormat="1" x14ac:dyDescent="0.3">
      <c r="E1172" s="41"/>
      <c r="F1172" s="41"/>
      <c r="G1172" s="41"/>
      <c r="H1172" s="41"/>
      <c r="I1172" s="41"/>
      <c r="J1172" s="41"/>
      <c r="K1172" s="41"/>
      <c r="L1172" s="41"/>
    </row>
    <row r="1173" spans="5:12" s="39" customFormat="1" x14ac:dyDescent="0.3">
      <c r="E1173" s="41"/>
      <c r="F1173" s="41"/>
      <c r="G1173" s="41"/>
      <c r="H1173" s="41"/>
      <c r="I1173" s="41"/>
      <c r="J1173" s="41"/>
      <c r="K1173" s="41"/>
      <c r="L1173" s="41"/>
    </row>
    <row r="1174" spans="5:12" s="39" customFormat="1" x14ac:dyDescent="0.3">
      <c r="E1174" s="41"/>
      <c r="F1174" s="41"/>
      <c r="G1174" s="41"/>
      <c r="H1174" s="41"/>
      <c r="I1174" s="41"/>
      <c r="J1174" s="41"/>
      <c r="K1174" s="41"/>
      <c r="L1174" s="41"/>
    </row>
    <row r="1175" spans="5:12" s="39" customFormat="1" x14ac:dyDescent="0.3">
      <c r="E1175" s="41"/>
      <c r="F1175" s="41"/>
      <c r="G1175" s="41"/>
      <c r="H1175" s="41"/>
      <c r="I1175" s="41"/>
      <c r="J1175" s="41"/>
      <c r="K1175" s="41"/>
      <c r="L1175" s="41"/>
    </row>
    <row r="1176" spans="5:12" s="39" customFormat="1" x14ac:dyDescent="0.3">
      <c r="E1176" s="41"/>
      <c r="F1176" s="41"/>
      <c r="G1176" s="41"/>
      <c r="H1176" s="41"/>
      <c r="I1176" s="41"/>
      <c r="J1176" s="41"/>
      <c r="K1176" s="41"/>
      <c r="L1176" s="41"/>
    </row>
    <row r="1177" spans="5:12" s="39" customFormat="1" x14ac:dyDescent="0.3">
      <c r="E1177" s="41"/>
      <c r="F1177" s="41"/>
      <c r="G1177" s="41"/>
      <c r="H1177" s="41"/>
      <c r="I1177" s="41"/>
      <c r="J1177" s="41"/>
      <c r="K1177" s="41"/>
      <c r="L1177" s="41"/>
    </row>
    <row r="1178" spans="5:12" s="39" customFormat="1" x14ac:dyDescent="0.3">
      <c r="E1178" s="41"/>
      <c r="F1178" s="41"/>
      <c r="G1178" s="41"/>
      <c r="H1178" s="41"/>
      <c r="I1178" s="41"/>
      <c r="J1178" s="41"/>
      <c r="K1178" s="41"/>
      <c r="L1178" s="41"/>
    </row>
    <row r="1179" spans="5:12" s="39" customFormat="1" x14ac:dyDescent="0.3">
      <c r="E1179" s="41"/>
      <c r="F1179" s="41"/>
      <c r="G1179" s="41"/>
      <c r="H1179" s="41"/>
      <c r="I1179" s="41"/>
      <c r="J1179" s="41"/>
      <c r="K1179" s="41"/>
      <c r="L1179" s="41"/>
    </row>
    <row r="1180" spans="5:12" s="39" customFormat="1" x14ac:dyDescent="0.3">
      <c r="E1180" s="41"/>
      <c r="F1180" s="41"/>
      <c r="G1180" s="41"/>
      <c r="H1180" s="41"/>
      <c r="I1180" s="41"/>
      <c r="J1180" s="41"/>
      <c r="K1180" s="41"/>
      <c r="L1180" s="41"/>
    </row>
    <row r="1181" spans="5:12" s="39" customFormat="1" x14ac:dyDescent="0.3">
      <c r="E1181" s="41"/>
      <c r="F1181" s="41"/>
      <c r="G1181" s="41"/>
      <c r="H1181" s="41"/>
      <c r="I1181" s="41"/>
      <c r="J1181" s="41"/>
      <c r="K1181" s="41"/>
      <c r="L1181" s="41"/>
    </row>
    <row r="1182" spans="5:12" s="39" customFormat="1" x14ac:dyDescent="0.3">
      <c r="E1182" s="41"/>
      <c r="F1182" s="41"/>
      <c r="G1182" s="41"/>
      <c r="H1182" s="41"/>
      <c r="I1182" s="41"/>
      <c r="J1182" s="41"/>
      <c r="K1182" s="41"/>
      <c r="L1182" s="41"/>
    </row>
    <row r="1183" spans="5:12" s="39" customFormat="1" x14ac:dyDescent="0.3">
      <c r="E1183" s="41"/>
      <c r="F1183" s="41"/>
      <c r="G1183" s="41"/>
      <c r="H1183" s="41"/>
      <c r="I1183" s="41"/>
      <c r="J1183" s="41"/>
      <c r="K1183" s="41"/>
      <c r="L1183" s="41"/>
    </row>
    <row r="1184" spans="5:12" s="39" customFormat="1" x14ac:dyDescent="0.3">
      <c r="E1184" s="41"/>
      <c r="F1184" s="41"/>
      <c r="G1184" s="41"/>
      <c r="H1184" s="41"/>
      <c r="I1184" s="41"/>
      <c r="J1184" s="41"/>
      <c r="K1184" s="41"/>
      <c r="L1184" s="41"/>
    </row>
    <row r="1185" spans="5:12" s="39" customFormat="1" x14ac:dyDescent="0.3">
      <c r="E1185" s="41"/>
      <c r="F1185" s="41"/>
      <c r="G1185" s="41"/>
      <c r="H1185" s="41"/>
      <c r="I1185" s="41"/>
      <c r="J1185" s="41"/>
      <c r="K1185" s="41"/>
      <c r="L1185" s="41"/>
    </row>
    <row r="1186" spans="5:12" s="39" customFormat="1" x14ac:dyDescent="0.3">
      <c r="E1186" s="41"/>
      <c r="F1186" s="41"/>
      <c r="G1186" s="41"/>
      <c r="H1186" s="41"/>
      <c r="I1186" s="41"/>
      <c r="J1186" s="41"/>
      <c r="K1186" s="41"/>
      <c r="L1186" s="41"/>
    </row>
    <row r="1187" spans="5:12" s="39" customFormat="1" x14ac:dyDescent="0.3">
      <c r="E1187" s="41"/>
      <c r="F1187" s="41"/>
      <c r="G1187" s="41"/>
      <c r="H1187" s="41"/>
      <c r="I1187" s="41"/>
      <c r="J1187" s="41"/>
      <c r="K1187" s="41"/>
      <c r="L1187" s="41"/>
    </row>
    <row r="1188" spans="5:12" s="39" customFormat="1" x14ac:dyDescent="0.3">
      <c r="E1188" s="41"/>
      <c r="F1188" s="41"/>
      <c r="G1188" s="41"/>
      <c r="H1188" s="41"/>
      <c r="I1188" s="41"/>
      <c r="J1188" s="41"/>
      <c r="K1188" s="41"/>
      <c r="L1188" s="41"/>
    </row>
    <row r="1189" spans="5:12" s="39" customFormat="1" x14ac:dyDescent="0.3">
      <c r="E1189" s="41"/>
      <c r="F1189" s="41"/>
      <c r="G1189" s="41"/>
      <c r="H1189" s="41"/>
      <c r="I1189" s="41"/>
      <c r="J1189" s="41"/>
      <c r="K1189" s="41"/>
      <c r="L1189" s="41"/>
    </row>
    <row r="1190" spans="5:12" s="39" customFormat="1" x14ac:dyDescent="0.3">
      <c r="E1190" s="41"/>
      <c r="F1190" s="41"/>
      <c r="G1190" s="41"/>
      <c r="H1190" s="41"/>
      <c r="I1190" s="41"/>
      <c r="J1190" s="41"/>
      <c r="K1190" s="41"/>
      <c r="L1190" s="41"/>
    </row>
    <row r="1191" spans="5:12" s="39" customFormat="1" x14ac:dyDescent="0.3">
      <c r="E1191" s="41"/>
      <c r="F1191" s="41"/>
      <c r="G1191" s="41"/>
      <c r="H1191" s="41"/>
      <c r="I1191" s="41"/>
      <c r="J1191" s="41"/>
      <c r="K1191" s="41"/>
      <c r="L1191" s="41"/>
    </row>
    <row r="1192" spans="5:12" s="39" customFormat="1" x14ac:dyDescent="0.3">
      <c r="E1192" s="41"/>
      <c r="F1192" s="41"/>
      <c r="G1192" s="41"/>
      <c r="H1192" s="41"/>
      <c r="I1192" s="41"/>
      <c r="J1192" s="41"/>
      <c r="K1192" s="41"/>
      <c r="L1192" s="41"/>
    </row>
    <row r="1193" spans="5:12" s="39" customFormat="1" x14ac:dyDescent="0.3">
      <c r="E1193" s="41"/>
      <c r="F1193" s="41"/>
      <c r="G1193" s="41"/>
      <c r="H1193" s="41"/>
      <c r="I1193" s="41"/>
      <c r="J1193" s="41"/>
      <c r="K1193" s="41"/>
      <c r="L1193" s="41"/>
    </row>
    <row r="1194" spans="5:12" s="39" customFormat="1" x14ac:dyDescent="0.3">
      <c r="E1194" s="41"/>
      <c r="F1194" s="41"/>
      <c r="G1194" s="41"/>
      <c r="H1194" s="41"/>
      <c r="I1194" s="41"/>
      <c r="J1194" s="41"/>
      <c r="K1194" s="41"/>
      <c r="L1194" s="41"/>
    </row>
    <row r="1195" spans="5:12" s="39" customFormat="1" x14ac:dyDescent="0.3">
      <c r="E1195" s="41"/>
      <c r="F1195" s="41"/>
      <c r="G1195" s="41"/>
      <c r="H1195" s="41"/>
      <c r="I1195" s="41"/>
      <c r="J1195" s="41"/>
      <c r="K1195" s="41"/>
      <c r="L1195" s="41"/>
    </row>
    <row r="1196" spans="5:12" s="39" customFormat="1" x14ac:dyDescent="0.3">
      <c r="E1196" s="41"/>
      <c r="F1196" s="41"/>
      <c r="G1196" s="41"/>
      <c r="H1196" s="41"/>
      <c r="I1196" s="41"/>
      <c r="J1196" s="41"/>
      <c r="K1196" s="41"/>
      <c r="L1196" s="41"/>
    </row>
    <row r="1197" spans="5:12" s="39" customFormat="1" x14ac:dyDescent="0.3">
      <c r="E1197" s="41"/>
      <c r="F1197" s="41"/>
      <c r="G1197" s="41"/>
      <c r="H1197" s="41"/>
      <c r="I1197" s="41"/>
      <c r="J1197" s="41"/>
      <c r="K1197" s="41"/>
      <c r="L1197" s="41"/>
    </row>
    <row r="1198" spans="5:12" s="39" customFormat="1" x14ac:dyDescent="0.3">
      <c r="E1198" s="41"/>
      <c r="F1198" s="41"/>
      <c r="G1198" s="41"/>
      <c r="H1198" s="41"/>
      <c r="I1198" s="41"/>
      <c r="J1198" s="41"/>
      <c r="K1198" s="41"/>
      <c r="L1198" s="41"/>
    </row>
    <row r="1199" spans="5:12" s="39" customFormat="1" x14ac:dyDescent="0.3">
      <c r="E1199" s="41"/>
      <c r="F1199" s="41"/>
      <c r="G1199" s="41"/>
      <c r="H1199" s="41"/>
      <c r="I1199" s="41"/>
      <c r="J1199" s="41"/>
      <c r="K1199" s="41"/>
      <c r="L1199" s="41"/>
    </row>
    <row r="1200" spans="5:12" s="39" customFormat="1" x14ac:dyDescent="0.3">
      <c r="E1200" s="41"/>
      <c r="F1200" s="41"/>
      <c r="G1200" s="41"/>
      <c r="H1200" s="41"/>
      <c r="I1200" s="41"/>
      <c r="J1200" s="41"/>
      <c r="K1200" s="41"/>
      <c r="L1200" s="41"/>
    </row>
    <row r="1201" spans="5:12" s="39" customFormat="1" x14ac:dyDescent="0.3">
      <c r="E1201" s="41"/>
      <c r="F1201" s="41"/>
      <c r="G1201" s="41"/>
      <c r="H1201" s="41"/>
      <c r="I1201" s="41"/>
      <c r="J1201" s="41"/>
      <c r="K1201" s="41"/>
      <c r="L1201" s="41"/>
    </row>
    <row r="1202" spans="5:12" s="39" customFormat="1" x14ac:dyDescent="0.3">
      <c r="E1202" s="41"/>
      <c r="F1202" s="41"/>
      <c r="G1202" s="41"/>
      <c r="H1202" s="41"/>
      <c r="I1202" s="41"/>
      <c r="J1202" s="41"/>
      <c r="K1202" s="41"/>
      <c r="L1202" s="41"/>
    </row>
    <row r="1203" spans="5:12" s="39" customFormat="1" x14ac:dyDescent="0.3">
      <c r="E1203" s="41"/>
      <c r="F1203" s="41"/>
      <c r="G1203" s="41"/>
      <c r="H1203" s="41"/>
      <c r="I1203" s="41"/>
      <c r="J1203" s="41"/>
      <c r="K1203" s="41"/>
      <c r="L1203" s="41"/>
    </row>
    <row r="1204" spans="5:12" s="39" customFormat="1" x14ac:dyDescent="0.3">
      <c r="E1204" s="41"/>
      <c r="F1204" s="41"/>
      <c r="G1204" s="41"/>
      <c r="H1204" s="41"/>
      <c r="I1204" s="41"/>
      <c r="J1204" s="41"/>
      <c r="K1204" s="41"/>
      <c r="L1204" s="41"/>
    </row>
    <row r="1205" spans="5:12" s="39" customFormat="1" x14ac:dyDescent="0.3">
      <c r="E1205" s="41"/>
      <c r="F1205" s="41"/>
      <c r="G1205" s="41"/>
      <c r="H1205" s="41"/>
      <c r="I1205" s="41"/>
      <c r="J1205" s="41"/>
      <c r="K1205" s="41"/>
      <c r="L1205" s="41"/>
    </row>
    <row r="1206" spans="5:12" s="39" customFormat="1" x14ac:dyDescent="0.3">
      <c r="E1206" s="41"/>
      <c r="F1206" s="41"/>
      <c r="G1206" s="41"/>
      <c r="H1206" s="41"/>
      <c r="I1206" s="41"/>
      <c r="J1206" s="41"/>
      <c r="K1206" s="41"/>
      <c r="L1206" s="41"/>
    </row>
    <row r="1207" spans="5:12" s="39" customFormat="1" x14ac:dyDescent="0.3">
      <c r="E1207" s="41"/>
      <c r="F1207" s="41"/>
      <c r="G1207" s="41"/>
      <c r="H1207" s="41"/>
      <c r="I1207" s="41"/>
      <c r="J1207" s="41"/>
      <c r="K1207" s="41"/>
      <c r="L1207" s="41"/>
    </row>
    <row r="1208" spans="5:12" s="39" customFormat="1" x14ac:dyDescent="0.3">
      <c r="E1208" s="41"/>
      <c r="F1208" s="41"/>
      <c r="G1208" s="41"/>
      <c r="H1208" s="41"/>
      <c r="I1208" s="41"/>
      <c r="J1208" s="41"/>
      <c r="K1208" s="41"/>
      <c r="L1208" s="41"/>
    </row>
    <row r="1209" spans="5:12" s="39" customFormat="1" x14ac:dyDescent="0.3">
      <c r="E1209" s="41"/>
      <c r="F1209" s="41"/>
      <c r="G1209" s="41"/>
      <c r="H1209" s="41"/>
      <c r="I1209" s="41"/>
      <c r="J1209" s="41"/>
      <c r="K1209" s="41"/>
      <c r="L1209" s="41"/>
    </row>
    <row r="1210" spans="5:12" s="39" customFormat="1" x14ac:dyDescent="0.3">
      <c r="E1210" s="41"/>
      <c r="F1210" s="41"/>
      <c r="G1210" s="41"/>
      <c r="H1210" s="41"/>
      <c r="I1210" s="41"/>
      <c r="J1210" s="41"/>
      <c r="K1210" s="41"/>
      <c r="L1210" s="41"/>
    </row>
    <row r="1211" spans="5:12" s="39" customFormat="1" x14ac:dyDescent="0.3">
      <c r="E1211" s="41"/>
      <c r="F1211" s="41"/>
      <c r="G1211" s="41"/>
      <c r="H1211" s="41"/>
      <c r="I1211" s="41"/>
      <c r="J1211" s="41"/>
      <c r="K1211" s="41"/>
      <c r="L1211" s="41"/>
    </row>
    <row r="1212" spans="5:12" s="39" customFormat="1" x14ac:dyDescent="0.3">
      <c r="E1212" s="41"/>
      <c r="F1212" s="41"/>
      <c r="G1212" s="41"/>
      <c r="H1212" s="41"/>
      <c r="I1212" s="41"/>
      <c r="J1212" s="41"/>
      <c r="K1212" s="41"/>
      <c r="L1212" s="41"/>
    </row>
    <row r="1213" spans="5:12" s="39" customFormat="1" x14ac:dyDescent="0.3">
      <c r="E1213" s="41"/>
      <c r="F1213" s="41"/>
      <c r="G1213" s="41"/>
      <c r="H1213" s="41"/>
      <c r="I1213" s="41"/>
      <c r="J1213" s="41"/>
      <c r="K1213" s="41"/>
      <c r="L1213" s="41"/>
    </row>
    <row r="1214" spans="5:12" s="39" customFormat="1" x14ac:dyDescent="0.3">
      <c r="E1214" s="41"/>
      <c r="F1214" s="41"/>
      <c r="G1214" s="41"/>
      <c r="H1214" s="41"/>
      <c r="I1214" s="41"/>
      <c r="J1214" s="41"/>
      <c r="K1214" s="41"/>
      <c r="L1214" s="41"/>
    </row>
    <row r="1215" spans="5:12" s="39" customFormat="1" x14ac:dyDescent="0.3">
      <c r="E1215" s="41"/>
      <c r="F1215" s="41"/>
      <c r="G1215" s="41"/>
      <c r="H1215" s="41"/>
      <c r="I1215" s="41"/>
      <c r="J1215" s="41"/>
      <c r="K1215" s="41"/>
      <c r="L1215" s="41"/>
    </row>
    <row r="1216" spans="5:12" s="39" customFormat="1" x14ac:dyDescent="0.3">
      <c r="E1216" s="41"/>
      <c r="F1216" s="41"/>
      <c r="G1216" s="41"/>
      <c r="H1216" s="41"/>
      <c r="I1216" s="41"/>
      <c r="J1216" s="41"/>
      <c r="K1216" s="41"/>
      <c r="L1216" s="41"/>
    </row>
    <row r="1217" spans="5:12" s="39" customFormat="1" x14ac:dyDescent="0.3">
      <c r="E1217" s="41"/>
      <c r="F1217" s="41"/>
      <c r="G1217" s="41"/>
      <c r="H1217" s="41"/>
      <c r="I1217" s="41"/>
      <c r="J1217" s="41"/>
      <c r="K1217" s="41"/>
      <c r="L1217" s="41"/>
    </row>
    <row r="1218" spans="5:12" s="39" customFormat="1" x14ac:dyDescent="0.3">
      <c r="E1218" s="41"/>
      <c r="F1218" s="41"/>
      <c r="G1218" s="41"/>
      <c r="H1218" s="41"/>
      <c r="I1218" s="41"/>
      <c r="J1218" s="41"/>
      <c r="K1218" s="41"/>
      <c r="L1218" s="41"/>
    </row>
    <row r="1219" spans="5:12" s="39" customFormat="1" x14ac:dyDescent="0.3">
      <c r="E1219" s="41"/>
      <c r="F1219" s="41"/>
      <c r="G1219" s="41"/>
      <c r="H1219" s="41"/>
      <c r="I1219" s="41"/>
      <c r="J1219" s="41"/>
      <c r="K1219" s="41"/>
      <c r="L1219" s="41"/>
    </row>
    <row r="1220" spans="5:12" s="39" customFormat="1" x14ac:dyDescent="0.3">
      <c r="E1220" s="41"/>
      <c r="F1220" s="41"/>
      <c r="G1220" s="41"/>
      <c r="H1220" s="41"/>
      <c r="I1220" s="41"/>
      <c r="J1220" s="41"/>
      <c r="K1220" s="41"/>
      <c r="L1220" s="41"/>
    </row>
    <row r="1221" spans="5:12" s="39" customFormat="1" x14ac:dyDescent="0.3">
      <c r="E1221" s="41"/>
      <c r="F1221" s="41"/>
      <c r="G1221" s="41"/>
      <c r="H1221" s="41"/>
      <c r="I1221" s="41"/>
      <c r="J1221" s="41"/>
      <c r="K1221" s="41"/>
      <c r="L1221" s="41"/>
    </row>
    <row r="1222" spans="5:12" s="39" customFormat="1" x14ac:dyDescent="0.3">
      <c r="E1222" s="41"/>
      <c r="F1222" s="41"/>
      <c r="G1222" s="41"/>
      <c r="H1222" s="41"/>
      <c r="I1222" s="41"/>
      <c r="J1222" s="41"/>
      <c r="K1222" s="41"/>
      <c r="L1222" s="41"/>
    </row>
    <row r="1223" spans="5:12" s="39" customFormat="1" x14ac:dyDescent="0.3">
      <c r="E1223" s="41"/>
      <c r="F1223" s="41"/>
      <c r="G1223" s="41"/>
      <c r="H1223" s="41"/>
      <c r="I1223" s="41"/>
      <c r="J1223" s="41"/>
      <c r="K1223" s="41"/>
      <c r="L1223" s="41"/>
    </row>
    <row r="1224" spans="5:12" s="39" customFormat="1" x14ac:dyDescent="0.3">
      <c r="E1224" s="41"/>
      <c r="F1224" s="41"/>
      <c r="G1224" s="41"/>
      <c r="H1224" s="41"/>
      <c r="I1224" s="41"/>
      <c r="J1224" s="41"/>
      <c r="K1224" s="41"/>
      <c r="L1224" s="41"/>
    </row>
    <row r="1225" spans="5:12" s="39" customFormat="1" x14ac:dyDescent="0.3">
      <c r="E1225" s="41"/>
      <c r="F1225" s="41"/>
      <c r="G1225" s="41"/>
      <c r="H1225" s="41"/>
      <c r="I1225" s="41"/>
      <c r="J1225" s="41"/>
      <c r="K1225" s="41"/>
      <c r="L1225" s="41"/>
    </row>
    <row r="1226" spans="5:12" s="39" customFormat="1" x14ac:dyDescent="0.3">
      <c r="E1226" s="41"/>
      <c r="F1226" s="41"/>
      <c r="G1226" s="41"/>
      <c r="H1226" s="41"/>
      <c r="I1226" s="41"/>
      <c r="J1226" s="41"/>
      <c r="K1226" s="41"/>
      <c r="L1226" s="41"/>
    </row>
    <row r="1227" spans="5:12" s="39" customFormat="1" x14ac:dyDescent="0.3">
      <c r="E1227" s="41"/>
      <c r="F1227" s="41"/>
      <c r="G1227" s="41"/>
      <c r="H1227" s="41"/>
      <c r="I1227" s="41"/>
      <c r="J1227" s="41"/>
      <c r="K1227" s="41"/>
      <c r="L1227" s="41"/>
    </row>
    <row r="1228" spans="5:12" s="39" customFormat="1" x14ac:dyDescent="0.3">
      <c r="E1228" s="41"/>
      <c r="F1228" s="41"/>
      <c r="G1228" s="41"/>
      <c r="H1228" s="41"/>
      <c r="I1228" s="41"/>
      <c r="J1228" s="41"/>
      <c r="K1228" s="41"/>
      <c r="L1228" s="41"/>
    </row>
    <row r="1229" spans="5:12" s="39" customFormat="1" x14ac:dyDescent="0.3">
      <c r="E1229" s="41"/>
      <c r="F1229" s="41"/>
      <c r="G1229" s="41"/>
      <c r="H1229" s="41"/>
      <c r="I1229" s="41"/>
      <c r="J1229" s="41"/>
      <c r="K1229" s="41"/>
      <c r="L1229" s="41"/>
    </row>
    <row r="1230" spans="5:12" s="39" customFormat="1" x14ac:dyDescent="0.3">
      <c r="E1230" s="41"/>
      <c r="F1230" s="41"/>
      <c r="G1230" s="41"/>
      <c r="H1230" s="41"/>
      <c r="I1230" s="41"/>
      <c r="J1230" s="41"/>
      <c r="K1230" s="41"/>
      <c r="L1230" s="41"/>
    </row>
    <row r="1231" spans="5:12" s="39" customFormat="1" x14ac:dyDescent="0.3">
      <c r="E1231" s="41"/>
      <c r="F1231" s="41"/>
      <c r="G1231" s="41"/>
      <c r="H1231" s="41"/>
      <c r="I1231" s="41"/>
      <c r="J1231" s="41"/>
      <c r="K1231" s="41"/>
      <c r="L1231" s="41"/>
    </row>
    <row r="1232" spans="5:12" s="39" customFormat="1" x14ac:dyDescent="0.3">
      <c r="E1232" s="41"/>
      <c r="F1232" s="41"/>
      <c r="G1232" s="41"/>
      <c r="H1232" s="41"/>
      <c r="I1232" s="41"/>
      <c r="J1232" s="41"/>
      <c r="K1232" s="41"/>
      <c r="L1232" s="41"/>
    </row>
    <row r="1233" spans="5:12" s="39" customFormat="1" x14ac:dyDescent="0.3">
      <c r="E1233" s="41"/>
      <c r="F1233" s="41"/>
      <c r="G1233" s="41"/>
      <c r="H1233" s="41"/>
      <c r="I1233" s="41"/>
      <c r="J1233" s="41"/>
      <c r="K1233" s="41"/>
      <c r="L1233" s="41"/>
    </row>
    <row r="1234" spans="5:12" s="39" customFormat="1" x14ac:dyDescent="0.3">
      <c r="E1234" s="41"/>
      <c r="F1234" s="41"/>
      <c r="G1234" s="41"/>
      <c r="H1234" s="41"/>
      <c r="I1234" s="41"/>
      <c r="J1234" s="41"/>
      <c r="K1234" s="41"/>
      <c r="L1234" s="41"/>
    </row>
    <row r="1235" spans="5:12" s="39" customFormat="1" x14ac:dyDescent="0.3">
      <c r="E1235" s="41"/>
      <c r="F1235" s="41"/>
      <c r="G1235" s="41"/>
      <c r="H1235" s="41"/>
      <c r="I1235" s="41"/>
      <c r="J1235" s="41"/>
      <c r="K1235" s="41"/>
      <c r="L1235" s="41"/>
    </row>
    <row r="1236" spans="5:12" s="39" customFormat="1" x14ac:dyDescent="0.3">
      <c r="E1236" s="41"/>
      <c r="F1236" s="41"/>
      <c r="G1236" s="41"/>
      <c r="H1236" s="41"/>
      <c r="I1236" s="41"/>
      <c r="J1236" s="41"/>
      <c r="K1236" s="41"/>
      <c r="L1236" s="41"/>
    </row>
    <row r="1237" spans="5:12" s="39" customFormat="1" x14ac:dyDescent="0.3">
      <c r="E1237" s="41"/>
      <c r="F1237" s="41"/>
      <c r="G1237" s="41"/>
      <c r="H1237" s="41"/>
      <c r="I1237" s="41"/>
      <c r="J1237" s="41"/>
      <c r="K1237" s="41"/>
      <c r="L1237" s="41"/>
    </row>
    <row r="1238" spans="5:12" s="39" customFormat="1" x14ac:dyDescent="0.3">
      <c r="E1238" s="41"/>
      <c r="F1238" s="41"/>
      <c r="G1238" s="41"/>
      <c r="H1238" s="41"/>
      <c r="I1238" s="41"/>
      <c r="J1238" s="41"/>
      <c r="K1238" s="41"/>
      <c r="L1238" s="41"/>
    </row>
    <row r="1239" spans="5:12" s="39" customFormat="1" x14ac:dyDescent="0.3">
      <c r="E1239" s="41"/>
      <c r="F1239" s="41"/>
      <c r="G1239" s="41"/>
      <c r="H1239" s="41"/>
      <c r="I1239" s="41"/>
      <c r="J1239" s="41"/>
      <c r="K1239" s="41"/>
      <c r="L1239" s="41"/>
    </row>
    <row r="1240" spans="5:12" s="39" customFormat="1" x14ac:dyDescent="0.3">
      <c r="E1240" s="41"/>
      <c r="F1240" s="41"/>
      <c r="G1240" s="41"/>
      <c r="H1240" s="41"/>
      <c r="I1240" s="41"/>
      <c r="J1240" s="41"/>
      <c r="K1240" s="41"/>
      <c r="L1240" s="41"/>
    </row>
    <row r="1241" spans="5:12" s="39" customFormat="1" x14ac:dyDescent="0.3">
      <c r="E1241" s="41"/>
      <c r="F1241" s="41"/>
      <c r="G1241" s="41"/>
      <c r="H1241" s="41"/>
      <c r="I1241" s="41"/>
      <c r="J1241" s="41"/>
      <c r="K1241" s="41"/>
      <c r="L1241" s="41"/>
    </row>
    <row r="1242" spans="5:12" s="39" customFormat="1" x14ac:dyDescent="0.3">
      <c r="E1242" s="41"/>
      <c r="F1242" s="41"/>
      <c r="G1242" s="41"/>
      <c r="H1242" s="41"/>
      <c r="I1242" s="41"/>
      <c r="J1242" s="41"/>
      <c r="K1242" s="41"/>
      <c r="L1242" s="41"/>
    </row>
    <row r="1243" spans="5:12" s="39" customFormat="1" x14ac:dyDescent="0.3">
      <c r="E1243" s="41"/>
      <c r="F1243" s="41"/>
      <c r="G1243" s="41"/>
      <c r="H1243" s="41"/>
      <c r="I1243" s="41"/>
      <c r="J1243" s="41"/>
      <c r="K1243" s="41"/>
      <c r="L1243" s="41"/>
    </row>
    <row r="1244" spans="5:12" s="39" customFormat="1" x14ac:dyDescent="0.3">
      <c r="E1244" s="41"/>
      <c r="F1244" s="41"/>
      <c r="G1244" s="41"/>
      <c r="H1244" s="41"/>
      <c r="I1244" s="41"/>
      <c r="J1244" s="41"/>
      <c r="K1244" s="41"/>
      <c r="L1244" s="41"/>
    </row>
    <row r="1245" spans="5:12" s="39" customFormat="1" x14ac:dyDescent="0.3">
      <c r="E1245" s="41"/>
      <c r="F1245" s="41"/>
      <c r="G1245" s="41"/>
      <c r="H1245" s="41"/>
      <c r="I1245" s="41"/>
      <c r="J1245" s="41"/>
      <c r="K1245" s="41"/>
      <c r="L1245" s="41"/>
    </row>
    <row r="1246" spans="5:12" s="39" customFormat="1" x14ac:dyDescent="0.3">
      <c r="E1246" s="41"/>
      <c r="F1246" s="41"/>
      <c r="G1246" s="41"/>
      <c r="H1246" s="41"/>
      <c r="I1246" s="41"/>
      <c r="J1246" s="41"/>
      <c r="K1246" s="41"/>
      <c r="L1246" s="41"/>
    </row>
    <row r="1247" spans="5:12" s="39" customFormat="1" x14ac:dyDescent="0.3">
      <c r="E1247" s="41"/>
      <c r="F1247" s="41"/>
      <c r="G1247" s="41"/>
      <c r="H1247" s="41"/>
      <c r="I1247" s="41"/>
      <c r="J1247" s="41"/>
      <c r="K1247" s="41"/>
      <c r="L1247" s="41"/>
    </row>
    <row r="1248" spans="5:12" s="39" customFormat="1" x14ac:dyDescent="0.3">
      <c r="E1248" s="41"/>
      <c r="F1248" s="41"/>
      <c r="G1248" s="41"/>
      <c r="H1248" s="41"/>
      <c r="I1248" s="41"/>
      <c r="J1248" s="41"/>
      <c r="K1248" s="41"/>
      <c r="L1248" s="41"/>
    </row>
    <row r="1249" spans="5:12" s="39" customFormat="1" x14ac:dyDescent="0.3">
      <c r="E1249" s="41"/>
      <c r="F1249" s="41"/>
      <c r="G1249" s="41"/>
      <c r="H1249" s="41"/>
      <c r="I1249" s="41"/>
      <c r="J1249" s="41"/>
      <c r="K1249" s="41"/>
      <c r="L1249" s="41"/>
    </row>
    <row r="1250" spans="5:12" s="39" customFormat="1" x14ac:dyDescent="0.3">
      <c r="E1250" s="41"/>
      <c r="F1250" s="41"/>
      <c r="G1250" s="41"/>
      <c r="H1250" s="41"/>
      <c r="I1250" s="41"/>
      <c r="J1250" s="41"/>
      <c r="K1250" s="41"/>
      <c r="L1250" s="41"/>
    </row>
    <row r="1251" spans="5:12" s="39" customFormat="1" x14ac:dyDescent="0.3">
      <c r="E1251" s="41"/>
      <c r="F1251" s="41"/>
      <c r="G1251" s="41"/>
      <c r="H1251" s="41"/>
      <c r="I1251" s="41"/>
      <c r="J1251" s="41"/>
      <c r="K1251" s="41"/>
      <c r="L1251" s="41"/>
    </row>
    <row r="1252" spans="5:12" s="39" customFormat="1" x14ac:dyDescent="0.3">
      <c r="E1252" s="41"/>
      <c r="F1252" s="41"/>
      <c r="G1252" s="41"/>
      <c r="H1252" s="41"/>
      <c r="I1252" s="41"/>
      <c r="J1252" s="41"/>
      <c r="K1252" s="41"/>
      <c r="L1252" s="41"/>
    </row>
    <row r="1253" spans="5:12" s="39" customFormat="1" x14ac:dyDescent="0.3">
      <c r="E1253" s="41"/>
      <c r="F1253" s="41"/>
      <c r="G1253" s="41"/>
      <c r="H1253" s="41"/>
      <c r="I1253" s="41"/>
      <c r="J1253" s="41"/>
      <c r="K1253" s="41"/>
      <c r="L1253" s="41"/>
    </row>
    <row r="1254" spans="5:12" s="39" customFormat="1" x14ac:dyDescent="0.3">
      <c r="E1254" s="41"/>
      <c r="F1254" s="41"/>
      <c r="G1254" s="41"/>
      <c r="H1254" s="41"/>
      <c r="I1254" s="41"/>
      <c r="J1254" s="41"/>
      <c r="K1254" s="41"/>
      <c r="L1254" s="41"/>
    </row>
    <row r="1255" spans="5:12" s="39" customFormat="1" x14ac:dyDescent="0.3">
      <c r="E1255" s="41"/>
      <c r="F1255" s="41"/>
      <c r="G1255" s="41"/>
      <c r="H1255" s="41"/>
      <c r="I1255" s="41"/>
      <c r="J1255" s="41"/>
      <c r="K1255" s="41"/>
      <c r="L1255" s="41"/>
    </row>
    <row r="1256" spans="5:12" s="39" customFormat="1" x14ac:dyDescent="0.3">
      <c r="E1256" s="41"/>
      <c r="F1256" s="41"/>
      <c r="G1256" s="41"/>
      <c r="H1256" s="41"/>
      <c r="I1256" s="41"/>
      <c r="J1256" s="41"/>
      <c r="K1256" s="41"/>
      <c r="L1256" s="41"/>
    </row>
    <row r="1257" spans="5:12" s="39" customFormat="1" x14ac:dyDescent="0.3">
      <c r="E1257" s="41"/>
      <c r="F1257" s="41"/>
      <c r="G1257" s="41"/>
      <c r="H1257" s="41"/>
      <c r="I1257" s="41"/>
      <c r="J1257" s="41"/>
      <c r="K1257" s="41"/>
      <c r="L1257" s="41"/>
    </row>
    <row r="1258" spans="5:12" s="39" customFormat="1" x14ac:dyDescent="0.3">
      <c r="E1258" s="41"/>
      <c r="F1258" s="41"/>
      <c r="G1258" s="41"/>
      <c r="H1258" s="41"/>
      <c r="I1258" s="41"/>
      <c r="J1258" s="41"/>
      <c r="K1258" s="41"/>
      <c r="L1258" s="41"/>
    </row>
    <row r="1259" spans="5:12" s="39" customFormat="1" x14ac:dyDescent="0.3">
      <c r="E1259" s="41"/>
      <c r="F1259" s="41"/>
      <c r="G1259" s="41"/>
      <c r="H1259" s="41"/>
      <c r="I1259" s="41"/>
      <c r="J1259" s="41"/>
      <c r="K1259" s="41"/>
      <c r="L1259" s="41"/>
    </row>
    <row r="1260" spans="5:12" s="39" customFormat="1" x14ac:dyDescent="0.3">
      <c r="E1260" s="41"/>
      <c r="F1260" s="41"/>
      <c r="G1260" s="41"/>
      <c r="H1260" s="41"/>
      <c r="I1260" s="41"/>
      <c r="J1260" s="41"/>
      <c r="K1260" s="41"/>
      <c r="L1260" s="41"/>
    </row>
    <row r="1261" spans="5:12" s="39" customFormat="1" x14ac:dyDescent="0.3">
      <c r="E1261" s="41"/>
      <c r="F1261" s="41"/>
      <c r="G1261" s="41"/>
      <c r="H1261" s="41"/>
      <c r="I1261" s="41"/>
      <c r="J1261" s="41"/>
      <c r="K1261" s="41"/>
      <c r="L1261" s="41"/>
    </row>
    <row r="1262" spans="5:12" s="39" customFormat="1" x14ac:dyDescent="0.3">
      <c r="E1262" s="41"/>
      <c r="F1262" s="41"/>
      <c r="G1262" s="41"/>
      <c r="H1262" s="41"/>
      <c r="I1262" s="41"/>
      <c r="J1262" s="41"/>
      <c r="K1262" s="41"/>
      <c r="L1262" s="41"/>
    </row>
    <row r="1263" spans="5:12" s="39" customFormat="1" x14ac:dyDescent="0.3">
      <c r="E1263" s="41"/>
      <c r="F1263" s="41"/>
      <c r="G1263" s="41"/>
      <c r="H1263" s="41"/>
      <c r="I1263" s="41"/>
      <c r="J1263" s="41"/>
      <c r="K1263" s="41"/>
      <c r="L1263" s="41"/>
    </row>
    <row r="1264" spans="5:12" s="39" customFormat="1" x14ac:dyDescent="0.3">
      <c r="E1264" s="41"/>
      <c r="F1264" s="41"/>
      <c r="G1264" s="41"/>
      <c r="H1264" s="41"/>
      <c r="I1264" s="41"/>
      <c r="J1264" s="41"/>
      <c r="K1264" s="41"/>
      <c r="L1264" s="41"/>
    </row>
    <row r="1265" spans="5:12" s="39" customFormat="1" x14ac:dyDescent="0.3">
      <c r="E1265" s="41"/>
      <c r="F1265" s="41"/>
      <c r="G1265" s="41"/>
      <c r="H1265" s="41"/>
      <c r="I1265" s="41"/>
      <c r="J1265" s="41"/>
      <c r="K1265" s="41"/>
      <c r="L1265" s="41"/>
    </row>
    <row r="1266" spans="5:12" s="39" customFormat="1" x14ac:dyDescent="0.3">
      <c r="E1266" s="41"/>
      <c r="F1266" s="41"/>
      <c r="G1266" s="41"/>
      <c r="H1266" s="41"/>
      <c r="I1266" s="41"/>
      <c r="J1266" s="41"/>
      <c r="K1266" s="41"/>
      <c r="L1266" s="41"/>
    </row>
    <row r="1267" spans="5:12" s="39" customFormat="1" x14ac:dyDescent="0.3">
      <c r="E1267" s="41"/>
      <c r="F1267" s="41"/>
      <c r="G1267" s="41"/>
      <c r="H1267" s="41"/>
      <c r="I1267" s="41"/>
      <c r="J1267" s="41"/>
      <c r="K1267" s="41"/>
      <c r="L1267" s="41"/>
    </row>
    <row r="1268" spans="5:12" s="39" customFormat="1" x14ac:dyDescent="0.3">
      <c r="E1268" s="41"/>
      <c r="F1268" s="41"/>
      <c r="G1268" s="41"/>
      <c r="H1268" s="41"/>
      <c r="I1268" s="41"/>
      <c r="J1268" s="41"/>
      <c r="K1268" s="41"/>
      <c r="L1268" s="41"/>
    </row>
    <row r="1269" spans="5:12" s="39" customFormat="1" x14ac:dyDescent="0.3">
      <c r="E1269" s="41"/>
      <c r="F1269" s="41"/>
      <c r="G1269" s="41"/>
      <c r="H1269" s="41"/>
      <c r="I1269" s="41"/>
      <c r="J1269" s="41"/>
      <c r="K1269" s="41"/>
      <c r="L1269" s="41"/>
    </row>
    <row r="1270" spans="5:12" s="39" customFormat="1" x14ac:dyDescent="0.3">
      <c r="E1270" s="41"/>
      <c r="F1270" s="41"/>
      <c r="G1270" s="41"/>
      <c r="H1270" s="41"/>
      <c r="I1270" s="41"/>
      <c r="J1270" s="41"/>
      <c r="K1270" s="41"/>
      <c r="L1270" s="41"/>
    </row>
    <row r="1271" spans="5:12" s="39" customFormat="1" x14ac:dyDescent="0.3">
      <c r="E1271" s="41"/>
      <c r="F1271" s="41"/>
      <c r="G1271" s="41"/>
      <c r="H1271" s="41"/>
      <c r="I1271" s="41"/>
      <c r="J1271" s="41"/>
      <c r="K1271" s="41"/>
      <c r="L1271" s="41"/>
    </row>
    <row r="1272" spans="5:12" s="39" customFormat="1" x14ac:dyDescent="0.3">
      <c r="E1272" s="41"/>
      <c r="F1272" s="41"/>
      <c r="G1272" s="41"/>
      <c r="H1272" s="41"/>
      <c r="I1272" s="41"/>
      <c r="J1272" s="41"/>
      <c r="K1272" s="41"/>
      <c r="L1272" s="41"/>
    </row>
    <row r="1273" spans="5:12" s="39" customFormat="1" x14ac:dyDescent="0.3">
      <c r="E1273" s="41"/>
      <c r="F1273" s="41"/>
      <c r="G1273" s="41"/>
      <c r="H1273" s="41"/>
      <c r="I1273" s="41"/>
      <c r="J1273" s="41"/>
      <c r="K1273" s="41"/>
      <c r="L1273" s="41"/>
    </row>
    <row r="1274" spans="5:12" s="39" customFormat="1" x14ac:dyDescent="0.3">
      <c r="E1274" s="41"/>
      <c r="F1274" s="41"/>
      <c r="G1274" s="41"/>
      <c r="H1274" s="41"/>
      <c r="I1274" s="41"/>
      <c r="J1274" s="41"/>
      <c r="K1274" s="41"/>
      <c r="L1274" s="41"/>
    </row>
    <row r="1275" spans="5:12" s="39" customFormat="1" x14ac:dyDescent="0.3">
      <c r="E1275" s="41"/>
      <c r="F1275" s="41"/>
      <c r="G1275" s="41"/>
      <c r="H1275" s="41"/>
      <c r="I1275" s="41"/>
      <c r="J1275" s="41"/>
      <c r="K1275" s="41"/>
      <c r="L1275" s="41"/>
    </row>
    <row r="1276" spans="5:12" s="39" customFormat="1" x14ac:dyDescent="0.3">
      <c r="E1276" s="41"/>
      <c r="F1276" s="41"/>
      <c r="G1276" s="41"/>
      <c r="H1276" s="41"/>
      <c r="I1276" s="41"/>
      <c r="J1276" s="41"/>
      <c r="K1276" s="41"/>
      <c r="L1276" s="41"/>
    </row>
    <row r="1277" spans="5:12" s="39" customFormat="1" x14ac:dyDescent="0.3">
      <c r="E1277" s="41"/>
      <c r="F1277" s="41"/>
      <c r="G1277" s="41"/>
      <c r="H1277" s="41"/>
      <c r="I1277" s="41"/>
      <c r="J1277" s="41"/>
      <c r="K1277" s="41"/>
      <c r="L1277" s="41"/>
    </row>
    <row r="1278" spans="5:12" s="39" customFormat="1" x14ac:dyDescent="0.3">
      <c r="E1278" s="41"/>
      <c r="F1278" s="41"/>
      <c r="G1278" s="41"/>
      <c r="H1278" s="41"/>
      <c r="I1278" s="41"/>
      <c r="J1278" s="41"/>
      <c r="K1278" s="41"/>
      <c r="L1278" s="41"/>
    </row>
    <row r="1279" spans="5:12" s="39" customFormat="1" x14ac:dyDescent="0.3">
      <c r="E1279" s="41"/>
      <c r="F1279" s="41"/>
      <c r="G1279" s="41"/>
      <c r="H1279" s="41"/>
      <c r="I1279" s="41"/>
      <c r="J1279" s="41"/>
      <c r="K1279" s="41"/>
      <c r="L1279" s="41"/>
    </row>
    <row r="1280" spans="5:12" s="39" customFormat="1" x14ac:dyDescent="0.3">
      <c r="E1280" s="41"/>
      <c r="F1280" s="41"/>
      <c r="G1280" s="41"/>
      <c r="H1280" s="41"/>
      <c r="I1280" s="41"/>
      <c r="J1280" s="41"/>
      <c r="K1280" s="41"/>
      <c r="L1280" s="41"/>
    </row>
    <row r="1281" spans="5:12" s="39" customFormat="1" x14ac:dyDescent="0.3">
      <c r="E1281" s="41"/>
      <c r="F1281" s="41"/>
      <c r="G1281" s="41"/>
      <c r="H1281" s="41"/>
      <c r="I1281" s="41"/>
      <c r="J1281" s="41"/>
      <c r="K1281" s="41"/>
      <c r="L1281" s="41"/>
    </row>
    <row r="1282" spans="5:12" s="39" customFormat="1" x14ac:dyDescent="0.3">
      <c r="E1282" s="41"/>
      <c r="F1282" s="41"/>
      <c r="G1282" s="41"/>
      <c r="H1282" s="41"/>
      <c r="I1282" s="41"/>
      <c r="J1282" s="41"/>
      <c r="K1282" s="41"/>
      <c r="L1282" s="41"/>
    </row>
    <row r="1283" spans="5:12" s="39" customFormat="1" x14ac:dyDescent="0.3">
      <c r="E1283" s="41"/>
      <c r="F1283" s="41"/>
      <c r="G1283" s="41"/>
      <c r="H1283" s="41"/>
      <c r="I1283" s="41"/>
      <c r="J1283" s="41"/>
      <c r="K1283" s="41"/>
      <c r="L1283" s="41"/>
    </row>
    <row r="1284" spans="5:12" s="39" customFormat="1" x14ac:dyDescent="0.3">
      <c r="E1284" s="41"/>
      <c r="F1284" s="41"/>
      <c r="G1284" s="41"/>
      <c r="H1284" s="41"/>
      <c r="I1284" s="41"/>
      <c r="J1284" s="41"/>
      <c r="K1284" s="41"/>
      <c r="L1284" s="41"/>
    </row>
    <row r="1285" spans="5:12" s="39" customFormat="1" x14ac:dyDescent="0.3">
      <c r="E1285" s="41"/>
      <c r="F1285" s="41"/>
      <c r="G1285" s="41"/>
      <c r="H1285" s="41"/>
      <c r="I1285" s="41"/>
      <c r="J1285" s="41"/>
      <c r="K1285" s="41"/>
      <c r="L1285" s="41"/>
    </row>
    <row r="1286" spans="5:12" s="39" customFormat="1" x14ac:dyDescent="0.3">
      <c r="E1286" s="41"/>
      <c r="F1286" s="41"/>
      <c r="G1286" s="41"/>
      <c r="H1286" s="41"/>
      <c r="I1286" s="41"/>
      <c r="J1286" s="41"/>
      <c r="K1286" s="41"/>
      <c r="L1286" s="41"/>
    </row>
    <row r="1287" spans="5:12" s="39" customFormat="1" x14ac:dyDescent="0.3">
      <c r="E1287" s="41"/>
      <c r="F1287" s="41"/>
      <c r="G1287" s="41"/>
      <c r="H1287" s="41"/>
      <c r="I1287" s="41"/>
      <c r="J1287" s="41"/>
      <c r="K1287" s="41"/>
      <c r="L1287" s="41"/>
    </row>
    <row r="1288" spans="5:12" s="39" customFormat="1" x14ac:dyDescent="0.3">
      <c r="E1288" s="41"/>
      <c r="F1288" s="41"/>
      <c r="G1288" s="41"/>
      <c r="H1288" s="41"/>
      <c r="I1288" s="41"/>
      <c r="J1288" s="41"/>
      <c r="K1288" s="41"/>
      <c r="L1288" s="41"/>
    </row>
    <row r="1289" spans="5:12" s="39" customFormat="1" x14ac:dyDescent="0.3">
      <c r="E1289" s="41"/>
      <c r="F1289" s="41"/>
      <c r="G1289" s="41"/>
      <c r="H1289" s="41"/>
      <c r="I1289" s="41"/>
      <c r="J1289" s="41"/>
      <c r="K1289" s="41"/>
      <c r="L1289" s="41"/>
    </row>
    <row r="1290" spans="5:12" s="39" customFormat="1" x14ac:dyDescent="0.3">
      <c r="E1290" s="41"/>
      <c r="F1290" s="41"/>
      <c r="G1290" s="41"/>
      <c r="H1290" s="41"/>
      <c r="I1290" s="41"/>
      <c r="J1290" s="41"/>
      <c r="K1290" s="41"/>
      <c r="L1290" s="41"/>
    </row>
    <row r="1291" spans="5:12" s="39" customFormat="1" x14ac:dyDescent="0.3">
      <c r="E1291" s="41"/>
      <c r="F1291" s="41"/>
      <c r="G1291" s="41"/>
      <c r="H1291" s="41"/>
      <c r="I1291" s="41"/>
      <c r="J1291" s="41"/>
      <c r="K1291" s="41"/>
      <c r="L1291" s="41"/>
    </row>
    <row r="1292" spans="5:12" s="39" customFormat="1" x14ac:dyDescent="0.3">
      <c r="E1292" s="41"/>
      <c r="F1292" s="41"/>
      <c r="G1292" s="41"/>
      <c r="H1292" s="41"/>
      <c r="I1292" s="41"/>
      <c r="J1292" s="41"/>
      <c r="K1292" s="41"/>
      <c r="L1292" s="41"/>
    </row>
    <row r="1293" spans="5:12" s="39" customFormat="1" x14ac:dyDescent="0.3">
      <c r="E1293" s="41"/>
      <c r="F1293" s="41"/>
      <c r="G1293" s="41"/>
      <c r="H1293" s="41"/>
      <c r="I1293" s="41"/>
      <c r="J1293" s="41"/>
      <c r="K1293" s="41"/>
      <c r="L1293" s="41"/>
    </row>
    <row r="1294" spans="5:12" s="39" customFormat="1" x14ac:dyDescent="0.3">
      <c r="E1294" s="41"/>
      <c r="F1294" s="41"/>
      <c r="G1294" s="41"/>
      <c r="H1294" s="41"/>
      <c r="I1294" s="41"/>
      <c r="J1294" s="41"/>
      <c r="K1294" s="41"/>
      <c r="L1294" s="41"/>
    </row>
    <row r="1295" spans="5:12" s="39" customFormat="1" x14ac:dyDescent="0.3">
      <c r="E1295" s="41"/>
      <c r="F1295" s="41"/>
      <c r="G1295" s="41"/>
      <c r="H1295" s="41"/>
      <c r="I1295" s="41"/>
      <c r="J1295" s="41"/>
      <c r="K1295" s="41"/>
      <c r="L1295" s="41"/>
    </row>
    <row r="1296" spans="5:12" s="39" customFormat="1" x14ac:dyDescent="0.3">
      <c r="E1296" s="41"/>
      <c r="F1296" s="41"/>
      <c r="G1296" s="41"/>
      <c r="H1296" s="41"/>
      <c r="I1296" s="41"/>
      <c r="J1296" s="41"/>
      <c r="K1296" s="41"/>
      <c r="L1296" s="41"/>
    </row>
    <row r="1297" spans="5:12" s="39" customFormat="1" x14ac:dyDescent="0.3">
      <c r="E1297" s="41"/>
      <c r="F1297" s="41"/>
      <c r="G1297" s="41"/>
      <c r="H1297" s="41"/>
      <c r="I1297" s="41"/>
      <c r="J1297" s="41"/>
      <c r="K1297" s="41"/>
      <c r="L1297" s="41"/>
    </row>
    <row r="1298" spans="5:12" s="39" customFormat="1" x14ac:dyDescent="0.3">
      <c r="E1298" s="41"/>
      <c r="F1298" s="41"/>
      <c r="G1298" s="41"/>
      <c r="H1298" s="41"/>
      <c r="I1298" s="41"/>
      <c r="J1298" s="41"/>
      <c r="K1298" s="41"/>
      <c r="L1298" s="41"/>
    </row>
    <row r="1299" spans="5:12" s="39" customFormat="1" x14ac:dyDescent="0.3">
      <c r="E1299" s="41"/>
      <c r="F1299" s="41"/>
      <c r="G1299" s="41"/>
      <c r="H1299" s="41"/>
      <c r="I1299" s="41"/>
      <c r="J1299" s="41"/>
      <c r="K1299" s="41"/>
      <c r="L1299" s="41"/>
    </row>
    <row r="1300" spans="5:12" s="39" customFormat="1" x14ac:dyDescent="0.3">
      <c r="E1300" s="41"/>
      <c r="F1300" s="41"/>
      <c r="G1300" s="41"/>
      <c r="H1300" s="41"/>
      <c r="I1300" s="41"/>
      <c r="J1300" s="41"/>
      <c r="K1300" s="41"/>
      <c r="L1300" s="41"/>
    </row>
    <row r="1301" spans="5:12" s="39" customFormat="1" x14ac:dyDescent="0.3">
      <c r="E1301" s="41"/>
      <c r="F1301" s="41"/>
      <c r="G1301" s="41"/>
      <c r="H1301" s="41"/>
      <c r="I1301" s="41"/>
      <c r="J1301" s="41"/>
      <c r="K1301" s="41"/>
      <c r="L1301" s="41"/>
    </row>
    <row r="1302" spans="5:12" s="39" customFormat="1" x14ac:dyDescent="0.3">
      <c r="E1302" s="41"/>
      <c r="F1302" s="41"/>
      <c r="G1302" s="41"/>
      <c r="H1302" s="41"/>
      <c r="I1302" s="41"/>
      <c r="J1302" s="41"/>
      <c r="K1302" s="41"/>
      <c r="L1302" s="41"/>
    </row>
    <row r="1303" spans="5:12" s="39" customFormat="1" x14ac:dyDescent="0.3">
      <c r="E1303" s="41"/>
      <c r="F1303" s="41"/>
      <c r="G1303" s="41"/>
      <c r="H1303" s="41"/>
      <c r="I1303" s="41"/>
      <c r="J1303" s="41"/>
      <c r="K1303" s="41"/>
      <c r="L1303" s="41"/>
    </row>
    <row r="1304" spans="5:12" s="39" customFormat="1" x14ac:dyDescent="0.3">
      <c r="E1304" s="41"/>
      <c r="F1304" s="41"/>
      <c r="G1304" s="41"/>
      <c r="H1304" s="41"/>
      <c r="I1304" s="41"/>
      <c r="J1304" s="41"/>
      <c r="K1304" s="41"/>
      <c r="L1304" s="41"/>
    </row>
    <row r="1305" spans="5:12" s="39" customFormat="1" x14ac:dyDescent="0.3">
      <c r="E1305" s="41"/>
      <c r="F1305" s="41"/>
      <c r="G1305" s="41"/>
      <c r="H1305" s="41"/>
      <c r="I1305" s="41"/>
      <c r="J1305" s="41"/>
      <c r="K1305" s="41"/>
      <c r="L1305" s="41"/>
    </row>
    <row r="1306" spans="5:12" s="39" customFormat="1" x14ac:dyDescent="0.3">
      <c r="E1306" s="41"/>
      <c r="F1306" s="41"/>
      <c r="G1306" s="41"/>
      <c r="H1306" s="41"/>
      <c r="I1306" s="41"/>
      <c r="J1306" s="41"/>
      <c r="K1306" s="41"/>
      <c r="L1306" s="41"/>
    </row>
    <row r="1307" spans="5:12" s="39" customFormat="1" x14ac:dyDescent="0.3">
      <c r="E1307" s="41"/>
      <c r="F1307" s="41"/>
      <c r="G1307" s="41"/>
      <c r="H1307" s="41"/>
      <c r="I1307" s="41"/>
      <c r="J1307" s="41"/>
      <c r="K1307" s="41"/>
      <c r="L1307" s="41"/>
    </row>
    <row r="1308" spans="5:12" s="39" customFormat="1" x14ac:dyDescent="0.3">
      <c r="E1308" s="41"/>
      <c r="F1308" s="41"/>
      <c r="G1308" s="41"/>
      <c r="H1308" s="41"/>
      <c r="I1308" s="41"/>
      <c r="J1308" s="41"/>
      <c r="K1308" s="41"/>
      <c r="L1308" s="41"/>
    </row>
    <row r="1309" spans="5:12" s="39" customFormat="1" x14ac:dyDescent="0.3">
      <c r="E1309" s="41"/>
      <c r="F1309" s="41"/>
      <c r="G1309" s="41"/>
      <c r="H1309" s="41"/>
      <c r="I1309" s="41"/>
      <c r="J1309" s="41"/>
      <c r="K1309" s="41"/>
      <c r="L1309" s="41"/>
    </row>
    <row r="1310" spans="5:12" s="39" customFormat="1" x14ac:dyDescent="0.3">
      <c r="E1310" s="41"/>
      <c r="F1310" s="41"/>
      <c r="G1310" s="41"/>
      <c r="H1310" s="41"/>
      <c r="I1310" s="41"/>
      <c r="J1310" s="41"/>
      <c r="K1310" s="41"/>
      <c r="L1310" s="41"/>
    </row>
    <row r="1311" spans="5:12" s="39" customFormat="1" x14ac:dyDescent="0.3">
      <c r="E1311" s="41"/>
      <c r="F1311" s="41"/>
      <c r="G1311" s="41"/>
      <c r="H1311" s="41"/>
      <c r="I1311" s="41"/>
      <c r="J1311" s="41"/>
      <c r="K1311" s="41"/>
      <c r="L1311" s="41"/>
    </row>
    <row r="1312" spans="5:12" s="39" customFormat="1" x14ac:dyDescent="0.3">
      <c r="E1312" s="41"/>
      <c r="F1312" s="41"/>
      <c r="G1312" s="41"/>
      <c r="H1312" s="41"/>
      <c r="I1312" s="41"/>
      <c r="J1312" s="41"/>
      <c r="K1312" s="41"/>
      <c r="L1312" s="41"/>
    </row>
    <row r="1313" spans="5:12" s="39" customFormat="1" x14ac:dyDescent="0.3">
      <c r="E1313" s="41"/>
      <c r="F1313" s="41"/>
      <c r="G1313" s="41"/>
      <c r="H1313" s="41"/>
      <c r="I1313" s="41"/>
      <c r="J1313" s="41"/>
      <c r="K1313" s="41"/>
      <c r="L1313" s="41"/>
    </row>
    <row r="1314" spans="5:12" s="39" customFormat="1" x14ac:dyDescent="0.3">
      <c r="E1314" s="41"/>
      <c r="F1314" s="41"/>
      <c r="G1314" s="41"/>
      <c r="H1314" s="41"/>
      <c r="I1314" s="41"/>
      <c r="J1314" s="41"/>
      <c r="K1314" s="41"/>
      <c r="L1314" s="41"/>
    </row>
    <row r="1315" spans="5:12" s="39" customFormat="1" x14ac:dyDescent="0.3">
      <c r="E1315" s="41"/>
      <c r="F1315" s="41"/>
      <c r="G1315" s="41"/>
      <c r="H1315" s="41"/>
      <c r="I1315" s="41"/>
      <c r="J1315" s="41"/>
      <c r="K1315" s="41"/>
      <c r="L1315" s="41"/>
    </row>
    <row r="1316" spans="5:12" s="39" customFormat="1" x14ac:dyDescent="0.3">
      <c r="E1316" s="41"/>
      <c r="F1316" s="41"/>
      <c r="G1316" s="41"/>
      <c r="H1316" s="41"/>
      <c r="I1316" s="41"/>
      <c r="J1316" s="41"/>
      <c r="K1316" s="41"/>
      <c r="L1316" s="41"/>
    </row>
    <row r="1317" spans="5:12" s="39" customFormat="1" x14ac:dyDescent="0.3">
      <c r="E1317" s="41"/>
      <c r="F1317" s="41"/>
      <c r="G1317" s="41"/>
      <c r="H1317" s="41"/>
      <c r="I1317" s="41"/>
      <c r="J1317" s="41"/>
      <c r="K1317" s="41"/>
      <c r="L1317" s="41"/>
    </row>
    <row r="1318" spans="5:12" s="39" customFormat="1" x14ac:dyDescent="0.3">
      <c r="E1318" s="41"/>
      <c r="F1318" s="41"/>
      <c r="G1318" s="41"/>
      <c r="H1318" s="41"/>
      <c r="I1318" s="41"/>
      <c r="J1318" s="41"/>
      <c r="K1318" s="41"/>
      <c r="L1318" s="41"/>
    </row>
    <row r="1319" spans="5:12" s="39" customFormat="1" x14ac:dyDescent="0.3">
      <c r="E1319" s="41"/>
      <c r="F1319" s="41"/>
      <c r="G1319" s="41"/>
      <c r="H1319" s="41"/>
      <c r="I1319" s="41"/>
      <c r="J1319" s="41"/>
      <c r="K1319" s="41"/>
      <c r="L1319" s="41"/>
    </row>
    <row r="1320" spans="5:12" s="39" customFormat="1" x14ac:dyDescent="0.3">
      <c r="E1320" s="41"/>
      <c r="F1320" s="41"/>
      <c r="G1320" s="41"/>
      <c r="H1320" s="41"/>
      <c r="I1320" s="41"/>
      <c r="J1320" s="41"/>
      <c r="K1320" s="41"/>
      <c r="L1320" s="41"/>
    </row>
    <row r="1321" spans="5:12" s="39" customFormat="1" x14ac:dyDescent="0.3">
      <c r="E1321" s="41"/>
      <c r="F1321" s="41"/>
      <c r="G1321" s="41"/>
      <c r="H1321" s="41"/>
      <c r="I1321" s="41"/>
      <c r="J1321" s="41"/>
      <c r="K1321" s="41"/>
      <c r="L1321" s="41"/>
    </row>
    <row r="1322" spans="5:12" s="39" customFormat="1" x14ac:dyDescent="0.3">
      <c r="E1322" s="41"/>
      <c r="F1322" s="41"/>
      <c r="G1322" s="41"/>
      <c r="H1322" s="41"/>
      <c r="I1322" s="41"/>
      <c r="J1322" s="41"/>
      <c r="K1322" s="41"/>
      <c r="L1322" s="41"/>
    </row>
    <row r="1323" spans="5:12" s="39" customFormat="1" x14ac:dyDescent="0.3">
      <c r="E1323" s="41"/>
      <c r="F1323" s="41"/>
      <c r="G1323" s="41"/>
      <c r="H1323" s="41"/>
      <c r="I1323" s="41"/>
      <c r="J1323" s="41"/>
      <c r="K1323" s="41"/>
      <c r="L1323" s="41"/>
    </row>
    <row r="1324" spans="5:12" s="39" customFormat="1" x14ac:dyDescent="0.3">
      <c r="E1324" s="41"/>
      <c r="F1324" s="41"/>
      <c r="G1324" s="41"/>
      <c r="H1324" s="41"/>
      <c r="I1324" s="41"/>
      <c r="J1324" s="41"/>
      <c r="K1324" s="41"/>
      <c r="L1324" s="41"/>
    </row>
    <row r="1325" spans="5:12" s="39" customFormat="1" x14ac:dyDescent="0.3">
      <c r="E1325" s="41"/>
      <c r="F1325" s="41"/>
      <c r="G1325" s="41"/>
      <c r="H1325" s="41"/>
      <c r="I1325" s="41"/>
      <c r="J1325" s="41"/>
      <c r="K1325" s="41"/>
      <c r="L1325" s="41"/>
    </row>
    <row r="1326" spans="5:12" s="39" customFormat="1" x14ac:dyDescent="0.3">
      <c r="E1326" s="41"/>
      <c r="F1326" s="41"/>
      <c r="G1326" s="41"/>
      <c r="H1326" s="41"/>
      <c r="I1326" s="41"/>
      <c r="J1326" s="41"/>
      <c r="K1326" s="41"/>
      <c r="L1326" s="41"/>
    </row>
    <row r="1327" spans="5:12" s="39" customFormat="1" x14ac:dyDescent="0.3">
      <c r="E1327" s="41"/>
      <c r="F1327" s="41"/>
      <c r="G1327" s="41"/>
      <c r="H1327" s="41"/>
      <c r="I1327" s="41"/>
      <c r="J1327" s="41"/>
      <c r="K1327" s="41"/>
      <c r="L1327" s="41"/>
    </row>
    <row r="1328" spans="5:12" s="39" customFormat="1" x14ac:dyDescent="0.3">
      <c r="E1328" s="41"/>
      <c r="F1328" s="41"/>
      <c r="G1328" s="41"/>
      <c r="H1328" s="41"/>
      <c r="I1328" s="41"/>
      <c r="J1328" s="41"/>
      <c r="K1328" s="41"/>
      <c r="L1328" s="41"/>
    </row>
    <row r="1329" spans="5:12" s="39" customFormat="1" x14ac:dyDescent="0.3">
      <c r="E1329" s="41"/>
      <c r="F1329" s="41"/>
      <c r="G1329" s="41"/>
      <c r="H1329" s="41"/>
      <c r="I1329" s="41"/>
      <c r="J1329" s="41"/>
      <c r="K1329" s="41"/>
      <c r="L1329" s="41"/>
    </row>
    <row r="1330" spans="5:12" s="39" customFormat="1" x14ac:dyDescent="0.3">
      <c r="E1330" s="41"/>
      <c r="F1330" s="41"/>
      <c r="G1330" s="41"/>
      <c r="H1330" s="41"/>
      <c r="I1330" s="41"/>
      <c r="J1330" s="41"/>
      <c r="K1330" s="41"/>
      <c r="L1330" s="41"/>
    </row>
    <row r="1331" spans="5:12" s="39" customFormat="1" x14ac:dyDescent="0.3">
      <c r="E1331" s="41"/>
      <c r="F1331" s="41"/>
      <c r="G1331" s="41"/>
      <c r="H1331" s="41"/>
      <c r="I1331" s="41"/>
      <c r="J1331" s="41"/>
      <c r="K1331" s="41"/>
      <c r="L1331" s="41"/>
    </row>
    <row r="1332" spans="5:12" s="39" customFormat="1" x14ac:dyDescent="0.3">
      <c r="E1332" s="41"/>
      <c r="F1332" s="41"/>
      <c r="G1332" s="41"/>
      <c r="H1332" s="41"/>
      <c r="I1332" s="41"/>
      <c r="J1332" s="41"/>
      <c r="K1332" s="41"/>
      <c r="L1332" s="41"/>
    </row>
    <row r="1333" spans="5:12" s="39" customFormat="1" x14ac:dyDescent="0.3">
      <c r="E1333" s="41"/>
      <c r="F1333" s="41"/>
      <c r="G1333" s="41"/>
      <c r="H1333" s="41"/>
      <c r="I1333" s="41"/>
      <c r="J1333" s="41"/>
      <c r="K1333" s="41"/>
      <c r="L1333" s="41"/>
    </row>
    <row r="1334" spans="5:12" s="39" customFormat="1" x14ac:dyDescent="0.3">
      <c r="E1334" s="41"/>
      <c r="F1334" s="41"/>
      <c r="G1334" s="41"/>
      <c r="H1334" s="41"/>
      <c r="I1334" s="41"/>
      <c r="J1334" s="41"/>
      <c r="K1334" s="41"/>
      <c r="L1334" s="41"/>
    </row>
    <row r="1335" spans="5:12" s="39" customFormat="1" x14ac:dyDescent="0.3">
      <c r="E1335" s="41"/>
      <c r="F1335" s="41"/>
      <c r="G1335" s="41"/>
      <c r="H1335" s="41"/>
      <c r="I1335" s="41"/>
      <c r="J1335" s="41"/>
      <c r="K1335" s="41"/>
      <c r="L1335" s="41"/>
    </row>
    <row r="1336" spans="5:12" s="39" customFormat="1" x14ac:dyDescent="0.3">
      <c r="E1336" s="41"/>
      <c r="F1336" s="41"/>
      <c r="G1336" s="41"/>
      <c r="H1336" s="41"/>
      <c r="I1336" s="41"/>
      <c r="J1336" s="41"/>
      <c r="K1336" s="41"/>
      <c r="L1336" s="41"/>
    </row>
    <row r="1337" spans="5:12" s="39" customFormat="1" x14ac:dyDescent="0.3">
      <c r="E1337" s="41"/>
      <c r="F1337" s="41"/>
      <c r="G1337" s="41"/>
      <c r="H1337" s="41"/>
      <c r="I1337" s="41"/>
      <c r="J1337" s="41"/>
      <c r="K1337" s="41"/>
      <c r="L1337" s="41"/>
    </row>
    <row r="1338" spans="5:12" s="39" customFormat="1" x14ac:dyDescent="0.3">
      <c r="E1338" s="41"/>
      <c r="F1338" s="41"/>
      <c r="G1338" s="41"/>
      <c r="H1338" s="41"/>
      <c r="I1338" s="41"/>
      <c r="J1338" s="41"/>
      <c r="K1338" s="41"/>
      <c r="L1338" s="41"/>
    </row>
    <row r="1339" spans="5:12" s="39" customFormat="1" x14ac:dyDescent="0.3">
      <c r="E1339" s="41"/>
      <c r="F1339" s="41"/>
      <c r="G1339" s="41"/>
      <c r="H1339" s="41"/>
      <c r="I1339" s="41"/>
      <c r="J1339" s="41"/>
      <c r="K1339" s="41"/>
      <c r="L1339" s="41"/>
    </row>
    <row r="1340" spans="5:12" s="39" customFormat="1" x14ac:dyDescent="0.3">
      <c r="E1340" s="41"/>
      <c r="F1340" s="41"/>
      <c r="G1340" s="41"/>
      <c r="H1340" s="41"/>
      <c r="I1340" s="41"/>
      <c r="J1340" s="41"/>
      <c r="K1340" s="41"/>
      <c r="L1340" s="41"/>
    </row>
    <row r="1341" spans="5:12" s="39" customFormat="1" x14ac:dyDescent="0.3">
      <c r="E1341" s="41"/>
      <c r="F1341" s="41"/>
      <c r="G1341" s="41"/>
      <c r="H1341" s="41"/>
      <c r="I1341" s="41"/>
      <c r="J1341" s="41"/>
      <c r="K1341" s="41"/>
      <c r="L1341" s="41"/>
    </row>
    <row r="1342" spans="5:12" s="39" customFormat="1" x14ac:dyDescent="0.3">
      <c r="E1342" s="41"/>
      <c r="F1342" s="41"/>
      <c r="G1342" s="41"/>
      <c r="H1342" s="41"/>
      <c r="I1342" s="41"/>
      <c r="J1342" s="41"/>
      <c r="K1342" s="41"/>
      <c r="L1342" s="41"/>
    </row>
    <row r="1343" spans="5:12" s="39" customFormat="1" x14ac:dyDescent="0.3">
      <c r="E1343" s="41"/>
      <c r="F1343" s="41"/>
      <c r="G1343" s="41"/>
      <c r="H1343" s="41"/>
      <c r="I1343" s="41"/>
      <c r="J1343" s="41"/>
      <c r="K1343" s="41"/>
      <c r="L1343" s="41"/>
    </row>
    <row r="1344" spans="5:12" s="39" customFormat="1" x14ac:dyDescent="0.3">
      <c r="E1344" s="41"/>
      <c r="F1344" s="41"/>
      <c r="G1344" s="41"/>
      <c r="H1344" s="41"/>
      <c r="I1344" s="41"/>
      <c r="J1344" s="41"/>
      <c r="K1344" s="41"/>
      <c r="L1344" s="41"/>
    </row>
    <row r="1345" spans="5:12" s="39" customFormat="1" x14ac:dyDescent="0.3">
      <c r="E1345" s="41"/>
      <c r="F1345" s="41"/>
      <c r="G1345" s="41"/>
      <c r="H1345" s="41"/>
      <c r="I1345" s="41"/>
      <c r="J1345" s="41"/>
      <c r="K1345" s="41"/>
      <c r="L1345" s="41"/>
    </row>
    <row r="1346" spans="5:12" s="39" customFormat="1" x14ac:dyDescent="0.3">
      <c r="E1346" s="41"/>
      <c r="F1346" s="41"/>
      <c r="G1346" s="41"/>
      <c r="H1346" s="41"/>
      <c r="I1346" s="41"/>
      <c r="J1346" s="41"/>
      <c r="K1346" s="41"/>
      <c r="L1346" s="41"/>
    </row>
    <row r="1347" spans="5:12" s="39" customFormat="1" x14ac:dyDescent="0.3">
      <c r="E1347" s="41"/>
      <c r="F1347" s="41"/>
      <c r="G1347" s="41"/>
      <c r="H1347" s="41"/>
      <c r="I1347" s="41"/>
      <c r="J1347" s="41"/>
      <c r="K1347" s="41"/>
      <c r="L1347" s="41"/>
    </row>
    <row r="1348" spans="5:12" s="39" customFormat="1" x14ac:dyDescent="0.3">
      <c r="E1348" s="41"/>
      <c r="F1348" s="41"/>
      <c r="G1348" s="41"/>
      <c r="H1348" s="41"/>
      <c r="I1348" s="41"/>
      <c r="J1348" s="41"/>
      <c r="K1348" s="41"/>
      <c r="L1348" s="41"/>
    </row>
    <row r="1349" spans="5:12" s="39" customFormat="1" x14ac:dyDescent="0.3">
      <c r="E1349" s="41"/>
      <c r="F1349" s="41"/>
      <c r="G1349" s="41"/>
      <c r="H1349" s="41"/>
      <c r="I1349" s="41"/>
      <c r="J1349" s="41"/>
      <c r="K1349" s="41"/>
      <c r="L1349" s="41"/>
    </row>
    <row r="1350" spans="5:12" s="39" customFormat="1" x14ac:dyDescent="0.3">
      <c r="E1350" s="41"/>
      <c r="F1350" s="41"/>
      <c r="G1350" s="41"/>
      <c r="H1350" s="41"/>
      <c r="I1350" s="41"/>
      <c r="J1350" s="41"/>
      <c r="K1350" s="41"/>
      <c r="L1350" s="41"/>
    </row>
    <row r="1351" spans="5:12" s="39" customFormat="1" x14ac:dyDescent="0.3">
      <c r="E1351" s="41"/>
      <c r="F1351" s="41"/>
      <c r="G1351" s="41"/>
      <c r="H1351" s="41"/>
      <c r="I1351" s="41"/>
      <c r="J1351" s="41"/>
      <c r="K1351" s="41"/>
      <c r="L1351" s="41"/>
    </row>
    <row r="1352" spans="5:12" s="39" customFormat="1" x14ac:dyDescent="0.3">
      <c r="E1352" s="41"/>
      <c r="F1352" s="41"/>
      <c r="G1352" s="41"/>
      <c r="H1352" s="41"/>
      <c r="I1352" s="41"/>
      <c r="J1352" s="41"/>
      <c r="K1352" s="41"/>
      <c r="L1352" s="41"/>
    </row>
    <row r="1353" spans="5:12" s="39" customFormat="1" x14ac:dyDescent="0.3">
      <c r="E1353" s="41"/>
      <c r="F1353" s="41"/>
      <c r="G1353" s="41"/>
      <c r="H1353" s="41"/>
      <c r="I1353" s="41"/>
      <c r="J1353" s="41"/>
      <c r="K1353" s="41"/>
      <c r="L1353" s="41"/>
    </row>
    <row r="1354" spans="5:12" s="39" customFormat="1" x14ac:dyDescent="0.3">
      <c r="E1354" s="41"/>
      <c r="F1354" s="41"/>
      <c r="G1354" s="41"/>
      <c r="H1354" s="41"/>
      <c r="I1354" s="41"/>
      <c r="J1354" s="41"/>
      <c r="K1354" s="41"/>
      <c r="L1354" s="41"/>
    </row>
    <row r="1355" spans="5:12" s="39" customFormat="1" x14ac:dyDescent="0.3">
      <c r="E1355" s="41"/>
      <c r="F1355" s="41"/>
      <c r="G1355" s="41"/>
      <c r="H1355" s="41"/>
      <c r="I1355" s="41"/>
      <c r="J1355" s="41"/>
      <c r="K1355" s="41"/>
      <c r="L1355" s="41"/>
    </row>
    <row r="1356" spans="5:12" s="39" customFormat="1" x14ac:dyDescent="0.3">
      <c r="E1356" s="41"/>
      <c r="F1356" s="41"/>
      <c r="G1356" s="41"/>
      <c r="H1356" s="41"/>
      <c r="I1356" s="41"/>
      <c r="J1356" s="41"/>
      <c r="K1356" s="41"/>
      <c r="L1356" s="41"/>
    </row>
    <row r="1357" spans="5:12" s="39" customFormat="1" x14ac:dyDescent="0.3">
      <c r="E1357" s="41"/>
      <c r="F1357" s="41"/>
      <c r="G1357" s="41"/>
      <c r="H1357" s="41"/>
      <c r="I1357" s="41"/>
      <c r="J1357" s="41"/>
      <c r="K1357" s="41"/>
      <c r="L1357" s="41"/>
    </row>
    <row r="1358" spans="5:12" s="39" customFormat="1" x14ac:dyDescent="0.3">
      <c r="E1358" s="41"/>
      <c r="F1358" s="41"/>
      <c r="G1358" s="41"/>
      <c r="H1358" s="41"/>
      <c r="I1358" s="41"/>
      <c r="J1358" s="41"/>
      <c r="K1358" s="41"/>
      <c r="L1358" s="41"/>
    </row>
    <row r="1359" spans="5:12" s="39" customFormat="1" x14ac:dyDescent="0.3">
      <c r="E1359" s="41"/>
      <c r="F1359" s="41"/>
      <c r="G1359" s="41"/>
      <c r="H1359" s="41"/>
      <c r="I1359" s="41"/>
      <c r="J1359" s="41"/>
      <c r="K1359" s="41"/>
      <c r="L1359" s="41"/>
    </row>
    <row r="1360" spans="5:12" s="39" customFormat="1" x14ac:dyDescent="0.3">
      <c r="E1360" s="41"/>
      <c r="F1360" s="41"/>
      <c r="G1360" s="41"/>
      <c r="H1360" s="41"/>
      <c r="I1360" s="41"/>
      <c r="J1360" s="41"/>
      <c r="K1360" s="41"/>
      <c r="L1360" s="41"/>
    </row>
    <row r="1361" spans="5:12" s="39" customFormat="1" x14ac:dyDescent="0.3">
      <c r="E1361" s="41"/>
      <c r="F1361" s="41"/>
      <c r="G1361" s="41"/>
      <c r="H1361" s="41"/>
      <c r="I1361" s="41"/>
      <c r="J1361" s="41"/>
      <c r="K1361" s="41"/>
      <c r="L1361" s="41"/>
    </row>
    <row r="1362" spans="5:12" s="39" customFormat="1" x14ac:dyDescent="0.3">
      <c r="E1362" s="41"/>
      <c r="F1362" s="41"/>
      <c r="G1362" s="41"/>
      <c r="H1362" s="41"/>
      <c r="I1362" s="41"/>
      <c r="J1362" s="41"/>
      <c r="K1362" s="41"/>
      <c r="L1362" s="41"/>
    </row>
    <row r="1363" spans="5:12" s="39" customFormat="1" x14ac:dyDescent="0.3">
      <c r="E1363" s="41"/>
      <c r="F1363" s="41"/>
      <c r="G1363" s="41"/>
      <c r="H1363" s="41"/>
      <c r="I1363" s="41"/>
      <c r="J1363" s="41"/>
      <c r="K1363" s="41"/>
      <c r="L1363" s="41"/>
    </row>
    <row r="1364" spans="5:12" s="39" customFormat="1" x14ac:dyDescent="0.3">
      <c r="E1364" s="41"/>
      <c r="F1364" s="41"/>
      <c r="G1364" s="41"/>
      <c r="H1364" s="41"/>
      <c r="I1364" s="41"/>
      <c r="J1364" s="41"/>
      <c r="K1364" s="41"/>
      <c r="L1364" s="41"/>
    </row>
    <row r="1365" spans="5:12" s="39" customFormat="1" x14ac:dyDescent="0.3">
      <c r="E1365" s="41"/>
      <c r="F1365" s="41"/>
      <c r="G1365" s="41"/>
      <c r="H1365" s="41"/>
      <c r="I1365" s="41"/>
      <c r="J1365" s="41"/>
      <c r="K1365" s="41"/>
      <c r="L1365" s="41"/>
    </row>
    <row r="1366" spans="5:12" s="39" customFormat="1" x14ac:dyDescent="0.3">
      <c r="E1366" s="41"/>
      <c r="F1366" s="41"/>
      <c r="G1366" s="41"/>
      <c r="H1366" s="41"/>
      <c r="I1366" s="41"/>
      <c r="J1366" s="41"/>
      <c r="K1366" s="41"/>
      <c r="L1366" s="41"/>
    </row>
    <row r="1367" spans="5:12" s="39" customFormat="1" x14ac:dyDescent="0.3">
      <c r="E1367" s="41"/>
      <c r="F1367" s="41"/>
      <c r="G1367" s="41"/>
      <c r="H1367" s="41"/>
      <c r="I1367" s="41"/>
      <c r="J1367" s="41"/>
      <c r="K1367" s="41"/>
      <c r="L1367" s="41"/>
    </row>
    <row r="1368" spans="5:12" s="39" customFormat="1" x14ac:dyDescent="0.3">
      <c r="E1368" s="41"/>
      <c r="F1368" s="41"/>
      <c r="G1368" s="41"/>
      <c r="H1368" s="41"/>
      <c r="I1368" s="41"/>
      <c r="J1368" s="41"/>
      <c r="K1368" s="41"/>
      <c r="L1368" s="41"/>
    </row>
    <row r="1369" spans="5:12" s="39" customFormat="1" x14ac:dyDescent="0.3">
      <c r="E1369" s="41"/>
      <c r="F1369" s="41"/>
      <c r="G1369" s="41"/>
      <c r="H1369" s="41"/>
      <c r="I1369" s="41"/>
      <c r="J1369" s="41"/>
      <c r="K1369" s="41"/>
      <c r="L1369" s="41"/>
    </row>
    <row r="1370" spans="5:12" s="39" customFormat="1" x14ac:dyDescent="0.3">
      <c r="E1370" s="41"/>
      <c r="F1370" s="41"/>
      <c r="G1370" s="41"/>
      <c r="H1370" s="41"/>
      <c r="I1370" s="41"/>
      <c r="J1370" s="41"/>
      <c r="K1370" s="41"/>
      <c r="L1370" s="41"/>
    </row>
    <row r="1371" spans="5:12" s="39" customFormat="1" x14ac:dyDescent="0.3">
      <c r="E1371" s="41"/>
      <c r="F1371" s="41"/>
      <c r="G1371" s="41"/>
      <c r="H1371" s="41"/>
      <c r="I1371" s="41"/>
      <c r="J1371" s="41"/>
      <c r="K1371" s="41"/>
      <c r="L1371" s="41"/>
    </row>
    <row r="1372" spans="5:12" s="39" customFormat="1" x14ac:dyDescent="0.3">
      <c r="E1372" s="41"/>
      <c r="F1372" s="41"/>
      <c r="G1372" s="41"/>
      <c r="H1372" s="41"/>
      <c r="I1372" s="41"/>
      <c r="J1372" s="41"/>
      <c r="K1372" s="41"/>
      <c r="L1372" s="41"/>
    </row>
    <row r="1373" spans="5:12" s="39" customFormat="1" x14ac:dyDescent="0.3">
      <c r="E1373" s="41"/>
      <c r="F1373" s="41"/>
      <c r="G1373" s="41"/>
      <c r="H1373" s="41"/>
      <c r="I1373" s="41"/>
      <c r="J1373" s="41"/>
      <c r="K1373" s="41"/>
      <c r="L1373" s="41"/>
    </row>
    <row r="1374" spans="5:12" s="39" customFormat="1" x14ac:dyDescent="0.3">
      <c r="E1374" s="41"/>
      <c r="F1374" s="41"/>
      <c r="G1374" s="41"/>
      <c r="H1374" s="41"/>
      <c r="I1374" s="41"/>
      <c r="J1374" s="41"/>
      <c r="K1374" s="41"/>
      <c r="L1374" s="41"/>
    </row>
    <row r="1375" spans="5:12" s="39" customFormat="1" x14ac:dyDescent="0.3">
      <c r="E1375" s="41"/>
      <c r="F1375" s="41"/>
      <c r="G1375" s="41"/>
      <c r="H1375" s="41"/>
      <c r="I1375" s="41"/>
      <c r="J1375" s="41"/>
      <c r="K1375" s="41"/>
      <c r="L1375" s="41"/>
    </row>
    <row r="1376" spans="5:12" s="39" customFormat="1" x14ac:dyDescent="0.3">
      <c r="E1376" s="41"/>
      <c r="F1376" s="41"/>
      <c r="G1376" s="41"/>
      <c r="H1376" s="41"/>
      <c r="I1376" s="41"/>
      <c r="J1376" s="41"/>
      <c r="K1376" s="41"/>
      <c r="L1376" s="41"/>
    </row>
    <row r="1377" spans="5:12" s="39" customFormat="1" x14ac:dyDescent="0.3">
      <c r="E1377" s="41"/>
      <c r="F1377" s="41"/>
      <c r="G1377" s="41"/>
      <c r="H1377" s="41"/>
      <c r="I1377" s="41"/>
      <c r="J1377" s="41"/>
      <c r="K1377" s="41"/>
      <c r="L1377" s="41"/>
    </row>
    <row r="1378" spans="5:12" s="39" customFormat="1" x14ac:dyDescent="0.3">
      <c r="E1378" s="41"/>
      <c r="F1378" s="41"/>
      <c r="G1378" s="41"/>
      <c r="H1378" s="41"/>
      <c r="I1378" s="41"/>
      <c r="J1378" s="41"/>
      <c r="K1378" s="41"/>
      <c r="L1378" s="41"/>
    </row>
    <row r="1379" spans="5:12" s="39" customFormat="1" x14ac:dyDescent="0.3">
      <c r="E1379" s="41"/>
      <c r="F1379" s="41"/>
      <c r="G1379" s="41"/>
      <c r="H1379" s="41"/>
      <c r="I1379" s="41"/>
      <c r="J1379" s="41"/>
      <c r="K1379" s="41"/>
      <c r="L1379" s="41"/>
    </row>
    <row r="1380" spans="5:12" s="39" customFormat="1" x14ac:dyDescent="0.3">
      <c r="E1380" s="41"/>
      <c r="F1380" s="41"/>
      <c r="G1380" s="41"/>
      <c r="H1380" s="41"/>
      <c r="I1380" s="41"/>
      <c r="J1380" s="41"/>
      <c r="K1380" s="41"/>
      <c r="L1380" s="41"/>
    </row>
    <row r="1381" spans="5:12" s="39" customFormat="1" x14ac:dyDescent="0.3">
      <c r="E1381" s="41"/>
      <c r="F1381" s="41"/>
      <c r="G1381" s="41"/>
      <c r="H1381" s="41"/>
      <c r="I1381" s="41"/>
      <c r="J1381" s="41"/>
      <c r="K1381" s="41"/>
      <c r="L1381" s="41"/>
    </row>
    <row r="1382" spans="5:12" s="39" customFormat="1" x14ac:dyDescent="0.3">
      <c r="E1382" s="41"/>
      <c r="F1382" s="41"/>
      <c r="G1382" s="41"/>
      <c r="H1382" s="41"/>
      <c r="I1382" s="41"/>
      <c r="J1382" s="41"/>
      <c r="K1382" s="41"/>
      <c r="L1382" s="41"/>
    </row>
    <row r="1383" spans="5:12" s="39" customFormat="1" x14ac:dyDescent="0.3">
      <c r="E1383" s="41"/>
      <c r="F1383" s="41"/>
      <c r="G1383" s="41"/>
      <c r="H1383" s="41"/>
      <c r="I1383" s="41"/>
      <c r="J1383" s="41"/>
      <c r="K1383" s="41"/>
      <c r="L1383" s="41"/>
    </row>
    <row r="1384" spans="5:12" s="39" customFormat="1" x14ac:dyDescent="0.3">
      <c r="E1384" s="41"/>
      <c r="F1384" s="41"/>
      <c r="G1384" s="41"/>
      <c r="H1384" s="41"/>
      <c r="I1384" s="41"/>
      <c r="J1384" s="41"/>
      <c r="K1384" s="41"/>
      <c r="L1384" s="41"/>
    </row>
    <row r="1385" spans="5:12" s="39" customFormat="1" x14ac:dyDescent="0.3">
      <c r="E1385" s="41"/>
      <c r="F1385" s="41"/>
      <c r="G1385" s="41"/>
      <c r="H1385" s="41"/>
      <c r="I1385" s="41"/>
      <c r="J1385" s="41"/>
      <c r="K1385" s="41"/>
      <c r="L1385" s="41"/>
    </row>
    <row r="1386" spans="5:12" s="39" customFormat="1" x14ac:dyDescent="0.3">
      <c r="E1386" s="41"/>
      <c r="F1386" s="41"/>
      <c r="G1386" s="41"/>
      <c r="H1386" s="41"/>
      <c r="I1386" s="41"/>
      <c r="J1386" s="41"/>
      <c r="K1386" s="41"/>
      <c r="L1386" s="41"/>
    </row>
    <row r="1387" spans="5:12" s="39" customFormat="1" x14ac:dyDescent="0.3">
      <c r="E1387" s="41"/>
      <c r="F1387" s="41"/>
      <c r="G1387" s="41"/>
      <c r="H1387" s="41"/>
      <c r="I1387" s="41"/>
      <c r="J1387" s="41"/>
      <c r="K1387" s="41"/>
      <c r="L1387" s="41"/>
    </row>
    <row r="1388" spans="5:12" s="39" customFormat="1" x14ac:dyDescent="0.3">
      <c r="E1388" s="41"/>
      <c r="F1388" s="41"/>
      <c r="G1388" s="41"/>
      <c r="H1388" s="41"/>
      <c r="I1388" s="41"/>
      <c r="J1388" s="41"/>
      <c r="K1388" s="41"/>
      <c r="L1388" s="41"/>
    </row>
    <row r="1389" spans="5:12" s="39" customFormat="1" x14ac:dyDescent="0.3">
      <c r="E1389" s="41"/>
      <c r="F1389" s="41"/>
      <c r="G1389" s="41"/>
      <c r="H1389" s="41"/>
      <c r="I1389" s="41"/>
      <c r="J1389" s="41"/>
      <c r="K1389" s="41"/>
      <c r="L1389" s="41"/>
    </row>
    <row r="1390" spans="5:12" s="39" customFormat="1" x14ac:dyDescent="0.3">
      <c r="E1390" s="41"/>
      <c r="F1390" s="41"/>
      <c r="G1390" s="41"/>
      <c r="H1390" s="41"/>
      <c r="I1390" s="41"/>
      <c r="J1390" s="41"/>
      <c r="K1390" s="41"/>
      <c r="L1390" s="41"/>
    </row>
    <row r="1391" spans="5:12" s="39" customFormat="1" x14ac:dyDescent="0.3">
      <c r="E1391" s="41"/>
      <c r="F1391" s="41"/>
      <c r="G1391" s="41"/>
      <c r="H1391" s="41"/>
      <c r="I1391" s="41"/>
      <c r="J1391" s="41"/>
      <c r="K1391" s="41"/>
      <c r="L1391" s="41"/>
    </row>
    <row r="1392" spans="5:12" s="39" customFormat="1" x14ac:dyDescent="0.3">
      <c r="E1392" s="41"/>
      <c r="F1392" s="41"/>
      <c r="G1392" s="41"/>
      <c r="H1392" s="41"/>
      <c r="I1392" s="41"/>
      <c r="J1392" s="41"/>
      <c r="K1392" s="41"/>
      <c r="L1392" s="41"/>
    </row>
    <row r="1393" spans="5:12" s="39" customFormat="1" x14ac:dyDescent="0.3">
      <c r="E1393" s="41"/>
      <c r="F1393" s="41"/>
      <c r="G1393" s="41"/>
      <c r="H1393" s="41"/>
      <c r="I1393" s="41"/>
      <c r="J1393" s="41"/>
      <c r="K1393" s="41"/>
      <c r="L1393" s="41"/>
    </row>
    <row r="1394" spans="5:12" s="39" customFormat="1" x14ac:dyDescent="0.3">
      <c r="E1394" s="41"/>
      <c r="F1394" s="41"/>
      <c r="G1394" s="41"/>
      <c r="H1394" s="41"/>
      <c r="I1394" s="41"/>
      <c r="J1394" s="41"/>
      <c r="K1394" s="41"/>
      <c r="L1394" s="41"/>
    </row>
    <row r="1395" spans="5:12" s="39" customFormat="1" x14ac:dyDescent="0.3">
      <c r="E1395" s="41"/>
      <c r="F1395" s="41"/>
      <c r="G1395" s="41"/>
      <c r="H1395" s="41"/>
      <c r="I1395" s="41"/>
      <c r="J1395" s="41"/>
      <c r="K1395" s="41"/>
      <c r="L1395" s="41"/>
    </row>
    <row r="1396" spans="5:12" s="39" customFormat="1" x14ac:dyDescent="0.3">
      <c r="E1396" s="41"/>
      <c r="F1396" s="41"/>
      <c r="G1396" s="41"/>
      <c r="H1396" s="41"/>
      <c r="I1396" s="41"/>
      <c r="J1396" s="41"/>
      <c r="K1396" s="41"/>
      <c r="L1396" s="41"/>
    </row>
    <row r="1397" spans="5:12" s="39" customFormat="1" x14ac:dyDescent="0.3">
      <c r="E1397" s="41"/>
      <c r="F1397" s="41"/>
      <c r="G1397" s="41"/>
      <c r="H1397" s="41"/>
      <c r="I1397" s="41"/>
      <c r="J1397" s="41"/>
      <c r="K1397" s="41"/>
      <c r="L1397" s="41"/>
    </row>
    <row r="1398" spans="5:12" s="39" customFormat="1" x14ac:dyDescent="0.3">
      <c r="E1398" s="41"/>
      <c r="F1398" s="41"/>
      <c r="G1398" s="41"/>
      <c r="H1398" s="41"/>
      <c r="I1398" s="41"/>
      <c r="J1398" s="41"/>
      <c r="K1398" s="41"/>
      <c r="L1398" s="41"/>
    </row>
    <row r="1399" spans="5:12" s="39" customFormat="1" x14ac:dyDescent="0.3">
      <c r="E1399" s="41"/>
      <c r="F1399" s="41"/>
      <c r="G1399" s="41"/>
      <c r="H1399" s="41"/>
      <c r="I1399" s="41"/>
      <c r="J1399" s="41"/>
      <c r="K1399" s="41"/>
      <c r="L1399" s="41"/>
    </row>
    <row r="1400" spans="5:12" s="39" customFormat="1" x14ac:dyDescent="0.3">
      <c r="E1400" s="41"/>
      <c r="F1400" s="41"/>
      <c r="G1400" s="41"/>
      <c r="H1400" s="41"/>
      <c r="I1400" s="41"/>
      <c r="J1400" s="41"/>
      <c r="K1400" s="41"/>
      <c r="L1400" s="41"/>
    </row>
    <row r="1401" spans="5:12" s="39" customFormat="1" x14ac:dyDescent="0.3">
      <c r="E1401" s="41"/>
      <c r="F1401" s="41"/>
      <c r="G1401" s="41"/>
      <c r="H1401" s="41"/>
      <c r="I1401" s="41"/>
      <c r="J1401" s="41"/>
      <c r="K1401" s="41"/>
      <c r="L1401" s="41"/>
    </row>
    <row r="1402" spans="5:12" s="39" customFormat="1" x14ac:dyDescent="0.3">
      <c r="E1402" s="41"/>
      <c r="F1402" s="41"/>
      <c r="G1402" s="41"/>
      <c r="H1402" s="41"/>
      <c r="I1402" s="41"/>
      <c r="J1402" s="41"/>
      <c r="K1402" s="41"/>
      <c r="L1402" s="41"/>
    </row>
    <row r="1403" spans="5:12" s="39" customFormat="1" x14ac:dyDescent="0.3">
      <c r="E1403" s="41"/>
      <c r="F1403" s="41"/>
      <c r="G1403" s="41"/>
      <c r="H1403" s="41"/>
      <c r="I1403" s="41"/>
      <c r="J1403" s="41"/>
      <c r="K1403" s="41"/>
      <c r="L1403" s="41"/>
    </row>
    <row r="1404" spans="5:12" s="39" customFormat="1" x14ac:dyDescent="0.3">
      <c r="E1404" s="41"/>
      <c r="F1404" s="41"/>
      <c r="G1404" s="41"/>
      <c r="H1404" s="41"/>
      <c r="I1404" s="41"/>
      <c r="J1404" s="41"/>
      <c r="K1404" s="41"/>
      <c r="L1404" s="41"/>
    </row>
    <row r="1405" spans="5:12" s="39" customFormat="1" x14ac:dyDescent="0.3">
      <c r="E1405" s="41"/>
      <c r="F1405" s="41"/>
      <c r="G1405" s="41"/>
      <c r="H1405" s="41"/>
      <c r="I1405" s="41"/>
      <c r="J1405" s="41"/>
      <c r="K1405" s="41"/>
      <c r="L1405" s="41"/>
    </row>
    <row r="1406" spans="5:12" s="39" customFormat="1" x14ac:dyDescent="0.3">
      <c r="E1406" s="41"/>
      <c r="F1406" s="41"/>
      <c r="G1406" s="41"/>
      <c r="H1406" s="41"/>
      <c r="I1406" s="41"/>
      <c r="J1406" s="41"/>
      <c r="K1406" s="41"/>
      <c r="L1406" s="41"/>
    </row>
    <row r="1407" spans="5:12" s="39" customFormat="1" x14ac:dyDescent="0.3">
      <c r="E1407" s="41"/>
      <c r="F1407" s="41"/>
      <c r="G1407" s="41"/>
      <c r="H1407" s="41"/>
      <c r="I1407" s="41"/>
      <c r="J1407" s="41"/>
      <c r="K1407" s="41"/>
      <c r="L1407" s="41"/>
    </row>
    <row r="1408" spans="5:12" s="39" customFormat="1" x14ac:dyDescent="0.3">
      <c r="E1408" s="41"/>
      <c r="F1408" s="41"/>
      <c r="G1408" s="41"/>
      <c r="H1408" s="41"/>
      <c r="I1408" s="41"/>
      <c r="J1408" s="41"/>
      <c r="K1408" s="41"/>
      <c r="L1408" s="41"/>
    </row>
    <row r="1409" spans="5:12" s="39" customFormat="1" x14ac:dyDescent="0.3">
      <c r="E1409" s="41"/>
      <c r="F1409" s="41"/>
      <c r="G1409" s="41"/>
      <c r="H1409" s="41"/>
      <c r="I1409" s="41"/>
      <c r="J1409" s="41"/>
      <c r="K1409" s="41"/>
      <c r="L1409" s="41"/>
    </row>
    <row r="1410" spans="5:12" s="39" customFormat="1" x14ac:dyDescent="0.3">
      <c r="E1410" s="41"/>
      <c r="F1410" s="41"/>
      <c r="G1410" s="41"/>
      <c r="H1410" s="41"/>
      <c r="I1410" s="41"/>
      <c r="J1410" s="41"/>
      <c r="K1410" s="41"/>
      <c r="L1410" s="41"/>
    </row>
    <row r="1411" spans="5:12" s="39" customFormat="1" x14ac:dyDescent="0.3">
      <c r="E1411" s="41"/>
      <c r="F1411" s="41"/>
      <c r="G1411" s="41"/>
      <c r="H1411" s="41"/>
      <c r="I1411" s="41"/>
      <c r="J1411" s="41"/>
      <c r="K1411" s="41"/>
      <c r="L1411" s="41"/>
    </row>
    <row r="1412" spans="5:12" s="39" customFormat="1" x14ac:dyDescent="0.3">
      <c r="E1412" s="41"/>
      <c r="F1412" s="41"/>
      <c r="G1412" s="41"/>
      <c r="H1412" s="41"/>
      <c r="I1412" s="41"/>
      <c r="J1412" s="41"/>
      <c r="K1412" s="41"/>
      <c r="L1412" s="41"/>
    </row>
    <row r="1413" spans="5:12" s="39" customFormat="1" x14ac:dyDescent="0.3">
      <c r="E1413" s="41"/>
      <c r="F1413" s="41"/>
      <c r="G1413" s="41"/>
      <c r="H1413" s="41"/>
      <c r="I1413" s="41"/>
      <c r="J1413" s="41"/>
      <c r="K1413" s="41"/>
      <c r="L1413" s="41"/>
    </row>
    <row r="1414" spans="5:12" s="39" customFormat="1" x14ac:dyDescent="0.3">
      <c r="E1414" s="41"/>
      <c r="F1414" s="41"/>
      <c r="G1414" s="41"/>
      <c r="H1414" s="41"/>
      <c r="I1414" s="41"/>
      <c r="J1414" s="41"/>
      <c r="K1414" s="41"/>
      <c r="L1414" s="41"/>
    </row>
    <row r="1415" spans="5:12" s="39" customFormat="1" x14ac:dyDescent="0.3">
      <c r="E1415" s="41"/>
      <c r="F1415" s="41"/>
      <c r="G1415" s="41"/>
      <c r="H1415" s="41"/>
      <c r="I1415" s="41"/>
      <c r="J1415" s="41"/>
      <c r="K1415" s="41"/>
      <c r="L1415" s="41"/>
    </row>
    <row r="1416" spans="5:12" s="39" customFormat="1" x14ac:dyDescent="0.3">
      <c r="E1416" s="41"/>
      <c r="F1416" s="41"/>
      <c r="G1416" s="41"/>
      <c r="H1416" s="41"/>
      <c r="I1416" s="41"/>
      <c r="J1416" s="41"/>
      <c r="K1416" s="41"/>
      <c r="L1416" s="41"/>
    </row>
    <row r="1417" spans="5:12" s="39" customFormat="1" x14ac:dyDescent="0.3">
      <c r="E1417" s="41"/>
      <c r="F1417" s="41"/>
      <c r="G1417" s="41"/>
      <c r="H1417" s="41"/>
      <c r="I1417" s="41"/>
      <c r="J1417" s="41"/>
      <c r="K1417" s="41"/>
      <c r="L1417" s="41"/>
    </row>
    <row r="1418" spans="5:12" s="39" customFormat="1" x14ac:dyDescent="0.3">
      <c r="E1418" s="41"/>
      <c r="F1418" s="41"/>
      <c r="G1418" s="41"/>
      <c r="H1418" s="41"/>
      <c r="I1418" s="41"/>
      <c r="J1418" s="41"/>
      <c r="K1418" s="41"/>
      <c r="L1418" s="41"/>
    </row>
    <row r="1419" spans="5:12" s="39" customFormat="1" x14ac:dyDescent="0.3">
      <c r="E1419" s="41"/>
      <c r="F1419" s="41"/>
      <c r="G1419" s="41"/>
      <c r="H1419" s="41"/>
      <c r="I1419" s="41"/>
      <c r="J1419" s="41"/>
      <c r="K1419" s="41"/>
      <c r="L1419" s="41"/>
    </row>
    <row r="1420" spans="5:12" s="39" customFormat="1" x14ac:dyDescent="0.3">
      <c r="E1420" s="41"/>
      <c r="F1420" s="41"/>
      <c r="G1420" s="41"/>
      <c r="H1420" s="41"/>
      <c r="I1420" s="41"/>
      <c r="J1420" s="41"/>
      <c r="K1420" s="41"/>
      <c r="L1420" s="41"/>
    </row>
    <row r="1421" spans="5:12" s="39" customFormat="1" x14ac:dyDescent="0.3">
      <c r="E1421" s="41"/>
      <c r="F1421" s="41"/>
      <c r="G1421" s="41"/>
      <c r="H1421" s="41"/>
      <c r="I1421" s="41"/>
      <c r="J1421" s="41"/>
      <c r="K1421" s="41"/>
      <c r="L1421" s="41"/>
    </row>
    <row r="1422" spans="5:12" s="39" customFormat="1" x14ac:dyDescent="0.3">
      <c r="E1422" s="41"/>
      <c r="F1422" s="41"/>
      <c r="G1422" s="41"/>
      <c r="H1422" s="41"/>
      <c r="I1422" s="41"/>
      <c r="J1422" s="41"/>
      <c r="K1422" s="41"/>
      <c r="L1422" s="41"/>
    </row>
    <row r="1423" spans="5:12" s="39" customFormat="1" x14ac:dyDescent="0.3">
      <c r="E1423" s="41"/>
      <c r="F1423" s="41"/>
      <c r="G1423" s="41"/>
      <c r="H1423" s="41"/>
      <c r="I1423" s="41"/>
      <c r="J1423" s="41"/>
      <c r="K1423" s="41"/>
      <c r="L1423" s="41"/>
    </row>
    <row r="1424" spans="5:12" s="39" customFormat="1" x14ac:dyDescent="0.3">
      <c r="E1424" s="41"/>
      <c r="F1424" s="41"/>
      <c r="G1424" s="41"/>
      <c r="H1424" s="41"/>
      <c r="I1424" s="41"/>
      <c r="J1424" s="41"/>
      <c r="K1424" s="41"/>
      <c r="L1424" s="41"/>
    </row>
    <row r="1425" spans="5:12" s="39" customFormat="1" x14ac:dyDescent="0.3">
      <c r="E1425" s="41"/>
      <c r="F1425" s="41"/>
      <c r="G1425" s="41"/>
      <c r="H1425" s="41"/>
      <c r="I1425" s="41"/>
      <c r="J1425" s="41"/>
      <c r="K1425" s="41"/>
      <c r="L1425" s="41"/>
    </row>
    <row r="1426" spans="5:12" s="39" customFormat="1" x14ac:dyDescent="0.3">
      <c r="E1426" s="41"/>
      <c r="F1426" s="41"/>
      <c r="G1426" s="41"/>
      <c r="H1426" s="41"/>
      <c r="I1426" s="41"/>
      <c r="J1426" s="41"/>
      <c r="K1426" s="41"/>
      <c r="L1426" s="41"/>
    </row>
    <row r="1427" spans="5:12" s="39" customFormat="1" x14ac:dyDescent="0.3">
      <c r="E1427" s="41"/>
      <c r="F1427" s="41"/>
      <c r="G1427" s="41"/>
      <c r="H1427" s="41"/>
      <c r="I1427" s="41"/>
      <c r="J1427" s="41"/>
      <c r="K1427" s="41"/>
      <c r="L1427" s="41"/>
    </row>
    <row r="1428" spans="5:12" s="39" customFormat="1" x14ac:dyDescent="0.3">
      <c r="E1428" s="41"/>
      <c r="F1428" s="41"/>
      <c r="G1428" s="41"/>
      <c r="H1428" s="41"/>
      <c r="I1428" s="41"/>
      <c r="J1428" s="41"/>
      <c r="K1428" s="41"/>
      <c r="L1428" s="41"/>
    </row>
    <row r="1429" spans="5:12" s="39" customFormat="1" x14ac:dyDescent="0.3">
      <c r="E1429" s="41"/>
      <c r="F1429" s="41"/>
      <c r="G1429" s="41"/>
      <c r="H1429" s="41"/>
      <c r="I1429" s="41"/>
      <c r="J1429" s="41"/>
      <c r="K1429" s="41"/>
      <c r="L1429" s="41"/>
    </row>
    <row r="1430" spans="5:12" s="39" customFormat="1" x14ac:dyDescent="0.3">
      <c r="E1430" s="41"/>
      <c r="F1430" s="41"/>
      <c r="G1430" s="41"/>
      <c r="H1430" s="41"/>
      <c r="I1430" s="41"/>
      <c r="J1430" s="41"/>
      <c r="K1430" s="41"/>
      <c r="L1430" s="41"/>
    </row>
    <row r="1431" spans="5:12" s="39" customFormat="1" x14ac:dyDescent="0.3">
      <c r="E1431" s="41"/>
      <c r="F1431" s="41"/>
      <c r="G1431" s="41"/>
      <c r="H1431" s="41"/>
      <c r="I1431" s="41"/>
      <c r="J1431" s="41"/>
      <c r="K1431" s="41"/>
      <c r="L1431" s="41"/>
    </row>
    <row r="1432" spans="5:12" s="39" customFormat="1" x14ac:dyDescent="0.3">
      <c r="E1432" s="41"/>
      <c r="F1432" s="41"/>
      <c r="G1432" s="41"/>
      <c r="H1432" s="41"/>
      <c r="I1432" s="41"/>
      <c r="J1432" s="41"/>
      <c r="K1432" s="41"/>
      <c r="L1432" s="41"/>
    </row>
    <row r="1433" spans="5:12" s="39" customFormat="1" x14ac:dyDescent="0.3">
      <c r="E1433" s="41"/>
      <c r="F1433" s="41"/>
      <c r="G1433" s="41"/>
      <c r="H1433" s="41"/>
      <c r="I1433" s="41"/>
      <c r="J1433" s="41"/>
      <c r="K1433" s="41"/>
      <c r="L1433" s="41"/>
    </row>
    <row r="1434" spans="5:12" s="39" customFormat="1" x14ac:dyDescent="0.3">
      <c r="E1434" s="41"/>
      <c r="F1434" s="41"/>
      <c r="G1434" s="41"/>
      <c r="H1434" s="41"/>
      <c r="I1434" s="41"/>
      <c r="J1434" s="41"/>
      <c r="K1434" s="41"/>
      <c r="L1434" s="41"/>
    </row>
    <row r="1435" spans="5:12" s="39" customFormat="1" x14ac:dyDescent="0.3">
      <c r="E1435" s="41"/>
      <c r="F1435" s="41"/>
      <c r="G1435" s="41"/>
      <c r="H1435" s="41"/>
      <c r="I1435" s="41"/>
      <c r="J1435" s="41"/>
      <c r="K1435" s="41"/>
      <c r="L1435" s="41"/>
    </row>
    <row r="1436" spans="5:12" s="39" customFormat="1" x14ac:dyDescent="0.3">
      <c r="E1436" s="41"/>
      <c r="F1436" s="41"/>
      <c r="G1436" s="41"/>
      <c r="H1436" s="41"/>
      <c r="I1436" s="41"/>
      <c r="J1436" s="41"/>
      <c r="K1436" s="41"/>
      <c r="L1436" s="41"/>
    </row>
    <row r="1437" spans="5:12" s="39" customFormat="1" x14ac:dyDescent="0.3">
      <c r="E1437" s="41"/>
      <c r="F1437" s="41"/>
      <c r="G1437" s="41"/>
      <c r="H1437" s="41"/>
      <c r="I1437" s="41"/>
      <c r="J1437" s="41"/>
      <c r="K1437" s="41"/>
      <c r="L1437" s="41"/>
    </row>
    <row r="1438" spans="5:12" s="39" customFormat="1" x14ac:dyDescent="0.3">
      <c r="E1438" s="41"/>
      <c r="F1438" s="41"/>
      <c r="G1438" s="41"/>
      <c r="H1438" s="41"/>
      <c r="I1438" s="41"/>
      <c r="J1438" s="41"/>
      <c r="K1438" s="41"/>
      <c r="L1438" s="41"/>
    </row>
    <row r="1439" spans="5:12" s="39" customFormat="1" x14ac:dyDescent="0.3">
      <c r="E1439" s="41"/>
      <c r="F1439" s="41"/>
      <c r="G1439" s="41"/>
      <c r="H1439" s="41"/>
      <c r="I1439" s="41"/>
      <c r="J1439" s="41"/>
      <c r="K1439" s="41"/>
      <c r="L1439" s="41"/>
    </row>
    <row r="1440" spans="5:12" s="39" customFormat="1" x14ac:dyDescent="0.3">
      <c r="E1440" s="41"/>
      <c r="F1440" s="41"/>
      <c r="G1440" s="41"/>
      <c r="H1440" s="41"/>
      <c r="I1440" s="41"/>
      <c r="J1440" s="41"/>
      <c r="K1440" s="41"/>
      <c r="L1440" s="41"/>
    </row>
    <row r="1441" spans="5:12" s="39" customFormat="1" x14ac:dyDescent="0.3">
      <c r="E1441" s="41"/>
      <c r="F1441" s="41"/>
      <c r="G1441" s="41"/>
      <c r="H1441" s="41"/>
      <c r="I1441" s="41"/>
      <c r="J1441" s="41"/>
      <c r="K1441" s="41"/>
      <c r="L1441" s="41"/>
    </row>
    <row r="1442" spans="5:12" s="39" customFormat="1" x14ac:dyDescent="0.3">
      <c r="E1442" s="41"/>
      <c r="F1442" s="41"/>
      <c r="G1442" s="41"/>
      <c r="H1442" s="41"/>
      <c r="I1442" s="41"/>
      <c r="J1442" s="41"/>
      <c r="K1442" s="41"/>
      <c r="L1442" s="41"/>
    </row>
    <row r="1443" spans="5:12" s="39" customFormat="1" x14ac:dyDescent="0.3">
      <c r="E1443" s="41"/>
      <c r="F1443" s="41"/>
      <c r="G1443" s="41"/>
      <c r="H1443" s="41"/>
      <c r="I1443" s="41"/>
      <c r="J1443" s="41"/>
      <c r="K1443" s="41"/>
      <c r="L1443" s="41"/>
    </row>
    <row r="1444" spans="5:12" s="39" customFormat="1" x14ac:dyDescent="0.3">
      <c r="E1444" s="41"/>
      <c r="F1444" s="41"/>
      <c r="G1444" s="41"/>
      <c r="H1444" s="41"/>
      <c r="I1444" s="41"/>
      <c r="J1444" s="41"/>
      <c r="K1444" s="41"/>
      <c r="L1444" s="41"/>
    </row>
    <row r="1445" spans="5:12" s="39" customFormat="1" x14ac:dyDescent="0.3">
      <c r="E1445" s="41"/>
      <c r="F1445" s="41"/>
      <c r="G1445" s="41"/>
      <c r="H1445" s="41"/>
      <c r="I1445" s="41"/>
      <c r="J1445" s="41"/>
      <c r="K1445" s="41"/>
      <c r="L1445" s="41"/>
    </row>
    <row r="1446" spans="5:12" s="39" customFormat="1" x14ac:dyDescent="0.3">
      <c r="E1446" s="41"/>
      <c r="F1446" s="41"/>
      <c r="G1446" s="41"/>
      <c r="H1446" s="41"/>
      <c r="I1446" s="41"/>
      <c r="J1446" s="41"/>
      <c r="K1446" s="41"/>
      <c r="L1446" s="41"/>
    </row>
  </sheetData>
  <protectedRanges>
    <protectedRange sqref="F4 H4 F9 H9 F11 H11 F13 H13 F22 H22 F24 H24 F26 H26 F28 H28 F30 H30 F32 H32 F34 H34 J28 J24 F20 H20" name="Data entry"/>
  </protectedRanges>
  <mergeCells count="10">
    <mergeCell ref="D83:J83"/>
    <mergeCell ref="D92:K92"/>
    <mergeCell ref="D50:F50"/>
    <mergeCell ref="I4:J4"/>
    <mergeCell ref="D16:J16"/>
    <mergeCell ref="D53:J53"/>
    <mergeCell ref="D55:J55"/>
    <mergeCell ref="D73:J73"/>
    <mergeCell ref="D65:J65"/>
    <mergeCell ref="D75:J75"/>
  </mergeCells>
  <conditionalFormatting sqref="F39 H39">
    <cfRule type="containsText" dxfId="2" priority="3" operator="containsText" text="NON">
      <formula>NOT(ISERROR(SEARCH("NON",F39)))</formula>
    </cfRule>
    <cfRule type="containsText" dxfId="1" priority="4" operator="containsText" text="OUI">
      <formula>NOT(ISERROR(SEARCH("OUI",F39)))</formula>
    </cfRule>
  </conditionalFormatting>
  <dataValidations count="9">
    <dataValidation operator="greaterThanOrEqual" allowBlank="1" showInputMessage="1" showErrorMessage="1" sqref="F11 F4 H4 F13" xr:uid="{C214E84D-EBCF-40BC-9B9F-7E0D82485636}"/>
    <dataValidation type="whole" allowBlank="1" showInputMessage="1" showErrorMessage="1" sqref="F24 H24" xr:uid="{1A30A206-244E-428E-8CD8-87DC633CCAAF}">
      <formula1>0</formula1>
      <formula2>5000000000</formula2>
    </dataValidation>
    <dataValidation allowBlank="1" showInputMessage="1" showErrorMessage="1" promptTitle="La capacité totale des appareils" prompt="La capacité totale (Nombre d'appareil fois capacité par appareil) des deux colonnes doivent être similaire afin d'obtenir des estimations valides" sqref="H13" xr:uid="{14A5787F-14DF-44AD-8517-D4F947DF0F3E}"/>
    <dataValidation allowBlank="1" showErrorMessage="1" promptTitle="Heures d'opérations annuelles" prompt="Les heures d'opérations annuelles des deux colonnes doivent être similaires afin d'obtenir des estimations valides" sqref="F26" xr:uid="{24A1E18F-FBB2-4BC6-975A-322A9D28514B}"/>
    <dataValidation allowBlank="1" showInputMessage="1" showErrorMessage="1" promptTitle="Heures d'opérations annuelles" prompt="Les heures d'opérations annuelles des deux colonnes doivent être similaires afin d'obtenir des estimations valides" sqref="H26" xr:uid="{E54D93FA-0B5C-45B8-A2AE-9BAB5C823C36}"/>
    <dataValidation allowBlank="1" showInputMessage="1" showErrorMessage="1" promptTitle="Le coût du gaz naturel" prompt="Le coût du gaz naturel des deux colonnes devraient être égaux afin d'obtenir des estimations valides" sqref="H28" xr:uid="{C992BEE1-619C-4FAB-A43E-5399A6721F3F}"/>
    <dataValidation type="list" allowBlank="1" showInputMessage="1" showErrorMessage="1" sqref="F22 H22" xr:uid="{918829F5-709D-4AC5-952D-EEA5F1E0D0CC}">
      <formula1>InfrarougeListe</formula1>
    </dataValidation>
    <dataValidation type="list" allowBlank="1" showInputMessage="1" showErrorMessage="1" sqref="F20 H20" xr:uid="{8DA8442D-7B7A-46B2-BBE6-46877BD4130E}">
      <formula1>Controle</formula1>
    </dataValidation>
    <dataValidation type="list" allowBlank="1" showInputMessage="1" showErrorMessage="1" sqref="G46 I46" xr:uid="{774804E9-DD46-4847-9A26-7E69F3CD7DFD}">
      <formula1>#REF!</formula1>
    </dataValidation>
  </dataValidations>
  <hyperlinks>
    <hyperlink ref="D4" r:id="rId1" xr:uid="{A09386E8-303B-4B43-A3E5-C42C1641E765}"/>
  </hyperlinks>
  <pageMargins left="0.7" right="0.7" top="0.75" bottom="0.75" header="0.3" footer="0.3"/>
  <pageSetup orientation="portrait" horizontalDpi="4294967293"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44EF942E-DA78-4448-8177-36FFC7E8117B}">
          <x14:formula1>
            <xm:f>Instructions!$F$7:$H$7</xm:f>
          </x14:formula1>
          <xm:sqref>H9 F9</xm:sqref>
        </x14:dataValidation>
        <x14:dataValidation type="list" allowBlank="1" showInputMessage="1" showErrorMessage="1" xr:uid="{8F68F1DC-F69A-4038-99FB-902B75F8C97E}">
          <x14:formula1>
            <xm:f>Instructions!$F$13:$H$13</xm:f>
          </x14:formula1>
          <xm:sqref>J24</xm:sqref>
        </x14:dataValidation>
        <x14:dataValidation type="list" allowBlank="1" showInputMessage="1" showErrorMessage="1" xr:uid="{4B54A2A0-7794-4521-906C-B76573DD12B4}">
          <x14:formula1>
            <xm:f>Instructions!$E$17:$G$17</xm:f>
          </x14:formula1>
          <xm:sqref>J28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BDD5-A392-4547-B386-F29C409582D8}">
  <sheetPr codeName="Sheet14"/>
  <dimension ref="B2:I29"/>
  <sheetViews>
    <sheetView topLeftCell="E9" workbookViewId="0">
      <selection activeCell="I24" sqref="I24"/>
    </sheetView>
  </sheetViews>
  <sheetFormatPr defaultColWidth="9.109375" defaultRowHeight="14.4" x14ac:dyDescent="0.3"/>
  <cols>
    <col min="2" max="2" width="30" bestFit="1" customWidth="1"/>
    <col min="3" max="3" width="17.33203125" bestFit="1" customWidth="1"/>
    <col min="5" max="5" width="42.88671875" bestFit="1" customWidth="1"/>
    <col min="6" max="6" width="10.44140625" bestFit="1" customWidth="1"/>
    <col min="8" max="8" width="40.88671875" bestFit="1" customWidth="1"/>
    <col min="9" max="9" width="10" bestFit="1" customWidth="1"/>
  </cols>
  <sheetData>
    <row r="2" spans="2:9" x14ac:dyDescent="0.3">
      <c r="B2" t="s">
        <v>13</v>
      </c>
    </row>
    <row r="3" spans="2:9" x14ac:dyDescent="0.3">
      <c r="B3" s="27" t="s">
        <v>62</v>
      </c>
      <c r="E3" s="27" t="s">
        <v>63</v>
      </c>
      <c r="H3" s="27" t="s">
        <v>64</v>
      </c>
    </row>
    <row r="4" spans="2:9" ht="15" thickBot="1" x14ac:dyDescent="0.35"/>
    <row r="5" spans="2:9" x14ac:dyDescent="0.3">
      <c r="B5" s="87" t="s">
        <v>65</v>
      </c>
      <c r="C5" s="212">
        <f>Calculateur!F13</f>
        <v>200000</v>
      </c>
      <c r="E5" s="80" t="s">
        <v>66</v>
      </c>
      <c r="F5" s="81">
        <f>C5*C6</f>
        <v>400000</v>
      </c>
      <c r="H5" s="31" t="s">
        <v>67</v>
      </c>
      <c r="I5" s="38" t="str">
        <f>IF(F8 = 0, "N/A", IF(F5&gt;=F8,"OUI","NON"))</f>
        <v>N/A</v>
      </c>
    </row>
    <row r="6" spans="2:9" x14ac:dyDescent="0.3">
      <c r="B6" s="88" t="s">
        <v>68</v>
      </c>
      <c r="C6" s="89">
        <f>Calculateur!F11</f>
        <v>2</v>
      </c>
      <c r="E6" s="82" t="s">
        <v>69</v>
      </c>
      <c r="F6" s="83" cm="1">
        <f t="array" ref="F6" xml:space="preserve"> _xlfn.IFS(C8 = "Atelier mécanique", 50, C8 = "Entrepôt", 30,C8 = "Hangar d'avions", 110, C8 = "&lt; sélectionner &gt;", 0)</f>
        <v>0</v>
      </c>
      <c r="H6" s="32" t="s">
        <v>70</v>
      </c>
      <c r="I6" s="29">
        <f>C14*C6</f>
        <v>5426.8000000000011</v>
      </c>
    </row>
    <row r="7" spans="2:9" x14ac:dyDescent="0.3">
      <c r="B7" s="88" t="s">
        <v>71</v>
      </c>
      <c r="C7" s="90" t="str">
        <f>Calculateur!F20</f>
        <v>&lt; sélectionner &gt;</v>
      </c>
      <c r="E7" s="82" t="s">
        <v>72</v>
      </c>
      <c r="F7" s="211" cm="1">
        <f t="array" ref="F7" xml:space="preserve"> IF(Calculateur!F9 = "Infrarouge",_xlfn.IFS(C7 = "1 stage", 0.85, C7 = "2 stages", 0.83,C7 = "Modulant", 0.83,C7 = "GRC &gt; 0,67", 0.7, C7 = "&lt; sélectionner &gt;", 0.85),1)</f>
        <v>1</v>
      </c>
      <c r="H7" s="32" t="s">
        <v>73</v>
      </c>
      <c r="I7" s="28">
        <f>F9*C6</f>
        <v>0</v>
      </c>
    </row>
    <row r="8" spans="2:9" x14ac:dyDescent="0.3">
      <c r="B8" s="88" t="s">
        <v>74</v>
      </c>
      <c r="C8" s="210" t="str">
        <f>Calculateur!F22</f>
        <v>&lt; sélectionner &gt;</v>
      </c>
      <c r="E8" s="82" t="s">
        <v>75</v>
      </c>
      <c r="F8" s="83">
        <f>F6 * C9</f>
        <v>0</v>
      </c>
      <c r="H8" s="32" t="s">
        <v>76</v>
      </c>
      <c r="I8" s="29">
        <f>F10*C6</f>
        <v>20374.441485622774</v>
      </c>
    </row>
    <row r="9" spans="2:9" x14ac:dyDescent="0.3">
      <c r="B9" s="88" t="s">
        <v>77</v>
      </c>
      <c r="C9" s="98">
        <f>IF(Calculateur!J24="pi2",Calculateur!F24,Calculateur!F24 *Instructions!G14)</f>
        <v>0</v>
      </c>
      <c r="E9" s="82" t="s">
        <v>78</v>
      </c>
      <c r="F9" s="83">
        <f>IF(Calculateur!F9 = "Infrarouge",Calculateur!F4+Calculateur!H4*C5/1000,0)</f>
        <v>0</v>
      </c>
      <c r="H9" s="32" t="s">
        <v>79</v>
      </c>
      <c r="I9" s="29">
        <f>F11*C6</f>
        <v>3628.2805397597035</v>
      </c>
    </row>
    <row r="10" spans="2:9" ht="15" thickBot="1" x14ac:dyDescent="0.35">
      <c r="B10" s="88" t="s">
        <v>80</v>
      </c>
      <c r="C10" s="210">
        <f>IF(Calculateur!F26="",1500,Calculateur!F26)</f>
        <v>1500</v>
      </c>
      <c r="E10" s="82" t="s">
        <v>81</v>
      </c>
      <c r="F10" s="84">
        <f>(C5 * C10 * F7)/(Instructions!$L$12 * C13/100)</f>
        <v>10187.220742811387</v>
      </c>
      <c r="H10" s="33" t="s">
        <v>82</v>
      </c>
      <c r="I10" s="30">
        <f>F12*C6/1000</f>
        <v>38.385447758913301</v>
      </c>
    </row>
    <row r="11" spans="2:9" x14ac:dyDescent="0.3">
      <c r="B11" s="88" t="s">
        <v>83</v>
      </c>
      <c r="C11" s="91">
        <f>IF(Calculateur!F28 = "", 'Prix GN'!C2/100,  IF(Calculateur!J28="$/m3",Calculateur!F28,Calculateur!F28*'Prix GN'!C2/('Prix GN'!B2*100)))</f>
        <v>0.17807999999999999</v>
      </c>
      <c r="E11" s="82" t="s">
        <v>84</v>
      </c>
      <c r="F11" s="84">
        <f>F10*C11</f>
        <v>1814.1402698798518</v>
      </c>
    </row>
    <row r="12" spans="2:9" ht="15" thickBot="1" x14ac:dyDescent="0.35">
      <c r="B12" s="88" t="s">
        <v>85</v>
      </c>
      <c r="C12" s="91">
        <f>Instructions!L8</f>
        <v>17</v>
      </c>
      <c r="E12" s="85" t="s">
        <v>86</v>
      </c>
      <c r="F12" s="86">
        <f>F10*Instructions!L9</f>
        <v>19192.723879456651</v>
      </c>
    </row>
    <row r="13" spans="2:9" x14ac:dyDescent="0.3">
      <c r="B13" s="88" t="s">
        <v>87</v>
      </c>
      <c r="C13" s="92">
        <f>IF(Calculateur!F30="",82,Calculateur!F30)</f>
        <v>82</v>
      </c>
    </row>
    <row r="14" spans="2:9" ht="15" thickBot="1" x14ac:dyDescent="0.35">
      <c r="B14" s="93" t="s">
        <v>88</v>
      </c>
      <c r="C14" s="94">
        <f>IF(Calculateur!F32="",0.00000003 * C5 ^ 2 + 0.0001 * C5 + 1533.4+ IF(Calculateur!F9="Infrarouge",IF(Calculateur!F13&lt;100000,790,740),0),Calculateur!F32/C6)</f>
        <v>2713.4000000000005</v>
      </c>
    </row>
    <row r="17" spans="2:9" x14ac:dyDescent="0.3">
      <c r="B17" t="s">
        <v>14</v>
      </c>
    </row>
    <row r="18" spans="2:9" x14ac:dyDescent="0.3">
      <c r="B18" s="27" t="s">
        <v>62</v>
      </c>
      <c r="E18" s="27" t="s">
        <v>63</v>
      </c>
      <c r="H18" s="27" t="s">
        <v>64</v>
      </c>
    </row>
    <row r="19" spans="2:9" ht="15" thickBot="1" x14ac:dyDescent="0.35"/>
    <row r="20" spans="2:9" x14ac:dyDescent="0.3">
      <c r="B20" s="87" t="s">
        <v>65</v>
      </c>
      <c r="C20" s="212">
        <f>Calculateur!H13</f>
        <v>200000</v>
      </c>
      <c r="E20" s="80" t="s">
        <v>66</v>
      </c>
      <c r="F20" s="81">
        <f>C20*C21</f>
        <v>400000</v>
      </c>
      <c r="H20" s="31" t="s">
        <v>67</v>
      </c>
      <c r="I20" s="38" t="str">
        <f>IF(F23 = 0, "N/A", IF(F20&gt;=F23,"OUI","NON"))</f>
        <v>N/A</v>
      </c>
    </row>
    <row r="21" spans="2:9" x14ac:dyDescent="0.3">
      <c r="B21" s="88" t="s">
        <v>68</v>
      </c>
      <c r="C21" s="89">
        <f>Calculateur!H11</f>
        <v>2</v>
      </c>
      <c r="E21" s="82" t="s">
        <v>69</v>
      </c>
      <c r="F21" s="83" cm="1">
        <f t="array" ref="F21" xml:space="preserve"> _xlfn.IFS(C23 = "Atelier mécanique", 50, C23 = "Entrepôt", 30,C23 = "Hangar d'avions", 110, C23 = "&lt; sélectionner &gt;", 0)</f>
        <v>0</v>
      </c>
      <c r="H21" s="32" t="s">
        <v>70</v>
      </c>
      <c r="I21" s="29">
        <f>C29*C21</f>
        <v>6906.8000000000011</v>
      </c>
    </row>
    <row r="22" spans="2:9" x14ac:dyDescent="0.3">
      <c r="B22" s="88" t="s">
        <v>71</v>
      </c>
      <c r="C22" s="90" t="str">
        <f>Calculateur!H20</f>
        <v>&lt; sélectionner &gt;</v>
      </c>
      <c r="E22" s="82" t="s">
        <v>72</v>
      </c>
      <c r="F22" s="211" cm="1">
        <f t="array" ref="F22" xml:space="preserve"> IF(Calculateur!H9 = "Infrarouge", _xlfn.IFS(C22 = "1 stage", 0.85, C22 = "2 stages", 0.83,C22 = "Modulant", 0.83,C22 = "GRC &gt; 0,67", 0.7, C22 = "&lt; sélectionner &gt;", 0.85),1)</f>
        <v>0.85</v>
      </c>
      <c r="H22" s="32" t="s">
        <v>73</v>
      </c>
      <c r="I22" s="28">
        <f>F24*C21</f>
        <v>1600</v>
      </c>
    </row>
    <row r="23" spans="2:9" x14ac:dyDescent="0.3">
      <c r="B23" s="88" t="s">
        <v>74</v>
      </c>
      <c r="C23" s="210" t="str">
        <f>Calculateur!H22</f>
        <v>&lt; sélectionner &gt;</v>
      </c>
      <c r="E23" s="82" t="s">
        <v>75</v>
      </c>
      <c r="F23" s="83">
        <f>F21 * C24</f>
        <v>0</v>
      </c>
      <c r="H23" s="32" t="s">
        <v>76</v>
      </c>
      <c r="I23" s="29">
        <f>F25*C21</f>
        <v>17318.27526277936</v>
      </c>
    </row>
    <row r="24" spans="2:9" x14ac:dyDescent="0.3">
      <c r="B24" s="88" t="s">
        <v>77</v>
      </c>
      <c r="C24" s="98">
        <f>IF(Calculateur!J24="pi2",Calculateur!H24,Calculateur!H24 *Instructions!G14)</f>
        <v>0</v>
      </c>
      <c r="E24" s="82" t="s">
        <v>78</v>
      </c>
      <c r="F24" s="83">
        <f>IF(Calculateur!H9 = "Infrarouge",Calculateur!F4+Calculateur!H4*C20/1000,0)</f>
        <v>800</v>
      </c>
      <c r="H24" s="32" t="s">
        <v>79</v>
      </c>
      <c r="I24" s="29">
        <f>F26*C21</f>
        <v>3084.0384587957483</v>
      </c>
    </row>
    <row r="25" spans="2:9" ht="15" thickBot="1" x14ac:dyDescent="0.35">
      <c r="B25" s="88" t="s">
        <v>80</v>
      </c>
      <c r="C25" s="90">
        <f>IF(Calculateur!H26="",1500,Calculateur!H26)</f>
        <v>1500</v>
      </c>
      <c r="E25" s="82" t="s">
        <v>81</v>
      </c>
      <c r="F25" s="84">
        <f>(C20 * C25 * F22)/(Instructions!$L$12 * C28/100)</f>
        <v>8659.1376313896799</v>
      </c>
      <c r="H25" s="33" t="s">
        <v>82</v>
      </c>
      <c r="I25" s="30">
        <f>F27*C21/1000</f>
        <v>32.627630595076312</v>
      </c>
    </row>
    <row r="26" spans="2:9" x14ac:dyDescent="0.3">
      <c r="B26" s="88" t="s">
        <v>83</v>
      </c>
      <c r="C26" s="91">
        <f>IF(Calculateur!H28 = "", 'Prix GN'!C2/100,  IF(Calculateur!J28="$/m3",Calculateur!H28,Calculateur!H28*'Prix GN'!C2/('Prix GN'!B2*100)))</f>
        <v>0.17807999999999999</v>
      </c>
      <c r="E26" s="82" t="s">
        <v>84</v>
      </c>
      <c r="F26" s="84">
        <f>F25*C26</f>
        <v>1542.0192293978741</v>
      </c>
    </row>
    <row r="27" spans="2:9" ht="15" thickBot="1" x14ac:dyDescent="0.35">
      <c r="B27" s="88" t="s">
        <v>85</v>
      </c>
      <c r="C27" s="91">
        <f>Instructions!L8</f>
        <v>17</v>
      </c>
      <c r="E27" s="85" t="s">
        <v>86</v>
      </c>
      <c r="F27" s="86">
        <f>F25*Instructions!L9</f>
        <v>16313.815297538156</v>
      </c>
    </row>
    <row r="28" spans="2:9" x14ac:dyDescent="0.3">
      <c r="B28" s="88" t="s">
        <v>87</v>
      </c>
      <c r="C28" s="92">
        <f>IF(Calculateur!H30="",82,Calculateur!H30)</f>
        <v>82</v>
      </c>
    </row>
    <row r="29" spans="2:9" ht="15" thickBot="1" x14ac:dyDescent="0.35">
      <c r="B29" s="93" t="s">
        <v>88</v>
      </c>
      <c r="C29" s="94">
        <f>IF(Calculateur!H32="",0.00000003 * C20 ^ 2 + 0.0001 * C20 + 1533.4+ IF(Calculateur!H9="Infrarouge",IF(Calculateur!H13&lt;100000,790,740),0),Calculateur!H32/C21)</f>
        <v>3453.4000000000005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6931-D856-4145-94C8-C74F635A4C1D}">
  <sheetPr codeName="Sheet9"/>
  <dimension ref="B2:S22"/>
  <sheetViews>
    <sheetView topLeftCell="C3" zoomScale="119" workbookViewId="0">
      <selection activeCell="I24" sqref="I24"/>
    </sheetView>
  </sheetViews>
  <sheetFormatPr defaultColWidth="9.109375" defaultRowHeight="14.4" x14ac:dyDescent="0.3"/>
  <cols>
    <col min="2" max="2" width="30" bestFit="1" customWidth="1"/>
    <col min="3" max="3" width="7" bestFit="1" customWidth="1"/>
    <col min="5" max="5" width="16.33203125" bestFit="1" customWidth="1"/>
    <col min="6" max="7" width="17.6640625" bestFit="1" customWidth="1"/>
    <col min="11" max="11" width="30" bestFit="1" customWidth="1"/>
    <col min="12" max="12" width="7" bestFit="1" customWidth="1"/>
    <col min="14" max="14" width="23" bestFit="1" customWidth="1"/>
    <col min="15" max="15" width="14" bestFit="1" customWidth="1"/>
    <col min="16" max="16" width="17.33203125" bestFit="1" customWidth="1"/>
    <col min="17" max="17" width="14.5546875" bestFit="1" customWidth="1"/>
    <col min="18" max="18" width="9.6640625" bestFit="1" customWidth="1"/>
  </cols>
  <sheetData>
    <row r="2" spans="2:19" ht="15.6" x14ac:dyDescent="0.3">
      <c r="B2" s="37"/>
      <c r="C2" s="37"/>
      <c r="D2" s="37"/>
      <c r="E2" s="37"/>
      <c r="F2" s="37"/>
      <c r="G2" s="37"/>
      <c r="H2" s="37"/>
      <c r="I2" s="37"/>
      <c r="J2" s="37"/>
      <c r="K2" s="37" t="s">
        <v>89</v>
      </c>
    </row>
    <row r="4" spans="2:19" x14ac:dyDescent="0.3">
      <c r="B4" s="27"/>
      <c r="K4" s="27" t="s">
        <v>90</v>
      </c>
    </row>
    <row r="6" spans="2:19" x14ac:dyDescent="0.3">
      <c r="B6" s="27"/>
      <c r="E6" s="27"/>
      <c r="F6" s="224" t="s">
        <v>91</v>
      </c>
      <c r="G6" s="224"/>
      <c r="K6" s="27" t="s">
        <v>83</v>
      </c>
      <c r="L6">
        <f>C6</f>
        <v>0</v>
      </c>
      <c r="N6" s="27"/>
    </row>
    <row r="7" spans="2:19" x14ac:dyDescent="0.3">
      <c r="B7" s="27"/>
      <c r="E7" s="27" t="s">
        <v>92</v>
      </c>
      <c r="F7" t="s">
        <v>25</v>
      </c>
      <c r="G7" t="s">
        <v>17</v>
      </c>
      <c r="H7" t="s">
        <v>18</v>
      </c>
      <c r="K7" s="27" t="s">
        <v>80</v>
      </c>
      <c r="L7">
        <v>1500</v>
      </c>
      <c r="N7" s="27" t="s">
        <v>92</v>
      </c>
      <c r="O7" t="s">
        <v>25</v>
      </c>
      <c r="P7" t="s">
        <v>93</v>
      </c>
      <c r="Q7" t="s">
        <v>94</v>
      </c>
      <c r="R7" t="s">
        <v>95</v>
      </c>
      <c r="S7" t="s">
        <v>96</v>
      </c>
    </row>
    <row r="8" spans="2:19" x14ac:dyDescent="0.3">
      <c r="B8" s="27"/>
      <c r="H8" t="s">
        <v>25</v>
      </c>
      <c r="K8" s="27" t="s">
        <v>85</v>
      </c>
      <c r="L8">
        <v>17</v>
      </c>
      <c r="N8" s="27" t="s">
        <v>72</v>
      </c>
      <c r="O8">
        <v>0.85</v>
      </c>
      <c r="P8">
        <v>0.85</v>
      </c>
      <c r="Q8">
        <v>0.83</v>
      </c>
      <c r="R8">
        <v>0.83</v>
      </c>
      <c r="S8" s="36">
        <v>0.7</v>
      </c>
    </row>
    <row r="9" spans="2:19" x14ac:dyDescent="0.3">
      <c r="B9" s="27"/>
      <c r="G9">
        <v>30</v>
      </c>
      <c r="H9" t="s">
        <v>97</v>
      </c>
      <c r="K9" s="27" t="s">
        <v>98</v>
      </c>
      <c r="L9">
        <v>1.8839999999999999</v>
      </c>
    </row>
    <row r="10" spans="2:19" x14ac:dyDescent="0.3">
      <c r="B10" s="27"/>
      <c r="C10" s="56"/>
      <c r="G10">
        <v>50</v>
      </c>
      <c r="H10" t="s">
        <v>99</v>
      </c>
      <c r="K10" s="27" t="s">
        <v>100</v>
      </c>
      <c r="L10" s="56">
        <v>82</v>
      </c>
    </row>
    <row r="11" spans="2:19" x14ac:dyDescent="0.3">
      <c r="B11" s="27"/>
      <c r="C11" s="56"/>
      <c r="G11">
        <v>110</v>
      </c>
      <c r="H11" t="s">
        <v>101</v>
      </c>
      <c r="K11" s="27" t="s">
        <v>102</v>
      </c>
      <c r="L11" s="56">
        <v>82</v>
      </c>
    </row>
    <row r="12" spans="2:19" x14ac:dyDescent="0.3">
      <c r="B12" s="27"/>
      <c r="K12" s="27" t="s">
        <v>103</v>
      </c>
      <c r="L12">
        <v>35913</v>
      </c>
    </row>
    <row r="13" spans="2:19" ht="16.2" x14ac:dyDescent="0.3">
      <c r="B13" s="27"/>
      <c r="E13" t="s">
        <v>15</v>
      </c>
      <c r="F13" t="s">
        <v>25</v>
      </c>
      <c r="G13" t="s">
        <v>104</v>
      </c>
      <c r="H13" t="s">
        <v>105</v>
      </c>
    </row>
    <row r="14" spans="2:19" x14ac:dyDescent="0.3">
      <c r="E14" t="s">
        <v>106</v>
      </c>
      <c r="G14">
        <f>CONVERT(H14,"m^2","ft^2")</f>
        <v>10.763910416709722</v>
      </c>
      <c r="H14">
        <v>1</v>
      </c>
    </row>
    <row r="16" spans="2:19" x14ac:dyDescent="0.3">
      <c r="F16" s="224" t="s">
        <v>107</v>
      </c>
      <c r="G16" s="224"/>
    </row>
    <row r="17" spans="2:17" x14ac:dyDescent="0.3">
      <c r="E17" t="s">
        <v>25</v>
      </c>
      <c r="F17" t="s">
        <v>32</v>
      </c>
      <c r="G17" t="s">
        <v>108</v>
      </c>
    </row>
    <row r="18" spans="2:17" x14ac:dyDescent="0.3">
      <c r="F18" s="129">
        <v>0.17884</v>
      </c>
      <c r="G18">
        <v>4.72</v>
      </c>
    </row>
    <row r="20" spans="2:17" x14ac:dyDescent="0.3">
      <c r="B20" s="27"/>
      <c r="I20" s="35"/>
      <c r="J20" s="35"/>
      <c r="K20" s="27" t="s">
        <v>109</v>
      </c>
    </row>
    <row r="21" spans="2:17" x14ac:dyDescent="0.3">
      <c r="N21" t="s">
        <v>110</v>
      </c>
      <c r="P21" t="s">
        <v>111</v>
      </c>
    </row>
    <row r="22" spans="2:17" ht="75.599999999999994" customHeight="1" x14ac:dyDescent="0.3">
      <c r="B22" s="223"/>
      <c r="C22" s="223"/>
      <c r="D22" s="223"/>
      <c r="E22" s="223"/>
      <c r="F22" s="223"/>
      <c r="G22" s="223"/>
      <c r="H22" s="223"/>
      <c r="K22" s="223" t="s">
        <v>112</v>
      </c>
      <c r="L22" s="223"/>
      <c r="M22" s="223"/>
      <c r="N22" s="223"/>
      <c r="O22" s="223"/>
      <c r="P22" s="223"/>
      <c r="Q22" s="223"/>
    </row>
  </sheetData>
  <mergeCells count="4">
    <mergeCell ref="B22:H22"/>
    <mergeCell ref="K22:Q22"/>
    <mergeCell ref="F6:G6"/>
    <mergeCell ref="F16:G16"/>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4091-D511-4684-927D-80868CA22EA7}">
  <sheetPr codeName="Sheet12"/>
  <dimension ref="A1:E21"/>
  <sheetViews>
    <sheetView workbookViewId="0">
      <selection activeCell="I24" sqref="I24"/>
    </sheetView>
  </sheetViews>
  <sheetFormatPr defaultColWidth="9.109375" defaultRowHeight="14.4" x14ac:dyDescent="0.3"/>
  <cols>
    <col min="1" max="5" width="9.109375" bestFit="1" customWidth="1"/>
  </cols>
  <sheetData>
    <row r="1" spans="1:5" x14ac:dyDescent="0.3">
      <c r="A1" t="s">
        <v>113</v>
      </c>
      <c r="B1" t="s">
        <v>114</v>
      </c>
      <c r="C1" t="s">
        <v>115</v>
      </c>
      <c r="D1" t="s">
        <v>116</v>
      </c>
      <c r="E1" t="s">
        <v>117</v>
      </c>
    </row>
    <row r="2" spans="1:5" x14ac:dyDescent="0.3">
      <c r="A2" s="50">
        <v>45870</v>
      </c>
      <c r="B2">
        <v>4.7</v>
      </c>
      <c r="C2">
        <v>17.808</v>
      </c>
      <c r="D2">
        <v>4.3499999999999996</v>
      </c>
      <c r="E2">
        <v>3.56</v>
      </c>
    </row>
    <row r="3" spans="1:5" x14ac:dyDescent="0.3">
      <c r="A3" s="50">
        <v>45839</v>
      </c>
      <c r="B3">
        <v>4.72</v>
      </c>
      <c r="C3">
        <v>17.884</v>
      </c>
      <c r="D3">
        <v>4.6100000000000003</v>
      </c>
      <c r="E3">
        <v>3.69</v>
      </c>
    </row>
    <row r="4" spans="1:5" x14ac:dyDescent="0.3">
      <c r="A4" s="50">
        <v>45809</v>
      </c>
      <c r="B4">
        <v>4.8899999999999997</v>
      </c>
      <c r="C4">
        <v>18.527999999999999</v>
      </c>
      <c r="D4">
        <v>4.46</v>
      </c>
      <c r="E4">
        <v>3.57</v>
      </c>
    </row>
    <row r="5" spans="1:5" x14ac:dyDescent="0.3">
      <c r="A5" s="50">
        <v>45778</v>
      </c>
      <c r="B5">
        <v>5.1100000000000003</v>
      </c>
      <c r="C5">
        <v>19.361999999999998</v>
      </c>
      <c r="D5">
        <v>4.46</v>
      </c>
      <c r="E5">
        <v>3.66</v>
      </c>
    </row>
    <row r="6" spans="1:5" x14ac:dyDescent="0.3">
      <c r="A6" s="50">
        <v>45748</v>
      </c>
      <c r="B6">
        <v>5.96</v>
      </c>
      <c r="C6">
        <v>22.582000000000001</v>
      </c>
      <c r="D6">
        <v>5.43</v>
      </c>
      <c r="E6">
        <v>5.15</v>
      </c>
    </row>
    <row r="7" spans="1:5" x14ac:dyDescent="0.3">
      <c r="A7" s="50">
        <v>45717</v>
      </c>
      <c r="B7">
        <v>5.14</v>
      </c>
      <c r="C7">
        <v>19.475999999999999</v>
      </c>
      <c r="D7">
        <v>5.33</v>
      </c>
      <c r="E7">
        <v>5.23</v>
      </c>
    </row>
    <row r="8" spans="1:5" x14ac:dyDescent="0.3">
      <c r="A8" s="50">
        <v>45689</v>
      </c>
      <c r="B8">
        <v>3.87</v>
      </c>
      <c r="C8">
        <v>14.663</v>
      </c>
      <c r="D8">
        <v>4.45</v>
      </c>
      <c r="E8">
        <v>4.6399999999999997</v>
      </c>
    </row>
    <row r="9" spans="1:5" x14ac:dyDescent="0.3">
      <c r="A9" s="50">
        <v>45658</v>
      </c>
      <c r="B9">
        <v>2.64</v>
      </c>
      <c r="C9">
        <v>10.003</v>
      </c>
      <c r="D9">
        <v>4.3899999999999997</v>
      </c>
      <c r="E9">
        <v>4.7300000000000004</v>
      </c>
    </row>
    <row r="10" spans="1:5" x14ac:dyDescent="0.3">
      <c r="A10" s="50">
        <v>45627</v>
      </c>
      <c r="B10">
        <v>2.59</v>
      </c>
      <c r="C10">
        <v>9.8140000000000001</v>
      </c>
      <c r="D10">
        <v>3.92</v>
      </c>
      <c r="E10">
        <v>4</v>
      </c>
    </row>
    <row r="11" spans="1:5" x14ac:dyDescent="0.3">
      <c r="A11" s="50">
        <v>45597</v>
      </c>
      <c r="B11">
        <v>2.61</v>
      </c>
      <c r="C11">
        <v>9.8889999999999993</v>
      </c>
      <c r="D11">
        <v>3.44</v>
      </c>
      <c r="E11">
        <v>2.7</v>
      </c>
    </row>
    <row r="12" spans="1:5" x14ac:dyDescent="0.3">
      <c r="A12" s="50">
        <v>45566</v>
      </c>
      <c r="B12">
        <v>2.57</v>
      </c>
      <c r="C12">
        <v>9.7379999999999995</v>
      </c>
      <c r="D12">
        <v>2.69</v>
      </c>
      <c r="E12">
        <v>3.65</v>
      </c>
    </row>
    <row r="13" spans="1:5" x14ac:dyDescent="0.3">
      <c r="A13" s="50">
        <v>45536</v>
      </c>
      <c r="B13">
        <v>2.4900000000000002</v>
      </c>
      <c r="C13">
        <v>9.4350000000000005</v>
      </c>
      <c r="D13">
        <v>3.24</v>
      </c>
      <c r="E13">
        <v>1.96</v>
      </c>
    </row>
    <row r="14" spans="1:5" x14ac:dyDescent="0.3">
      <c r="A14" s="50">
        <v>45505</v>
      </c>
      <c r="B14">
        <v>2.5</v>
      </c>
      <c r="C14">
        <v>9.4730000000000008</v>
      </c>
      <c r="D14">
        <v>3.25</v>
      </c>
      <c r="E14">
        <v>2.04</v>
      </c>
    </row>
    <row r="15" spans="1:5" x14ac:dyDescent="0.3">
      <c r="A15" s="50">
        <v>45474</v>
      </c>
      <c r="B15">
        <v>2.81</v>
      </c>
      <c r="C15">
        <v>10.647</v>
      </c>
      <c r="D15">
        <v>3.48</v>
      </c>
      <c r="E15">
        <v>2.64</v>
      </c>
    </row>
    <row r="16" spans="1:5" x14ac:dyDescent="0.3">
      <c r="A16" s="50">
        <v>45444</v>
      </c>
      <c r="B16">
        <v>2.62</v>
      </c>
      <c r="C16">
        <v>9.9269999999999996</v>
      </c>
      <c r="D16">
        <v>3.33</v>
      </c>
      <c r="E16">
        <v>2.15</v>
      </c>
    </row>
    <row r="17" spans="1:5" x14ac:dyDescent="0.3">
      <c r="A17" s="50">
        <v>45413</v>
      </c>
      <c r="B17">
        <v>2.46</v>
      </c>
      <c r="C17">
        <v>9.3209999999999997</v>
      </c>
      <c r="D17">
        <v>3.21</v>
      </c>
      <c r="E17">
        <v>1.88</v>
      </c>
    </row>
    <row r="18" spans="1:5" x14ac:dyDescent="0.3">
      <c r="A18" s="50">
        <v>45383</v>
      </c>
      <c r="B18">
        <v>2.42</v>
      </c>
      <c r="C18">
        <v>9.1690000000000005</v>
      </c>
      <c r="D18">
        <v>3.03</v>
      </c>
      <c r="E18">
        <v>2.06</v>
      </c>
    </row>
    <row r="19" spans="1:5" x14ac:dyDescent="0.3">
      <c r="A19" s="50">
        <v>45352</v>
      </c>
      <c r="B19">
        <v>2.38</v>
      </c>
      <c r="C19">
        <v>9.0180000000000007</v>
      </c>
      <c r="D19">
        <v>3.06</v>
      </c>
      <c r="E19">
        <v>2.15</v>
      </c>
    </row>
    <row r="20" spans="1:5" x14ac:dyDescent="0.3">
      <c r="A20" s="50">
        <v>45323</v>
      </c>
      <c r="B20">
        <v>2.89</v>
      </c>
      <c r="C20">
        <v>10.95</v>
      </c>
      <c r="D20">
        <v>3.06</v>
      </c>
      <c r="E20">
        <v>2.83</v>
      </c>
    </row>
    <row r="21" spans="1:5" x14ac:dyDescent="0.3">
      <c r="A21" s="50">
        <v>45292</v>
      </c>
      <c r="B21">
        <v>2.37</v>
      </c>
      <c r="C21">
        <v>8.98</v>
      </c>
      <c r="D21">
        <v>3.02</v>
      </c>
      <c r="E21">
        <v>2.91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8B85-6C56-40AC-8FF1-9FEE62F4810E}">
  <dimension ref="B2:AF202"/>
  <sheetViews>
    <sheetView topLeftCell="A188" zoomScale="70" zoomScaleNormal="70" workbookViewId="0">
      <selection activeCell="G95" sqref="G95"/>
    </sheetView>
  </sheetViews>
  <sheetFormatPr defaultRowHeight="14.4" x14ac:dyDescent="0.3"/>
  <cols>
    <col min="2" max="2" width="19.6640625" bestFit="1" customWidth="1"/>
    <col min="3" max="3" width="18.6640625" bestFit="1" customWidth="1"/>
    <col min="4" max="4" width="28.5546875" bestFit="1" customWidth="1"/>
    <col min="5" max="5" width="18" bestFit="1" customWidth="1"/>
    <col min="6" max="6" width="29.88671875" bestFit="1" customWidth="1"/>
    <col min="7" max="7" width="25.33203125" bestFit="1" customWidth="1"/>
    <col min="8" max="8" width="36.5546875" bestFit="1" customWidth="1"/>
    <col min="9" max="9" width="34.6640625" bestFit="1" customWidth="1"/>
    <col min="10" max="10" width="25.44140625" bestFit="1" customWidth="1"/>
    <col min="11" max="11" width="19.33203125" bestFit="1" customWidth="1"/>
    <col min="12" max="12" width="18.5546875" bestFit="1" customWidth="1"/>
    <col min="13" max="13" width="11.6640625" bestFit="1" customWidth="1"/>
    <col min="14" max="14" width="22.44140625" bestFit="1" customWidth="1"/>
    <col min="15" max="15" width="19.6640625" bestFit="1" customWidth="1"/>
    <col min="16" max="16" width="28.6640625" bestFit="1" customWidth="1"/>
    <col min="17" max="17" width="11.6640625" bestFit="1" customWidth="1"/>
    <col min="18" max="18" width="22.44140625" bestFit="1" customWidth="1"/>
    <col min="19" max="19" width="19.6640625" bestFit="1" customWidth="1"/>
    <col min="20" max="20" width="28.6640625" bestFit="1" customWidth="1"/>
    <col min="21" max="21" width="11.6640625" bestFit="1" customWidth="1"/>
    <col min="22" max="22" width="22.44140625" bestFit="1" customWidth="1"/>
    <col min="23" max="23" width="19.6640625" bestFit="1" customWidth="1"/>
    <col min="24" max="24" width="28.6640625" bestFit="1" customWidth="1"/>
    <col min="25" max="25" width="11.6640625" bestFit="1" customWidth="1"/>
    <col min="26" max="26" width="22.44140625" bestFit="1" customWidth="1"/>
    <col min="27" max="27" width="19.6640625" bestFit="1" customWidth="1"/>
    <col min="28" max="28" width="28.6640625" bestFit="1" customWidth="1"/>
    <col min="29" max="29" width="11.6640625" bestFit="1" customWidth="1"/>
    <col min="30" max="30" width="22.88671875" bestFit="1" customWidth="1"/>
    <col min="31" max="31" width="28.6640625" bestFit="1" customWidth="1"/>
    <col min="32" max="32" width="19.6640625" bestFit="1" customWidth="1"/>
  </cols>
  <sheetData>
    <row r="2" spans="2:32" x14ac:dyDescent="0.3">
      <c r="B2" s="161"/>
      <c r="M2" s="229" t="s">
        <v>118</v>
      </c>
      <c r="N2" s="229"/>
      <c r="O2" s="229"/>
      <c r="P2" s="162"/>
      <c r="Q2" s="230" t="s">
        <v>119</v>
      </c>
      <c r="R2" s="230"/>
      <c r="S2" s="230"/>
      <c r="T2" s="163"/>
      <c r="U2" s="231" t="s">
        <v>120</v>
      </c>
      <c r="V2" s="232"/>
      <c r="W2" s="233"/>
      <c r="X2" s="164"/>
      <c r="Y2" s="234" t="s">
        <v>121</v>
      </c>
      <c r="Z2" s="235"/>
      <c r="AA2" s="236"/>
      <c r="AB2" s="165"/>
      <c r="AC2" s="225" t="s">
        <v>122</v>
      </c>
      <c r="AD2" s="226"/>
      <c r="AE2" s="226"/>
      <c r="AF2" s="227"/>
    </row>
    <row r="3" spans="2:32" x14ac:dyDescent="0.3">
      <c r="B3" s="161"/>
      <c r="M3" s="166" t="s">
        <v>123</v>
      </c>
      <c r="N3" s="166" t="s">
        <v>124</v>
      </c>
      <c r="O3" s="166"/>
      <c r="P3" s="166"/>
      <c r="Q3" s="167" t="s">
        <v>123</v>
      </c>
      <c r="R3" s="167" t="s">
        <v>124</v>
      </c>
      <c r="S3" s="167"/>
      <c r="T3" s="167"/>
      <c r="U3" s="168" t="s">
        <v>123</v>
      </c>
      <c r="V3" s="168" t="s">
        <v>124</v>
      </c>
      <c r="W3" s="169"/>
      <c r="X3" s="169"/>
      <c r="Y3" s="170" t="s">
        <v>123</v>
      </c>
      <c r="Z3" s="170" t="s">
        <v>124</v>
      </c>
      <c r="AA3" s="170"/>
      <c r="AB3" s="170"/>
      <c r="AC3" s="171" t="s">
        <v>123</v>
      </c>
      <c r="AD3" s="171" t="s">
        <v>124</v>
      </c>
      <c r="AE3" s="171"/>
      <c r="AF3" s="171"/>
    </row>
    <row r="4" spans="2:32" x14ac:dyDescent="0.3">
      <c r="H4" s="228" t="s">
        <v>125</v>
      </c>
      <c r="I4" s="228"/>
      <c r="J4" s="228"/>
      <c r="K4" s="172"/>
      <c r="M4" s="166">
        <v>900</v>
      </c>
      <c r="N4" s="166">
        <v>5</v>
      </c>
      <c r="O4" s="173"/>
      <c r="P4" s="174"/>
      <c r="Q4" s="175">
        <v>2000</v>
      </c>
      <c r="R4" s="175">
        <v>5</v>
      </c>
      <c r="S4" s="176"/>
      <c r="T4" s="176"/>
      <c r="U4" s="177">
        <v>2000</v>
      </c>
      <c r="V4" s="177">
        <v>7.5</v>
      </c>
      <c r="W4" s="169"/>
      <c r="X4" s="178"/>
      <c r="Y4" s="179">
        <v>2500</v>
      </c>
      <c r="Z4" s="179">
        <v>5</v>
      </c>
      <c r="AA4" s="170"/>
      <c r="AB4" s="179"/>
      <c r="AC4" s="180">
        <v>2200</v>
      </c>
      <c r="AD4" s="180">
        <v>4</v>
      </c>
      <c r="AE4" s="180"/>
      <c r="AF4" s="171"/>
    </row>
    <row r="5" spans="2:32" x14ac:dyDescent="0.3">
      <c r="B5" s="181" t="s">
        <v>126</v>
      </c>
      <c r="C5" s="182" t="s">
        <v>127</v>
      </c>
      <c r="D5" s="182" t="s">
        <v>128</v>
      </c>
      <c r="E5" s="182" t="s">
        <v>129</v>
      </c>
      <c r="F5" s="182" t="s">
        <v>130</v>
      </c>
      <c r="G5" s="182" t="s">
        <v>131</v>
      </c>
      <c r="H5" s="182" t="s">
        <v>132</v>
      </c>
      <c r="I5" s="182" t="s">
        <v>133</v>
      </c>
      <c r="J5" s="182" t="s">
        <v>134</v>
      </c>
      <c r="K5" s="182" t="s">
        <v>135</v>
      </c>
      <c r="L5" s="182" t="s">
        <v>136</v>
      </c>
      <c r="M5" s="182" t="s">
        <v>137</v>
      </c>
      <c r="N5" s="182" t="s">
        <v>138</v>
      </c>
      <c r="O5" s="182" t="s">
        <v>139</v>
      </c>
      <c r="P5" s="182" t="s">
        <v>140</v>
      </c>
      <c r="Q5" s="183" t="s">
        <v>141</v>
      </c>
      <c r="R5" s="183" t="s">
        <v>142</v>
      </c>
      <c r="S5" s="183" t="s">
        <v>143</v>
      </c>
      <c r="T5" s="182" t="s">
        <v>144</v>
      </c>
      <c r="U5" s="184" t="s">
        <v>145</v>
      </c>
      <c r="V5" s="184" t="s">
        <v>146</v>
      </c>
      <c r="W5" s="184" t="s">
        <v>147</v>
      </c>
      <c r="X5" s="182" t="s">
        <v>148</v>
      </c>
      <c r="Y5" s="185" t="s">
        <v>149</v>
      </c>
      <c r="Z5" s="185" t="s">
        <v>150</v>
      </c>
      <c r="AA5" s="185" t="s">
        <v>151</v>
      </c>
      <c r="AB5" s="182" t="s">
        <v>152</v>
      </c>
      <c r="AC5" s="186" t="s">
        <v>153</v>
      </c>
      <c r="AD5" s="186" t="s">
        <v>154</v>
      </c>
      <c r="AE5" s="182" t="s">
        <v>155</v>
      </c>
      <c r="AF5" s="186" t="s">
        <v>156</v>
      </c>
    </row>
    <row r="6" spans="2:32" x14ac:dyDescent="0.3">
      <c r="B6" s="187" t="s">
        <v>157</v>
      </c>
      <c r="C6" s="188" t="s">
        <v>158</v>
      </c>
      <c r="D6" s="188">
        <v>1</v>
      </c>
      <c r="E6" s="188">
        <v>50000</v>
      </c>
      <c r="F6" s="189">
        <f>Tableau4[[#This Row],[Economies totales (m3)]]/Tableau4[[#This Row],[Nombres appareils installés]]</f>
        <v>1068</v>
      </c>
      <c r="G6" s="190">
        <v>1068</v>
      </c>
      <c r="H6" s="188">
        <f t="shared" ref="H6:H69" si="0">(0.00000003*E6^2 - 0.0001*E6 + 1533.4)</f>
        <v>1603.4</v>
      </c>
      <c r="I6" s="188">
        <v>2400</v>
      </c>
      <c r="J6" s="188">
        <f>Tableau4[[#This Row],[Surcoût moyens de l''équipement ($)]]+Tableau4[[#This Row],[Surcoût moyen de l''installation ($)]]</f>
        <v>4003.4</v>
      </c>
      <c r="K6" s="188">
        <f>Tableau4[[#This Row],[Surcoût par appareil ($)]]*Tableau4[[#This Row],[Nombres appareils installés]]</f>
        <v>4003.4</v>
      </c>
      <c r="L6" s="190">
        <v>1700</v>
      </c>
      <c r="M6" s="188">
        <f t="shared" ref="M6:M69" si="1">($M$4+$N$4*(E6/1000))*D6</f>
        <v>1150</v>
      </c>
      <c r="N6" s="188">
        <f>Tableau4[[#This Row],[AF 0 ($)]]/Tableau4[[#This Row],[Nombres appareils installés]]</f>
        <v>1150</v>
      </c>
      <c r="O6" s="191">
        <f>(Tableau4[[#This Row],[AF accordée ($)]])/($J$6*D6)</f>
        <v>0.42463905680171854</v>
      </c>
      <c r="P6" s="191">
        <f>Tableau4[[#This Row],[Couverture 0 (%)]]*Tableau4[[#This Row],[Nombres appareils installés]]</f>
        <v>0.42463905680171854</v>
      </c>
      <c r="Q6" s="188">
        <f>($Q$4+$R$4*(Tableau4[[#This Row],[Capacité (BTU)]]/1000))*Tableau4[[#This Row],[Nombres appareils installés]]</f>
        <v>2250</v>
      </c>
      <c r="R6" s="188">
        <f>Tableau4[[#This Row],[AF 1 ($)]]/Tableau4[[#This Row],[Nombres appareils installés]]</f>
        <v>2250</v>
      </c>
      <c r="S6" s="191">
        <f>Tableau4[[#This Row],[AF 1 ($)]]/(J6*D6)</f>
        <v>0.56202228106109808</v>
      </c>
      <c r="T6" s="191">
        <f>Tableau4[[#This Row],[Couverture 1 (%)]]*Tableau4[[#This Row],[Nombres appareils installés]]</f>
        <v>0.56202228106109808</v>
      </c>
      <c r="U6" s="188">
        <f>($U$4+($V$4*(Tableau4[[#This Row],[Capacité (BTU)]]/1000)))*Tableau4[[#This Row],[Nombres appareils installés]]</f>
        <v>2375</v>
      </c>
      <c r="V6" s="188">
        <f>Tableau4[[#This Row],[AF 2 ($)]]/Tableau4[[#This Row],[Nombres appareils installés]]</f>
        <v>2375</v>
      </c>
      <c r="W6" s="192">
        <f>Tableau4[[#This Row],[AF 2 par appareil ($)]]/Tableau4[[#This Row],[Surcoût par appareil ($)]]</f>
        <v>0.59324574112004791</v>
      </c>
      <c r="X6" s="192">
        <f>Tableau4[[#This Row],[Couverture 2 (%)]]*Tableau4[[#This Row],[Nombres appareils installés]]</f>
        <v>0.59324574112004791</v>
      </c>
      <c r="Y6" s="188">
        <f>($Y$4+$Z$4*(Tableau4[[#This Row],[Capacité (BTU)]]/1000))*Tableau4[[#This Row],[Nombres appareils installés]]</f>
        <v>2750</v>
      </c>
      <c r="Z6" s="188">
        <f>Tableau4[[#This Row],[AF 3 ($)]]/Tableau4[[#This Row],[Nombres appareils installés]]</f>
        <v>2750</v>
      </c>
      <c r="AA6" s="193">
        <f>Tableau4[[#This Row],[AF 3 par appareil ($)]]/Tableau4[[#This Row],[Surcoût par appareil ($)]]</f>
        <v>0.68691612129689761</v>
      </c>
      <c r="AB6" s="191">
        <f>Tableau4[[#This Row],[Couverture 3 (%)]]*Tableau4[[#This Row],[Nombres appareils installés]]</f>
        <v>0.68691612129689761</v>
      </c>
      <c r="AC6" s="188">
        <f>($AC$4+$AD$4*(Tableau4[[#This Row],[Capacité (BTU)]]/1000))*Tableau4[[#This Row],[Nombres appareils installés]]</f>
        <v>2400</v>
      </c>
      <c r="AD6" s="188">
        <f>Tableau4[[#This Row],[AF 4 ($)]]/Tableau4[[#This Row],[Nombres appareils installés]]</f>
        <v>2400</v>
      </c>
      <c r="AE6" s="192">
        <f>Tableau4[[#This Row],[Couverture 4 (%)]]*Tableau4[[#This Row],[Nombres appareils installés]]</f>
        <v>0.59949043313183792</v>
      </c>
      <c r="AF6" s="193">
        <f>Tableau4[[#This Row],[AF 4 par appareil  ($)]]/Tableau4[[#This Row],[Surcoût par appareil ($)]]</f>
        <v>0.59949043313183792</v>
      </c>
    </row>
    <row r="7" spans="2:32" x14ac:dyDescent="0.3">
      <c r="B7" s="187" t="s">
        <v>157</v>
      </c>
      <c r="C7" s="188" t="s">
        <v>159</v>
      </c>
      <c r="D7" s="188">
        <v>1</v>
      </c>
      <c r="E7" s="188">
        <v>55000</v>
      </c>
      <c r="F7" s="189">
        <f>Tableau4[[#This Row],[Economies totales (m3)]]/Tableau4[[#This Row],[Nombres appareils installés]]</f>
        <v>1068</v>
      </c>
      <c r="G7" s="190">
        <v>1068</v>
      </c>
      <c r="H7" s="188">
        <f t="shared" si="0"/>
        <v>1618.65</v>
      </c>
      <c r="I7" s="188">
        <v>2400</v>
      </c>
      <c r="J7" s="188">
        <f>Tableau4[[#This Row],[Surcoût moyens de l''équipement ($)]]+Tableau4[[#This Row],[Surcoût moyen de l''installation ($)]]</f>
        <v>4018.65</v>
      </c>
      <c r="K7" s="188">
        <f>Tableau4[[#This Row],[Surcoût par appareil ($)]]*Tableau4[[#This Row],[Nombres appareils installés]]</f>
        <v>4018.65</v>
      </c>
      <c r="L7" s="190">
        <v>1700</v>
      </c>
      <c r="M7" s="188">
        <f t="shared" si="1"/>
        <v>1175</v>
      </c>
      <c r="N7" s="188">
        <f>Tableau4[[#This Row],[AF 0 ($)]]/Tableau4[[#This Row],[Nombres appareils installés]]</f>
        <v>1175</v>
      </c>
      <c r="O7" s="191">
        <f>(Tableau4[[#This Row],[AF accordée ($)]])/($J$6*D7)</f>
        <v>0.42463905680171854</v>
      </c>
      <c r="P7" s="191">
        <f>Tableau4[[#This Row],[Couverture 0 (%)]]*Tableau4[[#This Row],[Nombres appareils installés]]</f>
        <v>0.42463905680171854</v>
      </c>
      <c r="Q7" s="188">
        <f>($Q$4+$R$4*(Tableau4[[#This Row],[Capacité (BTU)]]/1000))*Tableau4[[#This Row],[Nombres appareils installés]]</f>
        <v>2275</v>
      </c>
      <c r="R7" s="188">
        <f>Tableau4[[#This Row],[AF 1 ($)]]/Tableau4[[#This Row],[Nombres appareils installés]]</f>
        <v>2275</v>
      </c>
      <c r="S7" s="191">
        <f>Tableau4[[#This Row],[AF 1 ($)]]/(J7*D7)</f>
        <v>0.56611050974829857</v>
      </c>
      <c r="T7" s="191">
        <f>Tableau4[[#This Row],[Couverture 1 (%)]]*Tableau4[[#This Row],[Nombres appareils installés]]</f>
        <v>0.56611050974829857</v>
      </c>
      <c r="U7" s="188">
        <f>($U$4+($V$4*(Tableau4[[#This Row],[Capacité (BTU)]]/1000)))*Tableau4[[#This Row],[Nombres appareils installés]]</f>
        <v>2412.5</v>
      </c>
      <c r="V7" s="188">
        <f>Tableau4[[#This Row],[AF 2 ($)]]/Tableau4[[#This Row],[Nombres appareils installés]]</f>
        <v>2412.5</v>
      </c>
      <c r="W7" s="192">
        <f>Tableau4[[#This Row],[AF 2 par appareil ($)]]/Tableau4[[#This Row],[Surcoût par appareil ($)]]</f>
        <v>0.60032598011770122</v>
      </c>
      <c r="X7" s="192">
        <f>Tableau4[[#This Row],[Couverture 2 (%)]]*Tableau4[[#This Row],[Nombres appareils installés]]</f>
        <v>0.60032598011770122</v>
      </c>
      <c r="Y7" s="188">
        <f>($Y$4+$Z$4*(Tableau4[[#This Row],[Capacité (BTU)]]/1000))*Tableau4[[#This Row],[Nombres appareils installés]]</f>
        <v>2775</v>
      </c>
      <c r="Z7" s="188">
        <f>Tableau4[[#This Row],[AF 3 ($)]]/Tableau4[[#This Row],[Nombres appareils installés]]</f>
        <v>2775</v>
      </c>
      <c r="AA7" s="193">
        <f>Tableau4[[#This Row],[AF 3 par appareil ($)]]/Tableau4[[#This Row],[Surcoût par appareil ($)]]</f>
        <v>0.69053040200067184</v>
      </c>
      <c r="AB7" s="193">
        <f>Tableau4[[#This Row],[Couverture 3 (%)]]*Tableau4[[#This Row],[Nombres appareils installés]]</f>
        <v>0.69053040200067184</v>
      </c>
      <c r="AC7" s="188">
        <f>($AC$4+$AD$4*(Tableau4[[#This Row],[Capacité (BTU)]]/1000))*Tableau4[[#This Row],[Nombres appareils installés]]</f>
        <v>2420</v>
      </c>
      <c r="AD7" s="188">
        <f>Tableau4[[#This Row],[AF 4 ($)]]/Tableau4[[#This Row],[Nombres appareils installés]]</f>
        <v>2420</v>
      </c>
      <c r="AE7" s="194">
        <f>Tableau4[[#This Row],[Couverture 4 (%)]]*Tableau4[[#This Row],[Nombres appareils installés]]</f>
        <v>0.60219227850148682</v>
      </c>
      <c r="AF7" s="193">
        <f>Tableau4[[#This Row],[AF 4 par appareil  ($)]]/Tableau4[[#This Row],[Surcoût par appareil ($)]]</f>
        <v>0.60219227850148682</v>
      </c>
    </row>
    <row r="8" spans="2:32" x14ac:dyDescent="0.3">
      <c r="B8" s="187" t="s">
        <v>157</v>
      </c>
      <c r="C8" s="188" t="s">
        <v>160</v>
      </c>
      <c r="D8" s="188">
        <v>1</v>
      </c>
      <c r="E8" s="188">
        <v>55000</v>
      </c>
      <c r="F8" s="189">
        <f>Tableau4[[#This Row],[Economies totales (m3)]]/Tableau4[[#This Row],[Nombres appareils installés]]</f>
        <v>1068</v>
      </c>
      <c r="G8" s="190">
        <v>1068</v>
      </c>
      <c r="H8" s="188">
        <f t="shared" si="0"/>
        <v>1618.65</v>
      </c>
      <c r="I8" s="188">
        <v>2400</v>
      </c>
      <c r="J8" s="188">
        <f>Tableau4[[#This Row],[Surcoût moyens de l''équipement ($)]]+Tableau4[[#This Row],[Surcoût moyen de l''installation ($)]]</f>
        <v>4018.65</v>
      </c>
      <c r="K8" s="188">
        <f>Tableau4[[#This Row],[Surcoût par appareil ($)]]*Tableau4[[#This Row],[Nombres appareils installés]]</f>
        <v>4018.65</v>
      </c>
      <c r="L8" s="190">
        <v>1700</v>
      </c>
      <c r="M8" s="188">
        <f t="shared" si="1"/>
        <v>1175</v>
      </c>
      <c r="N8" s="188">
        <f>Tableau4[[#This Row],[AF 0 ($)]]/Tableau4[[#This Row],[Nombres appareils installés]]</f>
        <v>1175</v>
      </c>
      <c r="O8" s="191">
        <f>(Tableau4[[#This Row],[AF accordée ($)]])/($J$6*D8)</f>
        <v>0.42463905680171854</v>
      </c>
      <c r="P8" s="191">
        <f>Tableau4[[#This Row],[Couverture 0 (%)]]*Tableau4[[#This Row],[Nombres appareils installés]]</f>
        <v>0.42463905680171854</v>
      </c>
      <c r="Q8" s="188">
        <f>($Q$4+$R$4*(Tableau4[[#This Row],[Capacité (BTU)]]/1000))*Tableau4[[#This Row],[Nombres appareils installés]]</f>
        <v>2275</v>
      </c>
      <c r="R8" s="188">
        <f>Tableau4[[#This Row],[AF 1 ($)]]/Tableau4[[#This Row],[Nombres appareils installés]]</f>
        <v>2275</v>
      </c>
      <c r="S8" s="191">
        <f>Tableau4[[#This Row],[AF 1 ($)]]/(J8*D8)</f>
        <v>0.56611050974829857</v>
      </c>
      <c r="T8" s="191">
        <f>Tableau4[[#This Row],[Couverture 1 (%)]]*Tableau4[[#This Row],[Nombres appareils installés]]</f>
        <v>0.56611050974829857</v>
      </c>
      <c r="U8" s="188">
        <f>($U$4+($V$4*(Tableau4[[#This Row],[Capacité (BTU)]]/1000)))*Tableau4[[#This Row],[Nombres appareils installés]]</f>
        <v>2412.5</v>
      </c>
      <c r="V8" s="188">
        <f>Tableau4[[#This Row],[AF 2 ($)]]/Tableau4[[#This Row],[Nombres appareils installés]]</f>
        <v>2412.5</v>
      </c>
      <c r="W8" s="192">
        <f>Tableau4[[#This Row],[AF 2 par appareil ($)]]/Tableau4[[#This Row],[Surcoût par appareil ($)]]</f>
        <v>0.60032598011770122</v>
      </c>
      <c r="X8" s="192">
        <f>Tableau4[[#This Row],[Couverture 2 (%)]]*Tableau4[[#This Row],[Nombres appareils installés]]</f>
        <v>0.60032598011770122</v>
      </c>
      <c r="Y8" s="188">
        <f>($Y$4+$Z$4*(Tableau4[[#This Row],[Capacité (BTU)]]/1000))*Tableau4[[#This Row],[Nombres appareils installés]]</f>
        <v>2775</v>
      </c>
      <c r="Z8" s="188">
        <f>Tableau4[[#This Row],[AF 3 ($)]]/Tableau4[[#This Row],[Nombres appareils installés]]</f>
        <v>2775</v>
      </c>
      <c r="AA8" s="193">
        <f>Tableau4[[#This Row],[AF 3 par appareil ($)]]/Tableau4[[#This Row],[Surcoût par appareil ($)]]</f>
        <v>0.69053040200067184</v>
      </c>
      <c r="AB8" s="193">
        <f>Tableau4[[#This Row],[Couverture 3 (%)]]*Tableau4[[#This Row],[Nombres appareils installés]]</f>
        <v>0.69053040200067184</v>
      </c>
      <c r="AC8" s="188">
        <f>($AC$4+$AD$4*(Tableau4[[#This Row],[Capacité (BTU)]]/1000))*Tableau4[[#This Row],[Nombres appareils installés]]</f>
        <v>2420</v>
      </c>
      <c r="AD8" s="188">
        <f>Tableau4[[#This Row],[AF 4 ($)]]/Tableau4[[#This Row],[Nombres appareils installés]]</f>
        <v>2420</v>
      </c>
      <c r="AE8" s="194">
        <f>Tableau4[[#This Row],[Couverture 4 (%)]]*Tableau4[[#This Row],[Nombres appareils installés]]</f>
        <v>0.60219227850148682</v>
      </c>
      <c r="AF8" s="193">
        <f>Tableau4[[#This Row],[AF 4 par appareil  ($)]]/Tableau4[[#This Row],[Surcoût par appareil ($)]]</f>
        <v>0.60219227850148682</v>
      </c>
    </row>
    <row r="9" spans="2:32" x14ac:dyDescent="0.3">
      <c r="B9" s="187" t="s">
        <v>157</v>
      </c>
      <c r="C9" s="188" t="s">
        <v>161</v>
      </c>
      <c r="D9" s="188">
        <v>1</v>
      </c>
      <c r="E9" s="188">
        <v>55000</v>
      </c>
      <c r="F9" s="189">
        <f>Tableau4[[#This Row],[Economies totales (m3)]]/Tableau4[[#This Row],[Nombres appareils installés]]</f>
        <v>1068</v>
      </c>
      <c r="G9" s="190">
        <v>1068</v>
      </c>
      <c r="H9" s="188">
        <f t="shared" si="0"/>
        <v>1618.65</v>
      </c>
      <c r="I9" s="188">
        <v>2400</v>
      </c>
      <c r="J9" s="188">
        <f>Tableau4[[#This Row],[Surcoût moyens de l''équipement ($)]]+Tableau4[[#This Row],[Surcoût moyen de l''installation ($)]]</f>
        <v>4018.65</v>
      </c>
      <c r="K9" s="188">
        <f>Tableau4[[#This Row],[Surcoût par appareil ($)]]*Tableau4[[#This Row],[Nombres appareils installés]]</f>
        <v>4018.65</v>
      </c>
      <c r="L9" s="190">
        <v>1700</v>
      </c>
      <c r="M9" s="188">
        <f t="shared" si="1"/>
        <v>1175</v>
      </c>
      <c r="N9" s="188">
        <f>Tableau4[[#This Row],[AF 0 ($)]]/Tableau4[[#This Row],[Nombres appareils installés]]</f>
        <v>1175</v>
      </c>
      <c r="O9" s="191">
        <f>(Tableau4[[#This Row],[AF accordée ($)]])/($J$6*D9)</f>
        <v>0.42463905680171854</v>
      </c>
      <c r="P9" s="191">
        <f>Tableau4[[#This Row],[Couverture 0 (%)]]*Tableau4[[#This Row],[Nombres appareils installés]]</f>
        <v>0.42463905680171854</v>
      </c>
      <c r="Q9" s="188">
        <f>($Q$4+$R$4*(Tableau4[[#This Row],[Capacité (BTU)]]/1000))*Tableau4[[#This Row],[Nombres appareils installés]]</f>
        <v>2275</v>
      </c>
      <c r="R9" s="188">
        <f>Tableau4[[#This Row],[AF 1 ($)]]/Tableau4[[#This Row],[Nombres appareils installés]]</f>
        <v>2275</v>
      </c>
      <c r="S9" s="191">
        <f>Tableau4[[#This Row],[AF 1 ($)]]/(J9*D9)</f>
        <v>0.56611050974829857</v>
      </c>
      <c r="T9" s="191">
        <f>Tableau4[[#This Row],[Couverture 1 (%)]]*Tableau4[[#This Row],[Nombres appareils installés]]</f>
        <v>0.56611050974829857</v>
      </c>
      <c r="U9" s="188">
        <f>($U$4+($V$4*(Tableau4[[#This Row],[Capacité (BTU)]]/1000)))*Tableau4[[#This Row],[Nombres appareils installés]]</f>
        <v>2412.5</v>
      </c>
      <c r="V9" s="188">
        <f>Tableau4[[#This Row],[AF 2 ($)]]/Tableau4[[#This Row],[Nombres appareils installés]]</f>
        <v>2412.5</v>
      </c>
      <c r="W9" s="192">
        <f>Tableau4[[#This Row],[AF 2 par appareil ($)]]/Tableau4[[#This Row],[Surcoût par appareil ($)]]</f>
        <v>0.60032598011770122</v>
      </c>
      <c r="X9" s="192">
        <f>Tableau4[[#This Row],[Couverture 2 (%)]]*Tableau4[[#This Row],[Nombres appareils installés]]</f>
        <v>0.60032598011770122</v>
      </c>
      <c r="Y9" s="188">
        <f>($Y$4+$Z$4*(Tableau4[[#This Row],[Capacité (BTU)]]/1000))*Tableau4[[#This Row],[Nombres appareils installés]]</f>
        <v>2775</v>
      </c>
      <c r="Z9" s="188">
        <f>Tableau4[[#This Row],[AF 3 ($)]]/Tableau4[[#This Row],[Nombres appareils installés]]</f>
        <v>2775</v>
      </c>
      <c r="AA9" s="193">
        <f>Tableau4[[#This Row],[AF 3 par appareil ($)]]/Tableau4[[#This Row],[Surcoût par appareil ($)]]</f>
        <v>0.69053040200067184</v>
      </c>
      <c r="AB9" s="193">
        <f>Tableau4[[#This Row],[Couverture 3 (%)]]*Tableau4[[#This Row],[Nombres appareils installés]]</f>
        <v>0.69053040200067184</v>
      </c>
      <c r="AC9" s="188">
        <f>($AC$4+$AD$4*(Tableau4[[#This Row],[Capacité (BTU)]]/1000))*Tableau4[[#This Row],[Nombres appareils installés]]</f>
        <v>2420</v>
      </c>
      <c r="AD9" s="188">
        <f>Tableau4[[#This Row],[AF 4 ($)]]/Tableau4[[#This Row],[Nombres appareils installés]]</f>
        <v>2420</v>
      </c>
      <c r="AE9" s="194">
        <f>Tableau4[[#This Row],[Couverture 4 (%)]]*Tableau4[[#This Row],[Nombres appareils installés]]</f>
        <v>0.60219227850148682</v>
      </c>
      <c r="AF9" s="193">
        <f>Tableau4[[#This Row],[AF 4 par appareil  ($)]]/Tableau4[[#This Row],[Surcoût par appareil ($)]]</f>
        <v>0.60219227850148682</v>
      </c>
    </row>
    <row r="10" spans="2:32" x14ac:dyDescent="0.3">
      <c r="B10" s="187" t="s">
        <v>157</v>
      </c>
      <c r="C10" s="188" t="s">
        <v>162</v>
      </c>
      <c r="D10" s="188">
        <v>1</v>
      </c>
      <c r="E10" s="188">
        <v>55000</v>
      </c>
      <c r="F10" s="189">
        <f>Tableau4[[#This Row],[Economies totales (m3)]]/Tableau4[[#This Row],[Nombres appareils installés]]</f>
        <v>1068</v>
      </c>
      <c r="G10" s="190">
        <v>1068</v>
      </c>
      <c r="H10" s="188">
        <f t="shared" si="0"/>
        <v>1618.65</v>
      </c>
      <c r="I10" s="188">
        <v>2400</v>
      </c>
      <c r="J10" s="188">
        <f>Tableau4[[#This Row],[Surcoût moyens de l''équipement ($)]]+Tableau4[[#This Row],[Surcoût moyen de l''installation ($)]]</f>
        <v>4018.65</v>
      </c>
      <c r="K10" s="188">
        <f>Tableau4[[#This Row],[Surcoût par appareil ($)]]*Tableau4[[#This Row],[Nombres appareils installés]]</f>
        <v>4018.65</v>
      </c>
      <c r="L10" s="190">
        <v>1700</v>
      </c>
      <c r="M10" s="188">
        <f t="shared" si="1"/>
        <v>1175</v>
      </c>
      <c r="N10" s="188">
        <f>Tableau4[[#This Row],[AF 0 ($)]]/Tableau4[[#This Row],[Nombres appareils installés]]</f>
        <v>1175</v>
      </c>
      <c r="O10" s="191">
        <f>(Tableau4[[#This Row],[AF accordée ($)]])/($J$6*D10)</f>
        <v>0.42463905680171854</v>
      </c>
      <c r="P10" s="191">
        <f>Tableau4[[#This Row],[Couverture 0 (%)]]*Tableau4[[#This Row],[Nombres appareils installés]]</f>
        <v>0.42463905680171854</v>
      </c>
      <c r="Q10" s="188">
        <f>($Q$4+$R$4*(Tableau4[[#This Row],[Capacité (BTU)]]/1000))*Tableau4[[#This Row],[Nombres appareils installés]]</f>
        <v>2275</v>
      </c>
      <c r="R10" s="188">
        <f>Tableau4[[#This Row],[AF 1 ($)]]/Tableau4[[#This Row],[Nombres appareils installés]]</f>
        <v>2275</v>
      </c>
      <c r="S10" s="191">
        <f>Tableau4[[#This Row],[AF 1 ($)]]/(J10*D10)</f>
        <v>0.56611050974829857</v>
      </c>
      <c r="T10" s="191">
        <f>Tableau4[[#This Row],[Couverture 1 (%)]]*Tableau4[[#This Row],[Nombres appareils installés]]</f>
        <v>0.56611050974829857</v>
      </c>
      <c r="U10" s="188">
        <f>($U$4+($V$4*(Tableau4[[#This Row],[Capacité (BTU)]]/1000)))*Tableau4[[#This Row],[Nombres appareils installés]]</f>
        <v>2412.5</v>
      </c>
      <c r="V10" s="188">
        <f>Tableau4[[#This Row],[AF 2 ($)]]/Tableau4[[#This Row],[Nombres appareils installés]]</f>
        <v>2412.5</v>
      </c>
      <c r="W10" s="192">
        <f>Tableau4[[#This Row],[AF 2 par appareil ($)]]/Tableau4[[#This Row],[Surcoût par appareil ($)]]</f>
        <v>0.60032598011770122</v>
      </c>
      <c r="X10" s="192">
        <f>Tableau4[[#This Row],[Couverture 2 (%)]]*Tableau4[[#This Row],[Nombres appareils installés]]</f>
        <v>0.60032598011770122</v>
      </c>
      <c r="Y10" s="188">
        <f>($Y$4+$Z$4*(Tableau4[[#This Row],[Capacité (BTU)]]/1000))*Tableau4[[#This Row],[Nombres appareils installés]]</f>
        <v>2775</v>
      </c>
      <c r="Z10" s="188">
        <f>Tableau4[[#This Row],[AF 3 ($)]]/Tableau4[[#This Row],[Nombres appareils installés]]</f>
        <v>2775</v>
      </c>
      <c r="AA10" s="193">
        <f>Tableau4[[#This Row],[AF 3 par appareil ($)]]/Tableau4[[#This Row],[Surcoût par appareil ($)]]</f>
        <v>0.69053040200067184</v>
      </c>
      <c r="AB10" s="193">
        <f>Tableau4[[#This Row],[Couverture 3 (%)]]*Tableau4[[#This Row],[Nombres appareils installés]]</f>
        <v>0.69053040200067184</v>
      </c>
      <c r="AC10" s="188">
        <f>($AC$4+$AD$4*(Tableau4[[#This Row],[Capacité (BTU)]]/1000))*Tableau4[[#This Row],[Nombres appareils installés]]</f>
        <v>2420</v>
      </c>
      <c r="AD10" s="188">
        <f>Tableau4[[#This Row],[AF 4 ($)]]/Tableau4[[#This Row],[Nombres appareils installés]]</f>
        <v>2420</v>
      </c>
      <c r="AE10" s="194">
        <f>Tableau4[[#This Row],[Couverture 4 (%)]]*Tableau4[[#This Row],[Nombres appareils installés]]</f>
        <v>0.60219227850148682</v>
      </c>
      <c r="AF10" s="193">
        <f>Tableau4[[#This Row],[AF 4 par appareil  ($)]]/Tableau4[[#This Row],[Surcoût par appareil ($)]]</f>
        <v>0.60219227850148682</v>
      </c>
    </row>
    <row r="11" spans="2:32" x14ac:dyDescent="0.3">
      <c r="B11" s="187" t="s">
        <v>157</v>
      </c>
      <c r="C11" s="188" t="s">
        <v>163</v>
      </c>
      <c r="D11" s="188">
        <v>4</v>
      </c>
      <c r="E11" s="188">
        <v>55000</v>
      </c>
      <c r="F11" s="189">
        <f>Tableau4[[#This Row],[Economies totales (m3)]]/Tableau4[[#This Row],[Nombres appareils installés]]</f>
        <v>1068</v>
      </c>
      <c r="G11" s="190">
        <v>4272</v>
      </c>
      <c r="H11" s="188">
        <f t="shared" si="0"/>
        <v>1618.65</v>
      </c>
      <c r="I11" s="188">
        <v>2400</v>
      </c>
      <c r="J11" s="188">
        <f>Tableau4[[#This Row],[Surcoût moyens de l''équipement ($)]]+Tableau4[[#This Row],[Surcoût moyen de l''installation ($)]]</f>
        <v>4018.65</v>
      </c>
      <c r="K11" s="188">
        <f>Tableau4[[#This Row],[Surcoût par appareil ($)]]*Tableau4[[#This Row],[Nombres appareils installés]]</f>
        <v>16074.6</v>
      </c>
      <c r="L11" s="190">
        <v>6800</v>
      </c>
      <c r="M11" s="188">
        <f t="shared" si="1"/>
        <v>4700</v>
      </c>
      <c r="N11" s="188">
        <f>Tableau4[[#This Row],[AF 0 ($)]]/Tableau4[[#This Row],[Nombres appareils installés]]</f>
        <v>1175</v>
      </c>
      <c r="O11" s="191">
        <f>(Tableau4[[#This Row],[AF accordée ($)]])/($J$6*D11)</f>
        <v>0.42463905680171854</v>
      </c>
      <c r="P11" s="191">
        <f>Tableau4[[#This Row],[Couverture 0 (%)]]*Tableau4[[#This Row],[Nombres appareils installés]]</f>
        <v>1.6985562272068742</v>
      </c>
      <c r="Q11" s="188">
        <f>($Q$4+$R$4*(Tableau4[[#This Row],[Capacité (BTU)]]/1000))*Tableau4[[#This Row],[Nombres appareils installés]]</f>
        <v>9100</v>
      </c>
      <c r="R11" s="188">
        <f>Tableau4[[#This Row],[AF 1 ($)]]/Tableau4[[#This Row],[Nombres appareils installés]]</f>
        <v>2275</v>
      </c>
      <c r="S11" s="191">
        <f>Tableau4[[#This Row],[AF 1 ($)]]/(J11*D11)</f>
        <v>0.56611050974829857</v>
      </c>
      <c r="T11" s="191">
        <f>Tableau4[[#This Row],[Couverture 1 (%)]]*Tableau4[[#This Row],[Nombres appareils installés]]</f>
        <v>2.2644420389931943</v>
      </c>
      <c r="U11" s="188">
        <f>($U$4+($V$4*(Tableau4[[#This Row],[Capacité (BTU)]]/1000)))*Tableau4[[#This Row],[Nombres appareils installés]]</f>
        <v>9650</v>
      </c>
      <c r="V11" s="188">
        <f>Tableau4[[#This Row],[AF 2 ($)]]/Tableau4[[#This Row],[Nombres appareils installés]]</f>
        <v>2412.5</v>
      </c>
      <c r="W11" s="192">
        <f>Tableau4[[#This Row],[AF 2 par appareil ($)]]/Tableau4[[#This Row],[Surcoût par appareil ($)]]</f>
        <v>0.60032598011770122</v>
      </c>
      <c r="X11" s="192">
        <f>Tableau4[[#This Row],[Couverture 2 (%)]]*Tableau4[[#This Row],[Nombres appareils installés]]</f>
        <v>2.4013039204708049</v>
      </c>
      <c r="Y11" s="188">
        <f>($Y$4+$Z$4*(Tableau4[[#This Row],[Capacité (BTU)]]/1000))*Tableau4[[#This Row],[Nombres appareils installés]]</f>
        <v>11100</v>
      </c>
      <c r="Z11" s="188">
        <f>Tableau4[[#This Row],[AF 3 ($)]]/Tableau4[[#This Row],[Nombres appareils installés]]</f>
        <v>2775</v>
      </c>
      <c r="AA11" s="193">
        <f>Tableau4[[#This Row],[AF 3 par appareil ($)]]/Tableau4[[#This Row],[Surcoût par appareil ($)]]</f>
        <v>0.69053040200067184</v>
      </c>
      <c r="AB11" s="193">
        <f>Tableau4[[#This Row],[Couverture 3 (%)]]*Tableau4[[#This Row],[Nombres appareils installés]]</f>
        <v>2.7621216080026874</v>
      </c>
      <c r="AC11" s="188">
        <f>($AC$4+$AD$4*(Tableau4[[#This Row],[Capacité (BTU)]]/1000))*Tableau4[[#This Row],[Nombres appareils installés]]</f>
        <v>9680</v>
      </c>
      <c r="AD11" s="188">
        <f>Tableau4[[#This Row],[AF 4 ($)]]/Tableau4[[#This Row],[Nombres appareils installés]]</f>
        <v>2420</v>
      </c>
      <c r="AE11" s="194">
        <f>Tableau4[[#This Row],[Couverture 4 (%)]]*Tableau4[[#This Row],[Nombres appareils installés]]</f>
        <v>2.4087691140059473</v>
      </c>
      <c r="AF11" s="193">
        <f>Tableau4[[#This Row],[AF 4 par appareil  ($)]]/Tableau4[[#This Row],[Surcoût par appareil ($)]]</f>
        <v>0.60219227850148682</v>
      </c>
    </row>
    <row r="12" spans="2:32" x14ac:dyDescent="0.3">
      <c r="B12" s="187" t="s">
        <v>157</v>
      </c>
      <c r="C12" s="188" t="s">
        <v>164</v>
      </c>
      <c r="D12" s="188">
        <v>4</v>
      </c>
      <c r="E12" s="188">
        <v>65000</v>
      </c>
      <c r="F12" s="189">
        <f>Tableau4[[#This Row],[Economies totales (m3)]]/Tableau4[[#This Row],[Nombres appareils installés]]</f>
        <v>1068</v>
      </c>
      <c r="G12" s="190">
        <v>4272</v>
      </c>
      <c r="H12" s="188">
        <f t="shared" si="0"/>
        <v>1653.65</v>
      </c>
      <c r="I12" s="188">
        <v>2400</v>
      </c>
      <c r="J12" s="188">
        <f>Tableau4[[#This Row],[Surcoût moyens de l''équipement ($)]]+Tableau4[[#This Row],[Surcoût moyen de l''installation ($)]]</f>
        <v>4053.65</v>
      </c>
      <c r="K12" s="188">
        <f>Tableau4[[#This Row],[Surcoût par appareil ($)]]*Tableau4[[#This Row],[Nombres appareils installés]]</f>
        <v>16214.6</v>
      </c>
      <c r="L12" s="190">
        <v>6800</v>
      </c>
      <c r="M12" s="188">
        <f t="shared" si="1"/>
        <v>4900</v>
      </c>
      <c r="N12" s="188">
        <f>Tableau4[[#This Row],[AF 0 ($)]]/Tableau4[[#This Row],[Nombres appareils installés]]</f>
        <v>1225</v>
      </c>
      <c r="O12" s="191">
        <f>(Tableau4[[#This Row],[AF accordée ($)]])/($J$6*D12)</f>
        <v>0.42463905680171854</v>
      </c>
      <c r="P12" s="191">
        <f>Tableau4[[#This Row],[Couverture 0 (%)]]*Tableau4[[#This Row],[Nombres appareils installés]]</f>
        <v>1.6985562272068742</v>
      </c>
      <c r="Q12" s="188">
        <f>($Q$4+$R$4*(Tableau4[[#This Row],[Capacité (BTU)]]/1000))*Tableau4[[#This Row],[Nombres appareils installés]]</f>
        <v>9300</v>
      </c>
      <c r="R12" s="188">
        <f>Tableau4[[#This Row],[AF 1 ($)]]/Tableau4[[#This Row],[Nombres appareils installés]]</f>
        <v>2325</v>
      </c>
      <c r="S12" s="191">
        <f>Tableau4[[#This Row],[AF 1 ($)]]/(J12*D12)</f>
        <v>0.57355716453073158</v>
      </c>
      <c r="T12" s="191">
        <f>Tableau4[[#This Row],[Couverture 1 (%)]]*Tableau4[[#This Row],[Nombres appareils installés]]</f>
        <v>2.2942286581229263</v>
      </c>
      <c r="U12" s="188">
        <f>($U$4+($V$4*(Tableau4[[#This Row],[Capacité (BTU)]]/1000)))*Tableau4[[#This Row],[Nombres appareils installés]]</f>
        <v>9950</v>
      </c>
      <c r="V12" s="188">
        <f>Tableau4[[#This Row],[AF 2 ($)]]/Tableau4[[#This Row],[Nombres appareils installés]]</f>
        <v>2487.5</v>
      </c>
      <c r="W12" s="192">
        <f>Tableau4[[#This Row],[AF 2 par appareil ($)]]/Tableau4[[#This Row],[Surcoût par appareil ($)]]</f>
        <v>0.61364449323449233</v>
      </c>
      <c r="X12" s="192">
        <f>Tableau4[[#This Row],[Couverture 2 (%)]]*Tableau4[[#This Row],[Nombres appareils installés]]</f>
        <v>2.4545779729379693</v>
      </c>
      <c r="Y12" s="188">
        <f>($Y$4+$Z$4*(Tableau4[[#This Row],[Capacité (BTU)]]/1000))*Tableau4[[#This Row],[Nombres appareils installés]]</f>
        <v>11300</v>
      </c>
      <c r="Z12" s="188">
        <f>Tableau4[[#This Row],[AF 3 ($)]]/Tableau4[[#This Row],[Nombres appareils installés]]</f>
        <v>2825</v>
      </c>
      <c r="AA12" s="193">
        <f>Tableau4[[#This Row],[AF 3 par appareil ($)]]/Tableau4[[#This Row],[Surcoût par appareil ($)]]</f>
        <v>0.69690279131153399</v>
      </c>
      <c r="AB12" s="193">
        <f>Tableau4[[#This Row],[Couverture 3 (%)]]*Tableau4[[#This Row],[Nombres appareils installés]]</f>
        <v>2.7876111652461359</v>
      </c>
      <c r="AC12" s="188">
        <f>($AC$4+$AD$4*(Tableau4[[#This Row],[Capacité (BTU)]]/1000))*Tableau4[[#This Row],[Nombres appareils installés]]</f>
        <v>9840</v>
      </c>
      <c r="AD12" s="188">
        <f>Tableau4[[#This Row],[AF 4 ($)]]/Tableau4[[#This Row],[Nombres appareils installés]]</f>
        <v>2460</v>
      </c>
      <c r="AE12" s="194">
        <f>Tableau4[[#This Row],[Couverture 4 (%)]]*Tableau4[[#This Row],[Nombres appareils installés]]</f>
        <v>2.4274419350461929</v>
      </c>
      <c r="AF12" s="193">
        <f>Tableau4[[#This Row],[AF 4 par appareil  ($)]]/Tableau4[[#This Row],[Surcoût par appareil ($)]]</f>
        <v>0.60686048376154822</v>
      </c>
    </row>
    <row r="13" spans="2:32" x14ac:dyDescent="0.3">
      <c r="B13" s="187" t="s">
        <v>157</v>
      </c>
      <c r="C13" s="188" t="s">
        <v>165</v>
      </c>
      <c r="D13" s="188">
        <v>1</v>
      </c>
      <c r="E13" s="188">
        <v>85000</v>
      </c>
      <c r="F13" s="189">
        <f>Tableau4[[#This Row],[Economies totales (m3)]]/Tableau4[[#This Row],[Nombres appareils installés]]</f>
        <v>1068</v>
      </c>
      <c r="G13" s="190">
        <v>1068</v>
      </c>
      <c r="H13" s="188">
        <f t="shared" si="0"/>
        <v>1741.65</v>
      </c>
      <c r="I13" s="188">
        <v>2400</v>
      </c>
      <c r="J13" s="188">
        <f>Tableau4[[#This Row],[Surcoût moyens de l''équipement ($)]]+Tableau4[[#This Row],[Surcoût moyen de l''installation ($)]]</f>
        <v>4141.6499999999996</v>
      </c>
      <c r="K13" s="188">
        <f>Tableau4[[#This Row],[Surcoût par appareil ($)]]*Tableau4[[#This Row],[Nombres appareils installés]]</f>
        <v>4141.6499999999996</v>
      </c>
      <c r="L13" s="190">
        <v>1700</v>
      </c>
      <c r="M13" s="188">
        <f t="shared" si="1"/>
        <v>1325</v>
      </c>
      <c r="N13" s="188">
        <f>Tableau4[[#This Row],[AF 0 ($)]]/Tableau4[[#This Row],[Nombres appareils installés]]</f>
        <v>1325</v>
      </c>
      <c r="O13" s="191">
        <f>(Tableau4[[#This Row],[AF accordée ($)]])/($J$6*D13)</f>
        <v>0.42463905680171854</v>
      </c>
      <c r="P13" s="191">
        <f>Tableau4[[#This Row],[Couverture 0 (%)]]*Tableau4[[#This Row],[Nombres appareils installés]]</f>
        <v>0.42463905680171854</v>
      </c>
      <c r="Q13" s="188">
        <f>($Q$4+$R$4*(Tableau4[[#This Row],[Capacité (BTU)]]/1000))*Tableau4[[#This Row],[Nombres appareils installés]]</f>
        <v>2425</v>
      </c>
      <c r="R13" s="188">
        <f>Tableau4[[#This Row],[AF 1 ($)]]/Tableau4[[#This Row],[Nombres appareils installés]]</f>
        <v>2425</v>
      </c>
      <c r="S13" s="191">
        <f>Tableau4[[#This Row],[AF 1 ($)]]/(J13*D13)</f>
        <v>0.58551543466975731</v>
      </c>
      <c r="T13" s="191">
        <f>Tableau4[[#This Row],[Couverture 1 (%)]]*Tableau4[[#This Row],[Nombres appareils installés]]</f>
        <v>0.58551543466975731</v>
      </c>
      <c r="U13" s="188">
        <f>($U$4+($V$4*(Tableau4[[#This Row],[Capacité (BTU)]]/1000)))*Tableau4[[#This Row],[Nombres appareils installés]]</f>
        <v>2637.5</v>
      </c>
      <c r="V13" s="188">
        <f>Tableau4[[#This Row],[AF 2 ($)]]/Tableau4[[#This Row],[Nombres appareils installés]]</f>
        <v>2637.5</v>
      </c>
      <c r="W13" s="192">
        <f>Tableau4[[#This Row],[AF 2 par appareil ($)]]/Tableau4[[#This Row],[Surcoût par appareil ($)]]</f>
        <v>0.63682348822329271</v>
      </c>
      <c r="X13" s="192">
        <f>Tableau4[[#This Row],[Couverture 2 (%)]]*Tableau4[[#This Row],[Nombres appareils installés]]</f>
        <v>0.63682348822329271</v>
      </c>
      <c r="Y13" s="188">
        <f>($Y$4+$Z$4*(Tableau4[[#This Row],[Capacité (BTU)]]/1000))*Tableau4[[#This Row],[Nombres appareils installés]]</f>
        <v>2925</v>
      </c>
      <c r="Z13" s="188">
        <f>Tableau4[[#This Row],[AF 3 ($)]]/Tableau4[[#This Row],[Nombres appareils installés]]</f>
        <v>2925</v>
      </c>
      <c r="AA13" s="193">
        <f>Tableau4[[#This Row],[AF 3 par appareil ($)]]/Tableau4[[#This Row],[Surcoût par appareil ($)]]</f>
        <v>0.70624026656042893</v>
      </c>
      <c r="AB13" s="193">
        <f>Tableau4[[#This Row],[Couverture 3 (%)]]*Tableau4[[#This Row],[Nombres appareils installés]]</f>
        <v>0.70624026656042893</v>
      </c>
      <c r="AC13" s="188">
        <f>($AC$4+$AD$4*(Tableau4[[#This Row],[Capacité (BTU)]]/1000))*Tableau4[[#This Row],[Nombres appareils installés]]</f>
        <v>2540</v>
      </c>
      <c r="AD13" s="188">
        <f>Tableau4[[#This Row],[AF 4 ($)]]/Tableau4[[#This Row],[Nombres appareils installés]]</f>
        <v>2540</v>
      </c>
      <c r="AE13" s="194">
        <f>Tableau4[[#This Row],[Couverture 4 (%)]]*Tableau4[[#This Row],[Nombres appareils installés]]</f>
        <v>0.61328214600461173</v>
      </c>
      <c r="AF13" s="193">
        <f>Tableau4[[#This Row],[AF 4 par appareil  ($)]]/Tableau4[[#This Row],[Surcoût par appareil ($)]]</f>
        <v>0.61328214600461173</v>
      </c>
    </row>
    <row r="14" spans="2:32" x14ac:dyDescent="0.3">
      <c r="B14" s="187" t="s">
        <v>157</v>
      </c>
      <c r="C14" s="188" t="s">
        <v>166</v>
      </c>
      <c r="D14" s="188">
        <v>1</v>
      </c>
      <c r="E14" s="188">
        <v>85000</v>
      </c>
      <c r="F14" s="189">
        <f>Tableau4[[#This Row],[Economies totales (m3)]]/Tableau4[[#This Row],[Nombres appareils installés]]</f>
        <v>1068</v>
      </c>
      <c r="G14" s="190">
        <v>1068</v>
      </c>
      <c r="H14" s="188">
        <f t="shared" si="0"/>
        <v>1741.65</v>
      </c>
      <c r="I14" s="188">
        <v>2400</v>
      </c>
      <c r="J14" s="188">
        <f>Tableau4[[#This Row],[Surcoût moyens de l''équipement ($)]]+Tableau4[[#This Row],[Surcoût moyen de l''installation ($)]]</f>
        <v>4141.6499999999996</v>
      </c>
      <c r="K14" s="188">
        <f>Tableau4[[#This Row],[Surcoût par appareil ($)]]*Tableau4[[#This Row],[Nombres appareils installés]]</f>
        <v>4141.6499999999996</v>
      </c>
      <c r="L14" s="190">
        <v>1700</v>
      </c>
      <c r="M14" s="188">
        <f t="shared" si="1"/>
        <v>1325</v>
      </c>
      <c r="N14" s="188">
        <f>Tableau4[[#This Row],[AF 0 ($)]]/Tableau4[[#This Row],[Nombres appareils installés]]</f>
        <v>1325</v>
      </c>
      <c r="O14" s="191">
        <f>(Tableau4[[#This Row],[AF accordée ($)]])/($J$6*D14)</f>
        <v>0.42463905680171854</v>
      </c>
      <c r="P14" s="191">
        <f>Tableau4[[#This Row],[Couverture 0 (%)]]*Tableau4[[#This Row],[Nombres appareils installés]]</f>
        <v>0.42463905680171854</v>
      </c>
      <c r="Q14" s="188">
        <f>($Q$4+$R$4*(Tableau4[[#This Row],[Capacité (BTU)]]/1000))*Tableau4[[#This Row],[Nombres appareils installés]]</f>
        <v>2425</v>
      </c>
      <c r="R14" s="188">
        <f>Tableau4[[#This Row],[AF 1 ($)]]/Tableau4[[#This Row],[Nombres appareils installés]]</f>
        <v>2425</v>
      </c>
      <c r="S14" s="191">
        <f>Tableau4[[#This Row],[AF 1 ($)]]/(J14*D14)</f>
        <v>0.58551543466975731</v>
      </c>
      <c r="T14" s="191">
        <f>Tableau4[[#This Row],[Couverture 1 (%)]]*Tableau4[[#This Row],[Nombres appareils installés]]</f>
        <v>0.58551543466975731</v>
      </c>
      <c r="U14" s="188">
        <f>($U$4+($V$4*(Tableau4[[#This Row],[Capacité (BTU)]]/1000)))*Tableau4[[#This Row],[Nombres appareils installés]]</f>
        <v>2637.5</v>
      </c>
      <c r="V14" s="188">
        <f>Tableau4[[#This Row],[AF 2 ($)]]/Tableau4[[#This Row],[Nombres appareils installés]]</f>
        <v>2637.5</v>
      </c>
      <c r="W14" s="192">
        <f>Tableau4[[#This Row],[AF 2 par appareil ($)]]/Tableau4[[#This Row],[Surcoût par appareil ($)]]</f>
        <v>0.63682348822329271</v>
      </c>
      <c r="X14" s="192">
        <f>Tableau4[[#This Row],[Couverture 2 (%)]]*Tableau4[[#This Row],[Nombres appareils installés]]</f>
        <v>0.63682348822329271</v>
      </c>
      <c r="Y14" s="188">
        <f>($Y$4+$Z$4*(Tableau4[[#This Row],[Capacité (BTU)]]/1000))*Tableau4[[#This Row],[Nombres appareils installés]]</f>
        <v>2925</v>
      </c>
      <c r="Z14" s="188">
        <f>Tableau4[[#This Row],[AF 3 ($)]]/Tableau4[[#This Row],[Nombres appareils installés]]</f>
        <v>2925</v>
      </c>
      <c r="AA14" s="193">
        <f>Tableau4[[#This Row],[AF 3 par appareil ($)]]/Tableau4[[#This Row],[Surcoût par appareil ($)]]</f>
        <v>0.70624026656042893</v>
      </c>
      <c r="AB14" s="193">
        <f>Tableau4[[#This Row],[Couverture 3 (%)]]*Tableau4[[#This Row],[Nombres appareils installés]]</f>
        <v>0.70624026656042893</v>
      </c>
      <c r="AC14" s="188">
        <f>($AC$4+$AD$4*(Tableau4[[#This Row],[Capacité (BTU)]]/1000))*Tableau4[[#This Row],[Nombres appareils installés]]</f>
        <v>2540</v>
      </c>
      <c r="AD14" s="188">
        <f>Tableau4[[#This Row],[AF 4 ($)]]/Tableau4[[#This Row],[Nombres appareils installés]]</f>
        <v>2540</v>
      </c>
      <c r="AE14" s="194">
        <f>Tableau4[[#This Row],[Couverture 4 (%)]]*Tableau4[[#This Row],[Nombres appareils installés]]</f>
        <v>0.61328214600461173</v>
      </c>
      <c r="AF14" s="193">
        <f>Tableau4[[#This Row],[AF 4 par appareil  ($)]]/Tableau4[[#This Row],[Surcoût par appareil ($)]]</f>
        <v>0.61328214600461173</v>
      </c>
    </row>
    <row r="15" spans="2:32" x14ac:dyDescent="0.3">
      <c r="B15" s="187" t="s">
        <v>157</v>
      </c>
      <c r="C15" s="188" t="s">
        <v>161</v>
      </c>
      <c r="D15" s="188">
        <v>1</v>
      </c>
      <c r="E15" s="188">
        <v>110000</v>
      </c>
      <c r="F15" s="189">
        <f>Tableau4[[#This Row],[Economies totales (m3)]]/Tableau4[[#This Row],[Nombres appareils installés]]</f>
        <v>1068</v>
      </c>
      <c r="G15" s="190">
        <v>1068</v>
      </c>
      <c r="H15" s="188">
        <f t="shared" si="0"/>
        <v>1885.4</v>
      </c>
      <c r="I15" s="188">
        <v>2400</v>
      </c>
      <c r="J15" s="188">
        <f>Tableau4[[#This Row],[Surcoût moyens de l''équipement ($)]]+Tableau4[[#This Row],[Surcoût moyen de l''installation ($)]]</f>
        <v>4285.3999999999996</v>
      </c>
      <c r="K15" s="188">
        <f>Tableau4[[#This Row],[Surcoût par appareil ($)]]*Tableau4[[#This Row],[Nombres appareils installés]]</f>
        <v>4285.3999999999996</v>
      </c>
      <c r="L15" s="190">
        <v>1700</v>
      </c>
      <c r="M15" s="188">
        <f t="shared" si="1"/>
        <v>1450</v>
      </c>
      <c r="N15" s="188">
        <f>Tableau4[[#This Row],[AF 0 ($)]]/Tableau4[[#This Row],[Nombres appareils installés]]</f>
        <v>1450</v>
      </c>
      <c r="O15" s="191">
        <f>(Tableau4[[#This Row],[AF accordée ($)]])/($J$6*D15)</f>
        <v>0.42463905680171854</v>
      </c>
      <c r="P15" s="191">
        <f>Tableau4[[#This Row],[Couverture 0 (%)]]*Tableau4[[#This Row],[Nombres appareils installés]]</f>
        <v>0.42463905680171854</v>
      </c>
      <c r="Q15" s="188">
        <f>($Q$4+$R$4*(Tableau4[[#This Row],[Capacité (BTU)]]/1000))*Tableau4[[#This Row],[Nombres appareils installés]]</f>
        <v>2550</v>
      </c>
      <c r="R15" s="188">
        <f>Tableau4[[#This Row],[AF 1 ($)]]/Tableau4[[#This Row],[Nombres appareils installés]]</f>
        <v>2550</v>
      </c>
      <c r="S15" s="191">
        <f>Tableau4[[#This Row],[AF 1 ($)]]/(J15*D15)</f>
        <v>0.5950436365333458</v>
      </c>
      <c r="T15" s="191">
        <f>Tableau4[[#This Row],[Couverture 1 (%)]]*Tableau4[[#This Row],[Nombres appareils installés]]</f>
        <v>0.5950436365333458</v>
      </c>
      <c r="U15" s="188">
        <f>($U$4+($V$4*(Tableau4[[#This Row],[Capacité (BTU)]]/1000)))*Tableau4[[#This Row],[Nombres appareils installés]]</f>
        <v>2825</v>
      </c>
      <c r="V15" s="188">
        <f>Tableau4[[#This Row],[AF 2 ($)]]/Tableau4[[#This Row],[Nombres appareils installés]]</f>
        <v>2825</v>
      </c>
      <c r="W15" s="192">
        <f>Tableau4[[#This Row],[AF 2 par appareil ($)]]/Tableau4[[#This Row],[Surcoût par appareil ($)]]</f>
        <v>0.65921500910066744</v>
      </c>
      <c r="X15" s="192">
        <f>Tableau4[[#This Row],[Couverture 2 (%)]]*Tableau4[[#This Row],[Nombres appareils installés]]</f>
        <v>0.65921500910066744</v>
      </c>
      <c r="Y15" s="188">
        <f>($Y$4+$Z$4*(Tableau4[[#This Row],[Capacité (BTU)]]/1000))*Tableau4[[#This Row],[Nombres appareils installés]]</f>
        <v>3050</v>
      </c>
      <c r="Z15" s="188">
        <f>Tableau4[[#This Row],[AF 3 ($)]]/Tableau4[[#This Row],[Nombres appareils installés]]</f>
        <v>3050</v>
      </c>
      <c r="AA15" s="193">
        <f>Tableau4[[#This Row],[AF 3 par appareil ($)]]/Tableau4[[#This Row],[Surcoût par appareil ($)]]</f>
        <v>0.71171885938302148</v>
      </c>
      <c r="AB15" s="193">
        <f>Tableau4[[#This Row],[Couverture 3 (%)]]*Tableau4[[#This Row],[Nombres appareils installés]]</f>
        <v>0.71171885938302148</v>
      </c>
      <c r="AC15" s="188">
        <f>($AC$4+$AD$4*(Tableau4[[#This Row],[Capacité (BTU)]]/1000))*Tableau4[[#This Row],[Nombres appareils installés]]</f>
        <v>2640</v>
      </c>
      <c r="AD15" s="188">
        <f>Tableau4[[#This Row],[AF 4 ($)]]/Tableau4[[#This Row],[Nombres appareils installés]]</f>
        <v>2640</v>
      </c>
      <c r="AE15" s="194">
        <f>Tableau4[[#This Row],[Couverture 4 (%)]]*Tableau4[[#This Row],[Nombres appareils installés]]</f>
        <v>0.61604517664628744</v>
      </c>
      <c r="AF15" s="193">
        <f>Tableau4[[#This Row],[AF 4 par appareil  ($)]]/Tableau4[[#This Row],[Surcoût par appareil ($)]]</f>
        <v>0.61604517664628744</v>
      </c>
    </row>
    <row r="16" spans="2:32" x14ac:dyDescent="0.3">
      <c r="B16" s="187" t="s">
        <v>157</v>
      </c>
      <c r="C16" s="188" t="s">
        <v>167</v>
      </c>
      <c r="D16" s="188">
        <v>1</v>
      </c>
      <c r="E16" s="188">
        <v>110000</v>
      </c>
      <c r="F16" s="189">
        <f>Tableau4[[#This Row],[Economies totales (m3)]]/Tableau4[[#This Row],[Nombres appareils installés]]</f>
        <v>1068</v>
      </c>
      <c r="G16" s="190">
        <v>1068</v>
      </c>
      <c r="H16" s="188">
        <f t="shared" si="0"/>
        <v>1885.4</v>
      </c>
      <c r="I16" s="188">
        <v>2400</v>
      </c>
      <c r="J16" s="188">
        <f>Tableau4[[#This Row],[Surcoût moyens de l''équipement ($)]]+Tableau4[[#This Row],[Surcoût moyen de l''installation ($)]]</f>
        <v>4285.3999999999996</v>
      </c>
      <c r="K16" s="188">
        <f>Tableau4[[#This Row],[Surcoût par appareil ($)]]*Tableau4[[#This Row],[Nombres appareils installés]]</f>
        <v>4285.3999999999996</v>
      </c>
      <c r="L16" s="190">
        <v>1700</v>
      </c>
      <c r="M16" s="188">
        <f t="shared" si="1"/>
        <v>1450</v>
      </c>
      <c r="N16" s="188">
        <f>Tableau4[[#This Row],[AF 0 ($)]]/Tableau4[[#This Row],[Nombres appareils installés]]</f>
        <v>1450</v>
      </c>
      <c r="O16" s="191">
        <f>(Tableau4[[#This Row],[AF accordée ($)]])/($J$6*D16)</f>
        <v>0.42463905680171854</v>
      </c>
      <c r="P16" s="191">
        <f>Tableau4[[#This Row],[Couverture 0 (%)]]*Tableau4[[#This Row],[Nombres appareils installés]]</f>
        <v>0.42463905680171854</v>
      </c>
      <c r="Q16" s="188">
        <f>($Q$4+$R$4*(Tableau4[[#This Row],[Capacité (BTU)]]/1000))*Tableau4[[#This Row],[Nombres appareils installés]]</f>
        <v>2550</v>
      </c>
      <c r="R16" s="188">
        <f>Tableau4[[#This Row],[AF 1 ($)]]/Tableau4[[#This Row],[Nombres appareils installés]]</f>
        <v>2550</v>
      </c>
      <c r="S16" s="191">
        <f>Tableau4[[#This Row],[AF 1 ($)]]/(J16*D16)</f>
        <v>0.5950436365333458</v>
      </c>
      <c r="T16" s="191">
        <f>Tableau4[[#This Row],[Couverture 1 (%)]]*Tableau4[[#This Row],[Nombres appareils installés]]</f>
        <v>0.5950436365333458</v>
      </c>
      <c r="U16" s="188">
        <f>($U$4+($V$4*(Tableau4[[#This Row],[Capacité (BTU)]]/1000)))*Tableau4[[#This Row],[Nombres appareils installés]]</f>
        <v>2825</v>
      </c>
      <c r="V16" s="188">
        <f>Tableau4[[#This Row],[AF 2 ($)]]/Tableau4[[#This Row],[Nombres appareils installés]]</f>
        <v>2825</v>
      </c>
      <c r="W16" s="192">
        <f>Tableau4[[#This Row],[AF 2 par appareil ($)]]/Tableau4[[#This Row],[Surcoût par appareil ($)]]</f>
        <v>0.65921500910066744</v>
      </c>
      <c r="X16" s="192">
        <f>Tableau4[[#This Row],[Couverture 2 (%)]]*Tableau4[[#This Row],[Nombres appareils installés]]</f>
        <v>0.65921500910066744</v>
      </c>
      <c r="Y16" s="188">
        <f>($Y$4+$Z$4*(Tableau4[[#This Row],[Capacité (BTU)]]/1000))*Tableau4[[#This Row],[Nombres appareils installés]]</f>
        <v>3050</v>
      </c>
      <c r="Z16" s="188">
        <f>Tableau4[[#This Row],[AF 3 ($)]]/Tableau4[[#This Row],[Nombres appareils installés]]</f>
        <v>3050</v>
      </c>
      <c r="AA16" s="193">
        <f>Tableau4[[#This Row],[AF 3 par appareil ($)]]/Tableau4[[#This Row],[Surcoût par appareil ($)]]</f>
        <v>0.71171885938302148</v>
      </c>
      <c r="AB16" s="193">
        <f>Tableau4[[#This Row],[Couverture 3 (%)]]*Tableau4[[#This Row],[Nombres appareils installés]]</f>
        <v>0.71171885938302148</v>
      </c>
      <c r="AC16" s="188">
        <f>($AC$4+$AD$4*(Tableau4[[#This Row],[Capacité (BTU)]]/1000))*Tableau4[[#This Row],[Nombres appareils installés]]</f>
        <v>2640</v>
      </c>
      <c r="AD16" s="188">
        <f>Tableau4[[#This Row],[AF 4 ($)]]/Tableau4[[#This Row],[Nombres appareils installés]]</f>
        <v>2640</v>
      </c>
      <c r="AE16" s="194">
        <f>Tableau4[[#This Row],[Couverture 4 (%)]]*Tableau4[[#This Row],[Nombres appareils installés]]</f>
        <v>0.61604517664628744</v>
      </c>
      <c r="AF16" s="193">
        <f>Tableau4[[#This Row],[AF 4 par appareil  ($)]]/Tableau4[[#This Row],[Surcoût par appareil ($)]]</f>
        <v>0.61604517664628744</v>
      </c>
    </row>
    <row r="17" spans="2:32" x14ac:dyDescent="0.3">
      <c r="B17" s="187" t="s">
        <v>157</v>
      </c>
      <c r="C17" s="188" t="s">
        <v>168</v>
      </c>
      <c r="D17" s="188">
        <v>1</v>
      </c>
      <c r="E17" s="188">
        <v>110000</v>
      </c>
      <c r="F17" s="189">
        <f>Tableau4[[#This Row],[Economies totales (m3)]]/Tableau4[[#This Row],[Nombres appareils installés]]</f>
        <v>1068</v>
      </c>
      <c r="G17" s="190">
        <v>1068</v>
      </c>
      <c r="H17" s="188">
        <f t="shared" si="0"/>
        <v>1885.4</v>
      </c>
      <c r="I17" s="188">
        <v>2400</v>
      </c>
      <c r="J17" s="188">
        <f>Tableau4[[#This Row],[Surcoût moyens de l''équipement ($)]]+Tableau4[[#This Row],[Surcoût moyen de l''installation ($)]]</f>
        <v>4285.3999999999996</v>
      </c>
      <c r="K17" s="188">
        <f>Tableau4[[#This Row],[Surcoût par appareil ($)]]*Tableau4[[#This Row],[Nombres appareils installés]]</f>
        <v>4285.3999999999996</v>
      </c>
      <c r="L17" s="190">
        <v>1700</v>
      </c>
      <c r="M17" s="188">
        <f t="shared" si="1"/>
        <v>1450</v>
      </c>
      <c r="N17" s="188">
        <f>Tableau4[[#This Row],[AF 0 ($)]]/Tableau4[[#This Row],[Nombres appareils installés]]</f>
        <v>1450</v>
      </c>
      <c r="O17" s="191">
        <f>(Tableau4[[#This Row],[AF accordée ($)]])/($J$6*D17)</f>
        <v>0.42463905680171854</v>
      </c>
      <c r="P17" s="191">
        <f>Tableau4[[#This Row],[Couverture 0 (%)]]*Tableau4[[#This Row],[Nombres appareils installés]]</f>
        <v>0.42463905680171854</v>
      </c>
      <c r="Q17" s="188">
        <f>($Q$4+$R$4*(Tableau4[[#This Row],[Capacité (BTU)]]/1000))*Tableau4[[#This Row],[Nombres appareils installés]]</f>
        <v>2550</v>
      </c>
      <c r="R17" s="188">
        <f>Tableau4[[#This Row],[AF 1 ($)]]/Tableau4[[#This Row],[Nombres appareils installés]]</f>
        <v>2550</v>
      </c>
      <c r="S17" s="191">
        <f>Tableau4[[#This Row],[AF 1 ($)]]/(J17*D17)</f>
        <v>0.5950436365333458</v>
      </c>
      <c r="T17" s="191">
        <f>Tableau4[[#This Row],[Couverture 1 (%)]]*Tableau4[[#This Row],[Nombres appareils installés]]</f>
        <v>0.5950436365333458</v>
      </c>
      <c r="U17" s="188">
        <f>($U$4+($V$4*(Tableau4[[#This Row],[Capacité (BTU)]]/1000)))*Tableau4[[#This Row],[Nombres appareils installés]]</f>
        <v>2825</v>
      </c>
      <c r="V17" s="188">
        <f>Tableau4[[#This Row],[AF 2 ($)]]/Tableau4[[#This Row],[Nombres appareils installés]]</f>
        <v>2825</v>
      </c>
      <c r="W17" s="192">
        <f>Tableau4[[#This Row],[AF 2 par appareil ($)]]/Tableau4[[#This Row],[Surcoût par appareil ($)]]</f>
        <v>0.65921500910066744</v>
      </c>
      <c r="X17" s="192">
        <f>Tableau4[[#This Row],[Couverture 2 (%)]]*Tableau4[[#This Row],[Nombres appareils installés]]</f>
        <v>0.65921500910066744</v>
      </c>
      <c r="Y17" s="188">
        <f>($Y$4+$Z$4*(Tableau4[[#This Row],[Capacité (BTU)]]/1000))*Tableau4[[#This Row],[Nombres appareils installés]]</f>
        <v>3050</v>
      </c>
      <c r="Z17" s="188">
        <f>Tableau4[[#This Row],[AF 3 ($)]]/Tableau4[[#This Row],[Nombres appareils installés]]</f>
        <v>3050</v>
      </c>
      <c r="AA17" s="193">
        <f>Tableau4[[#This Row],[AF 3 par appareil ($)]]/Tableau4[[#This Row],[Surcoût par appareil ($)]]</f>
        <v>0.71171885938302148</v>
      </c>
      <c r="AB17" s="193">
        <f>Tableau4[[#This Row],[Couverture 3 (%)]]*Tableau4[[#This Row],[Nombres appareils installés]]</f>
        <v>0.71171885938302148</v>
      </c>
      <c r="AC17" s="188">
        <f>($AC$4+$AD$4*(Tableau4[[#This Row],[Capacité (BTU)]]/1000))*Tableau4[[#This Row],[Nombres appareils installés]]</f>
        <v>2640</v>
      </c>
      <c r="AD17" s="188">
        <f>Tableau4[[#This Row],[AF 4 ($)]]/Tableau4[[#This Row],[Nombres appareils installés]]</f>
        <v>2640</v>
      </c>
      <c r="AE17" s="194">
        <f>Tableau4[[#This Row],[Couverture 4 (%)]]*Tableau4[[#This Row],[Nombres appareils installés]]</f>
        <v>0.61604517664628744</v>
      </c>
      <c r="AF17" s="193">
        <f>Tableau4[[#This Row],[AF 4 par appareil  ($)]]/Tableau4[[#This Row],[Surcoût par appareil ($)]]</f>
        <v>0.61604517664628744</v>
      </c>
    </row>
    <row r="18" spans="2:32" x14ac:dyDescent="0.3">
      <c r="B18" s="187" t="s">
        <v>157</v>
      </c>
      <c r="C18" s="188" t="s">
        <v>168</v>
      </c>
      <c r="D18" s="188">
        <v>1</v>
      </c>
      <c r="E18" s="188">
        <v>110000</v>
      </c>
      <c r="F18" s="189">
        <f>Tableau4[[#This Row],[Economies totales (m3)]]/Tableau4[[#This Row],[Nombres appareils installés]]</f>
        <v>1068</v>
      </c>
      <c r="G18" s="190">
        <v>1068</v>
      </c>
      <c r="H18" s="188">
        <f t="shared" si="0"/>
        <v>1885.4</v>
      </c>
      <c r="I18" s="188">
        <v>2400</v>
      </c>
      <c r="J18" s="188">
        <f>Tableau4[[#This Row],[Surcoût moyens de l''équipement ($)]]+Tableau4[[#This Row],[Surcoût moyen de l''installation ($)]]</f>
        <v>4285.3999999999996</v>
      </c>
      <c r="K18" s="188">
        <f>Tableau4[[#This Row],[Surcoût par appareil ($)]]*Tableau4[[#This Row],[Nombres appareils installés]]</f>
        <v>4285.3999999999996</v>
      </c>
      <c r="L18" s="190">
        <v>1700</v>
      </c>
      <c r="M18" s="188">
        <f t="shared" si="1"/>
        <v>1450</v>
      </c>
      <c r="N18" s="188">
        <f>Tableau4[[#This Row],[AF 0 ($)]]/Tableau4[[#This Row],[Nombres appareils installés]]</f>
        <v>1450</v>
      </c>
      <c r="O18" s="191">
        <f>(Tableau4[[#This Row],[AF accordée ($)]])/($J$6*D18)</f>
        <v>0.42463905680171854</v>
      </c>
      <c r="P18" s="191">
        <f>Tableau4[[#This Row],[Couverture 0 (%)]]*Tableau4[[#This Row],[Nombres appareils installés]]</f>
        <v>0.42463905680171854</v>
      </c>
      <c r="Q18" s="188">
        <f>($Q$4+$R$4*(Tableau4[[#This Row],[Capacité (BTU)]]/1000))*Tableau4[[#This Row],[Nombres appareils installés]]</f>
        <v>2550</v>
      </c>
      <c r="R18" s="188">
        <f>Tableau4[[#This Row],[AF 1 ($)]]/Tableau4[[#This Row],[Nombres appareils installés]]</f>
        <v>2550</v>
      </c>
      <c r="S18" s="191">
        <f>Tableau4[[#This Row],[AF 1 ($)]]/(J18*D18)</f>
        <v>0.5950436365333458</v>
      </c>
      <c r="T18" s="191">
        <f>Tableau4[[#This Row],[Couverture 1 (%)]]*Tableau4[[#This Row],[Nombres appareils installés]]</f>
        <v>0.5950436365333458</v>
      </c>
      <c r="U18" s="188">
        <f>($U$4+($V$4*(Tableau4[[#This Row],[Capacité (BTU)]]/1000)))*Tableau4[[#This Row],[Nombres appareils installés]]</f>
        <v>2825</v>
      </c>
      <c r="V18" s="188">
        <f>Tableau4[[#This Row],[AF 2 ($)]]/Tableau4[[#This Row],[Nombres appareils installés]]</f>
        <v>2825</v>
      </c>
      <c r="W18" s="192">
        <f>Tableau4[[#This Row],[AF 2 par appareil ($)]]/Tableau4[[#This Row],[Surcoût par appareil ($)]]</f>
        <v>0.65921500910066744</v>
      </c>
      <c r="X18" s="192">
        <f>Tableau4[[#This Row],[Couverture 2 (%)]]*Tableau4[[#This Row],[Nombres appareils installés]]</f>
        <v>0.65921500910066744</v>
      </c>
      <c r="Y18" s="188">
        <f>($Y$4+$Z$4*(Tableau4[[#This Row],[Capacité (BTU)]]/1000))*Tableau4[[#This Row],[Nombres appareils installés]]</f>
        <v>3050</v>
      </c>
      <c r="Z18" s="188">
        <f>Tableau4[[#This Row],[AF 3 ($)]]/Tableau4[[#This Row],[Nombres appareils installés]]</f>
        <v>3050</v>
      </c>
      <c r="AA18" s="193">
        <f>Tableau4[[#This Row],[AF 3 par appareil ($)]]/Tableau4[[#This Row],[Surcoût par appareil ($)]]</f>
        <v>0.71171885938302148</v>
      </c>
      <c r="AB18" s="193">
        <f>Tableau4[[#This Row],[Couverture 3 (%)]]*Tableau4[[#This Row],[Nombres appareils installés]]</f>
        <v>0.71171885938302148</v>
      </c>
      <c r="AC18" s="188">
        <f>($AC$4+$AD$4*(Tableau4[[#This Row],[Capacité (BTU)]]/1000))*Tableau4[[#This Row],[Nombres appareils installés]]</f>
        <v>2640</v>
      </c>
      <c r="AD18" s="188">
        <f>Tableau4[[#This Row],[AF 4 ($)]]/Tableau4[[#This Row],[Nombres appareils installés]]</f>
        <v>2640</v>
      </c>
      <c r="AE18" s="194">
        <f>Tableau4[[#This Row],[Couverture 4 (%)]]*Tableau4[[#This Row],[Nombres appareils installés]]</f>
        <v>0.61604517664628744</v>
      </c>
      <c r="AF18" s="193">
        <f>Tableau4[[#This Row],[AF 4 par appareil  ($)]]/Tableau4[[#This Row],[Surcoût par appareil ($)]]</f>
        <v>0.61604517664628744</v>
      </c>
    </row>
    <row r="19" spans="2:32" x14ac:dyDescent="0.3">
      <c r="B19" s="187" t="s">
        <v>157</v>
      </c>
      <c r="C19" s="188" t="s">
        <v>169</v>
      </c>
      <c r="D19" s="188">
        <v>1</v>
      </c>
      <c r="E19" s="188">
        <v>130000</v>
      </c>
      <c r="F19" s="189">
        <f>Tableau4[[#This Row],[Economies totales (m3)]]/Tableau4[[#This Row],[Nombres appareils installés]]</f>
        <v>1068</v>
      </c>
      <c r="G19" s="190">
        <v>1068</v>
      </c>
      <c r="H19" s="188">
        <f t="shared" si="0"/>
        <v>2027.4</v>
      </c>
      <c r="I19" s="188">
        <v>2400</v>
      </c>
      <c r="J19" s="188">
        <f>Tableau4[[#This Row],[Surcoût moyens de l''équipement ($)]]+Tableau4[[#This Row],[Surcoût moyen de l''installation ($)]]</f>
        <v>4427.3999999999996</v>
      </c>
      <c r="K19" s="188">
        <f>Tableau4[[#This Row],[Surcoût par appareil ($)]]*Tableau4[[#This Row],[Nombres appareils installés]]</f>
        <v>4427.3999999999996</v>
      </c>
      <c r="L19" s="190">
        <v>1700</v>
      </c>
      <c r="M19" s="188">
        <f t="shared" si="1"/>
        <v>1550</v>
      </c>
      <c r="N19" s="188">
        <f>Tableau4[[#This Row],[AF 0 ($)]]/Tableau4[[#This Row],[Nombres appareils installés]]</f>
        <v>1550</v>
      </c>
      <c r="O19" s="191">
        <f>(Tableau4[[#This Row],[AF accordée ($)]])/($J$6*D19)</f>
        <v>0.42463905680171854</v>
      </c>
      <c r="P19" s="191">
        <f>Tableau4[[#This Row],[Couverture 0 (%)]]*Tableau4[[#This Row],[Nombres appareils installés]]</f>
        <v>0.42463905680171854</v>
      </c>
      <c r="Q19" s="188">
        <f>($Q$4+$R$4*(Tableau4[[#This Row],[Capacité (BTU)]]/1000))*Tableau4[[#This Row],[Nombres appareils installés]]</f>
        <v>2650</v>
      </c>
      <c r="R19" s="188">
        <f>Tableau4[[#This Row],[AF 1 ($)]]/Tableau4[[#This Row],[Nombres appareils installés]]</f>
        <v>2650</v>
      </c>
      <c r="S19" s="191">
        <f>Tableau4[[#This Row],[AF 1 ($)]]/(J19*D19)</f>
        <v>0.59854542169218961</v>
      </c>
      <c r="T19" s="191">
        <f>Tableau4[[#This Row],[Couverture 1 (%)]]*Tableau4[[#This Row],[Nombres appareils installés]]</f>
        <v>0.59854542169218961</v>
      </c>
      <c r="U19" s="188">
        <f>($U$4+($V$4*(Tableau4[[#This Row],[Capacité (BTU)]]/1000)))*Tableau4[[#This Row],[Nombres appareils installés]]</f>
        <v>2975</v>
      </c>
      <c r="V19" s="188">
        <f>Tableau4[[#This Row],[AF 2 ($)]]/Tableau4[[#This Row],[Nombres appareils installés]]</f>
        <v>2975</v>
      </c>
      <c r="W19" s="192">
        <f>Tableau4[[#This Row],[AF 2 par appareil ($)]]/Tableau4[[#This Row],[Surcoût par appareil ($)]]</f>
        <v>0.67195193567330724</v>
      </c>
      <c r="X19" s="192">
        <f>Tableau4[[#This Row],[Couverture 2 (%)]]*Tableau4[[#This Row],[Nombres appareils installés]]</f>
        <v>0.67195193567330724</v>
      </c>
      <c r="Y19" s="188">
        <f>($Y$4+$Z$4*(Tableau4[[#This Row],[Capacité (BTU)]]/1000))*Tableau4[[#This Row],[Nombres appareils installés]]</f>
        <v>3150</v>
      </c>
      <c r="Z19" s="188">
        <f>Tableau4[[#This Row],[AF 3 ($)]]/Tableau4[[#This Row],[Nombres appareils installés]]</f>
        <v>3150</v>
      </c>
      <c r="AA19" s="193">
        <f>Tableau4[[#This Row],[AF 3 par appareil ($)]]/Tableau4[[#This Row],[Surcoût par appareil ($)]]</f>
        <v>0.71147852012467816</v>
      </c>
      <c r="AB19" s="193">
        <f>Tableau4[[#This Row],[Couverture 3 (%)]]*Tableau4[[#This Row],[Nombres appareils installés]]</f>
        <v>0.71147852012467816</v>
      </c>
      <c r="AC19" s="188">
        <f>($AC$4+$AD$4*(Tableau4[[#This Row],[Capacité (BTU)]]/1000))*Tableau4[[#This Row],[Nombres appareils installés]]</f>
        <v>2720</v>
      </c>
      <c r="AD19" s="188">
        <f>Tableau4[[#This Row],[AF 4 ($)]]/Tableau4[[#This Row],[Nombres appareils installés]]</f>
        <v>2720</v>
      </c>
      <c r="AE19" s="194">
        <f>Tableau4[[#This Row],[Couverture 4 (%)]]*Tableau4[[#This Row],[Nombres appareils installés]]</f>
        <v>0.61435605547273797</v>
      </c>
      <c r="AF19" s="193">
        <f>Tableau4[[#This Row],[AF 4 par appareil  ($)]]/Tableau4[[#This Row],[Surcoût par appareil ($)]]</f>
        <v>0.61435605547273797</v>
      </c>
    </row>
    <row r="20" spans="2:32" x14ac:dyDescent="0.3">
      <c r="B20" s="187" t="s">
        <v>157</v>
      </c>
      <c r="C20" s="188" t="s">
        <v>168</v>
      </c>
      <c r="D20" s="188">
        <v>2</v>
      </c>
      <c r="E20" s="188">
        <v>130000</v>
      </c>
      <c r="F20" s="189">
        <f>Tableau4[[#This Row],[Economies totales (m3)]]/Tableau4[[#This Row],[Nombres appareils installés]]</f>
        <v>1068</v>
      </c>
      <c r="G20" s="190">
        <v>2136</v>
      </c>
      <c r="H20" s="188">
        <f t="shared" si="0"/>
        <v>2027.4</v>
      </c>
      <c r="I20" s="188">
        <v>2400</v>
      </c>
      <c r="J20" s="188">
        <f>Tableau4[[#This Row],[Surcoût moyens de l''équipement ($)]]+Tableau4[[#This Row],[Surcoût moyen de l''installation ($)]]</f>
        <v>4427.3999999999996</v>
      </c>
      <c r="K20" s="188">
        <f>Tableau4[[#This Row],[Surcoût par appareil ($)]]*Tableau4[[#This Row],[Nombres appareils installés]]</f>
        <v>8854.7999999999993</v>
      </c>
      <c r="L20" s="190">
        <v>3400</v>
      </c>
      <c r="M20" s="188">
        <f t="shared" si="1"/>
        <v>3100</v>
      </c>
      <c r="N20" s="188">
        <f>Tableau4[[#This Row],[AF 0 ($)]]/Tableau4[[#This Row],[Nombres appareils installés]]</f>
        <v>1550</v>
      </c>
      <c r="O20" s="191">
        <f>(Tableau4[[#This Row],[AF accordée ($)]])/($J$6*D20)</f>
        <v>0.42463905680171854</v>
      </c>
      <c r="P20" s="191">
        <f>Tableau4[[#This Row],[Couverture 0 (%)]]*Tableau4[[#This Row],[Nombres appareils installés]]</f>
        <v>0.84927811360343708</v>
      </c>
      <c r="Q20" s="188">
        <f>($Q$4+$R$4*(Tableau4[[#This Row],[Capacité (BTU)]]/1000))*Tableau4[[#This Row],[Nombres appareils installés]]</f>
        <v>5300</v>
      </c>
      <c r="R20" s="188">
        <f>Tableau4[[#This Row],[AF 1 ($)]]/Tableau4[[#This Row],[Nombres appareils installés]]</f>
        <v>2650</v>
      </c>
      <c r="S20" s="191">
        <f>Tableau4[[#This Row],[AF 1 ($)]]/(J20*D20)</f>
        <v>0.59854542169218961</v>
      </c>
      <c r="T20" s="191">
        <f>Tableau4[[#This Row],[Couverture 1 (%)]]*Tableau4[[#This Row],[Nombres appareils installés]]</f>
        <v>1.1970908433843792</v>
      </c>
      <c r="U20" s="188">
        <f>($U$4+($V$4*(Tableau4[[#This Row],[Capacité (BTU)]]/1000)))*Tableau4[[#This Row],[Nombres appareils installés]]</f>
        <v>5950</v>
      </c>
      <c r="V20" s="188">
        <f>Tableau4[[#This Row],[AF 2 ($)]]/Tableau4[[#This Row],[Nombres appareils installés]]</f>
        <v>2975</v>
      </c>
      <c r="W20" s="192">
        <f>Tableau4[[#This Row],[AF 2 par appareil ($)]]/Tableau4[[#This Row],[Surcoût par appareil ($)]]</f>
        <v>0.67195193567330724</v>
      </c>
      <c r="X20" s="192">
        <f>Tableau4[[#This Row],[Couverture 2 (%)]]*Tableau4[[#This Row],[Nombres appareils installés]]</f>
        <v>1.3439038713466145</v>
      </c>
      <c r="Y20" s="188">
        <f>($Y$4+$Z$4*(Tableau4[[#This Row],[Capacité (BTU)]]/1000))*Tableau4[[#This Row],[Nombres appareils installés]]</f>
        <v>6300</v>
      </c>
      <c r="Z20" s="188">
        <f>Tableau4[[#This Row],[AF 3 ($)]]/Tableau4[[#This Row],[Nombres appareils installés]]</f>
        <v>3150</v>
      </c>
      <c r="AA20" s="193">
        <f>Tableau4[[#This Row],[AF 3 par appareil ($)]]/Tableau4[[#This Row],[Surcoût par appareil ($)]]</f>
        <v>0.71147852012467816</v>
      </c>
      <c r="AB20" s="193">
        <f>Tableau4[[#This Row],[Couverture 3 (%)]]*Tableau4[[#This Row],[Nombres appareils installés]]</f>
        <v>1.4229570402493563</v>
      </c>
      <c r="AC20" s="188">
        <f>($AC$4+$AD$4*(Tableau4[[#This Row],[Capacité (BTU)]]/1000))*Tableau4[[#This Row],[Nombres appareils installés]]</f>
        <v>5440</v>
      </c>
      <c r="AD20" s="188">
        <f>Tableau4[[#This Row],[AF 4 ($)]]/Tableau4[[#This Row],[Nombres appareils installés]]</f>
        <v>2720</v>
      </c>
      <c r="AE20" s="194">
        <f>Tableau4[[#This Row],[Couverture 4 (%)]]*Tableau4[[#This Row],[Nombres appareils installés]]</f>
        <v>1.2287121109454759</v>
      </c>
      <c r="AF20" s="193">
        <f>Tableau4[[#This Row],[AF 4 par appareil  ($)]]/Tableau4[[#This Row],[Surcoût par appareil ($)]]</f>
        <v>0.61435605547273797</v>
      </c>
    </row>
    <row r="21" spans="2:32" x14ac:dyDescent="0.3">
      <c r="B21" s="187" t="s">
        <v>157</v>
      </c>
      <c r="C21" s="188" t="s">
        <v>170</v>
      </c>
      <c r="D21" s="188">
        <v>1</v>
      </c>
      <c r="E21" s="188">
        <v>135000</v>
      </c>
      <c r="F21" s="189">
        <f>Tableau4[[#This Row],[Economies totales (m3)]]/Tableau4[[#This Row],[Nombres appareils installés]]</f>
        <v>1068</v>
      </c>
      <c r="G21" s="190">
        <v>1068</v>
      </c>
      <c r="H21" s="188">
        <f t="shared" si="0"/>
        <v>2066.65</v>
      </c>
      <c r="I21" s="188">
        <v>2400</v>
      </c>
      <c r="J21" s="188">
        <f>Tableau4[[#This Row],[Surcoût moyens de l''équipement ($)]]+Tableau4[[#This Row],[Surcoût moyen de l''installation ($)]]</f>
        <v>4466.6499999999996</v>
      </c>
      <c r="K21" s="188">
        <f>Tableau4[[#This Row],[Surcoût par appareil ($)]]*Tableau4[[#This Row],[Nombres appareils installés]]</f>
        <v>4466.6499999999996</v>
      </c>
      <c r="L21" s="190">
        <v>1700</v>
      </c>
      <c r="M21" s="188">
        <f t="shared" si="1"/>
        <v>1575</v>
      </c>
      <c r="N21" s="188">
        <f>Tableau4[[#This Row],[AF 0 ($)]]/Tableau4[[#This Row],[Nombres appareils installés]]</f>
        <v>1575</v>
      </c>
      <c r="O21" s="191">
        <f>(Tableau4[[#This Row],[AF accordée ($)]])/($J$6*D21)</f>
        <v>0.42463905680171854</v>
      </c>
      <c r="P21" s="191">
        <f>Tableau4[[#This Row],[Couverture 0 (%)]]*Tableau4[[#This Row],[Nombres appareils installés]]</f>
        <v>0.42463905680171854</v>
      </c>
      <c r="Q21" s="188">
        <f>($Q$4+$R$4*(Tableau4[[#This Row],[Capacité (BTU)]]/1000))*Tableau4[[#This Row],[Nombres appareils installés]]</f>
        <v>2675</v>
      </c>
      <c r="R21" s="188">
        <f>Tableau4[[#This Row],[AF 1 ($)]]/Tableau4[[#This Row],[Nombres appareils installés]]</f>
        <v>2675</v>
      </c>
      <c r="S21" s="191">
        <f>Tableau4[[#This Row],[AF 1 ($)]]/(J21*D21)</f>
        <v>0.59888283165235701</v>
      </c>
      <c r="T21" s="191">
        <f>Tableau4[[#This Row],[Couverture 1 (%)]]*Tableau4[[#This Row],[Nombres appareils installés]]</f>
        <v>0.59888283165235701</v>
      </c>
      <c r="U21" s="188">
        <f>($U$4+($V$4*(Tableau4[[#This Row],[Capacité (BTU)]]/1000)))*Tableau4[[#This Row],[Nombres appareils installés]]</f>
        <v>3012.5</v>
      </c>
      <c r="V21" s="188">
        <f>Tableau4[[#This Row],[AF 2 ($)]]/Tableau4[[#This Row],[Nombres appareils installés]]</f>
        <v>3012.5</v>
      </c>
      <c r="W21" s="192">
        <f>Tableau4[[#This Row],[AF 2 par appareil ($)]]/Tableau4[[#This Row],[Surcoût par appareil ($)]]</f>
        <v>0.67444281508513093</v>
      </c>
      <c r="X21" s="192">
        <f>Tableau4[[#This Row],[Couverture 2 (%)]]*Tableau4[[#This Row],[Nombres appareils installés]]</f>
        <v>0.67444281508513093</v>
      </c>
      <c r="Y21" s="188">
        <f>($Y$4+$Z$4*(Tableau4[[#This Row],[Capacité (BTU)]]/1000))*Tableau4[[#This Row],[Nombres appareils installés]]</f>
        <v>3175</v>
      </c>
      <c r="Z21" s="188">
        <f>Tableau4[[#This Row],[AF 3 ($)]]/Tableau4[[#This Row],[Nombres appareils installés]]</f>
        <v>3175</v>
      </c>
      <c r="AA21" s="193">
        <f>Tableau4[[#This Row],[AF 3 par appareil ($)]]/Tableau4[[#This Row],[Surcoût par appareil ($)]]</f>
        <v>0.71082354784905921</v>
      </c>
      <c r="AB21" s="193">
        <f>Tableau4[[#This Row],[Couverture 3 (%)]]*Tableau4[[#This Row],[Nombres appareils installés]]</f>
        <v>0.71082354784905921</v>
      </c>
      <c r="AC21" s="188">
        <f>($AC$4+$AD$4*(Tableau4[[#This Row],[Capacité (BTU)]]/1000))*Tableau4[[#This Row],[Nombres appareils installés]]</f>
        <v>2740</v>
      </c>
      <c r="AD21" s="188">
        <f>Tableau4[[#This Row],[AF 4 ($)]]/Tableau4[[#This Row],[Nombres appareils installés]]</f>
        <v>2740</v>
      </c>
      <c r="AE21" s="194">
        <f>Tableau4[[#This Row],[Couverture 4 (%)]]*Tableau4[[#This Row],[Nombres appareils installés]]</f>
        <v>0.61343512475792827</v>
      </c>
      <c r="AF21" s="193">
        <f>Tableau4[[#This Row],[AF 4 par appareil  ($)]]/Tableau4[[#This Row],[Surcoût par appareil ($)]]</f>
        <v>0.61343512475792827</v>
      </c>
    </row>
    <row r="22" spans="2:32" x14ac:dyDescent="0.3">
      <c r="B22" s="187" t="s">
        <v>157</v>
      </c>
      <c r="C22" s="188" t="s">
        <v>171</v>
      </c>
      <c r="D22" s="188">
        <v>1</v>
      </c>
      <c r="E22" s="188">
        <v>135000</v>
      </c>
      <c r="F22" s="189">
        <f>Tableau4[[#This Row],[Economies totales (m3)]]/Tableau4[[#This Row],[Nombres appareils installés]]</f>
        <v>1068</v>
      </c>
      <c r="G22" s="190">
        <v>1068</v>
      </c>
      <c r="H22" s="188">
        <f t="shared" si="0"/>
        <v>2066.65</v>
      </c>
      <c r="I22" s="188">
        <v>2400</v>
      </c>
      <c r="J22" s="188">
        <f>Tableau4[[#This Row],[Surcoût moyens de l''équipement ($)]]+Tableau4[[#This Row],[Surcoût moyen de l''installation ($)]]</f>
        <v>4466.6499999999996</v>
      </c>
      <c r="K22" s="188">
        <f>Tableau4[[#This Row],[Surcoût par appareil ($)]]*Tableau4[[#This Row],[Nombres appareils installés]]</f>
        <v>4466.6499999999996</v>
      </c>
      <c r="L22" s="190">
        <v>1700</v>
      </c>
      <c r="M22" s="188">
        <f t="shared" si="1"/>
        <v>1575</v>
      </c>
      <c r="N22" s="188">
        <f>Tableau4[[#This Row],[AF 0 ($)]]/Tableau4[[#This Row],[Nombres appareils installés]]</f>
        <v>1575</v>
      </c>
      <c r="O22" s="191">
        <f>(Tableau4[[#This Row],[AF accordée ($)]])/($J$6*D22)</f>
        <v>0.42463905680171854</v>
      </c>
      <c r="P22" s="191">
        <f>Tableau4[[#This Row],[Couverture 0 (%)]]*Tableau4[[#This Row],[Nombres appareils installés]]</f>
        <v>0.42463905680171854</v>
      </c>
      <c r="Q22" s="188">
        <f>($Q$4+$R$4*(Tableau4[[#This Row],[Capacité (BTU)]]/1000))*Tableau4[[#This Row],[Nombres appareils installés]]</f>
        <v>2675</v>
      </c>
      <c r="R22" s="188">
        <f>Tableau4[[#This Row],[AF 1 ($)]]/Tableau4[[#This Row],[Nombres appareils installés]]</f>
        <v>2675</v>
      </c>
      <c r="S22" s="191">
        <f>Tableau4[[#This Row],[AF 1 ($)]]/(J22*D22)</f>
        <v>0.59888283165235701</v>
      </c>
      <c r="T22" s="191">
        <f>Tableau4[[#This Row],[Couverture 1 (%)]]*Tableau4[[#This Row],[Nombres appareils installés]]</f>
        <v>0.59888283165235701</v>
      </c>
      <c r="U22" s="188">
        <f>($U$4+($V$4*(Tableau4[[#This Row],[Capacité (BTU)]]/1000)))*Tableau4[[#This Row],[Nombres appareils installés]]</f>
        <v>3012.5</v>
      </c>
      <c r="V22" s="188">
        <f>Tableau4[[#This Row],[AF 2 ($)]]/Tableau4[[#This Row],[Nombres appareils installés]]</f>
        <v>3012.5</v>
      </c>
      <c r="W22" s="192">
        <f>Tableau4[[#This Row],[AF 2 par appareil ($)]]/Tableau4[[#This Row],[Surcoût par appareil ($)]]</f>
        <v>0.67444281508513093</v>
      </c>
      <c r="X22" s="192">
        <f>Tableau4[[#This Row],[Couverture 2 (%)]]*Tableau4[[#This Row],[Nombres appareils installés]]</f>
        <v>0.67444281508513093</v>
      </c>
      <c r="Y22" s="188">
        <f>($Y$4+$Z$4*(Tableau4[[#This Row],[Capacité (BTU)]]/1000))*Tableau4[[#This Row],[Nombres appareils installés]]</f>
        <v>3175</v>
      </c>
      <c r="Z22" s="188">
        <f>Tableau4[[#This Row],[AF 3 ($)]]/Tableau4[[#This Row],[Nombres appareils installés]]</f>
        <v>3175</v>
      </c>
      <c r="AA22" s="193">
        <f>Tableau4[[#This Row],[AF 3 par appareil ($)]]/Tableau4[[#This Row],[Surcoût par appareil ($)]]</f>
        <v>0.71082354784905921</v>
      </c>
      <c r="AB22" s="193">
        <f>Tableau4[[#This Row],[Couverture 3 (%)]]*Tableau4[[#This Row],[Nombres appareils installés]]</f>
        <v>0.71082354784905921</v>
      </c>
      <c r="AC22" s="188">
        <f>($AC$4+$AD$4*(Tableau4[[#This Row],[Capacité (BTU)]]/1000))*Tableau4[[#This Row],[Nombres appareils installés]]</f>
        <v>2740</v>
      </c>
      <c r="AD22" s="188">
        <f>Tableau4[[#This Row],[AF 4 ($)]]/Tableau4[[#This Row],[Nombres appareils installés]]</f>
        <v>2740</v>
      </c>
      <c r="AE22" s="194">
        <f>Tableau4[[#This Row],[Couverture 4 (%)]]*Tableau4[[#This Row],[Nombres appareils installés]]</f>
        <v>0.61343512475792827</v>
      </c>
      <c r="AF22" s="193">
        <f>Tableau4[[#This Row],[AF 4 par appareil  ($)]]/Tableau4[[#This Row],[Surcoût par appareil ($)]]</f>
        <v>0.61343512475792827</v>
      </c>
    </row>
    <row r="23" spans="2:32" x14ac:dyDescent="0.3">
      <c r="B23" s="187" t="s">
        <v>157</v>
      </c>
      <c r="C23" s="188" t="s">
        <v>172</v>
      </c>
      <c r="D23" s="188">
        <v>1</v>
      </c>
      <c r="E23" s="188">
        <v>135000</v>
      </c>
      <c r="F23" s="189">
        <f>Tableau4[[#This Row],[Economies totales (m3)]]/Tableau4[[#This Row],[Nombres appareils installés]]</f>
        <v>1068</v>
      </c>
      <c r="G23" s="190">
        <v>1068</v>
      </c>
      <c r="H23" s="188">
        <f t="shared" si="0"/>
        <v>2066.65</v>
      </c>
      <c r="I23" s="188">
        <v>2400</v>
      </c>
      <c r="J23" s="188">
        <f>Tableau4[[#This Row],[Surcoût moyens de l''équipement ($)]]+Tableau4[[#This Row],[Surcoût moyen de l''installation ($)]]</f>
        <v>4466.6499999999996</v>
      </c>
      <c r="K23" s="188">
        <f>Tableau4[[#This Row],[Surcoût par appareil ($)]]*Tableau4[[#This Row],[Nombres appareils installés]]</f>
        <v>4466.6499999999996</v>
      </c>
      <c r="L23" s="190">
        <v>1700</v>
      </c>
      <c r="M23" s="188">
        <f t="shared" si="1"/>
        <v>1575</v>
      </c>
      <c r="N23" s="188">
        <f>Tableau4[[#This Row],[AF 0 ($)]]/Tableau4[[#This Row],[Nombres appareils installés]]</f>
        <v>1575</v>
      </c>
      <c r="O23" s="191">
        <f>(Tableau4[[#This Row],[AF accordée ($)]])/($J$6*D23)</f>
        <v>0.42463905680171854</v>
      </c>
      <c r="P23" s="191">
        <f>Tableau4[[#This Row],[Couverture 0 (%)]]*Tableau4[[#This Row],[Nombres appareils installés]]</f>
        <v>0.42463905680171854</v>
      </c>
      <c r="Q23" s="188">
        <f>($Q$4+$R$4*(Tableau4[[#This Row],[Capacité (BTU)]]/1000))*Tableau4[[#This Row],[Nombres appareils installés]]</f>
        <v>2675</v>
      </c>
      <c r="R23" s="188">
        <f>Tableau4[[#This Row],[AF 1 ($)]]/Tableau4[[#This Row],[Nombres appareils installés]]</f>
        <v>2675</v>
      </c>
      <c r="S23" s="191">
        <f>Tableau4[[#This Row],[AF 1 ($)]]/(J23*D23)</f>
        <v>0.59888283165235701</v>
      </c>
      <c r="T23" s="191">
        <f>Tableau4[[#This Row],[Couverture 1 (%)]]*Tableau4[[#This Row],[Nombres appareils installés]]</f>
        <v>0.59888283165235701</v>
      </c>
      <c r="U23" s="188">
        <f>($U$4+($V$4*(Tableau4[[#This Row],[Capacité (BTU)]]/1000)))*Tableau4[[#This Row],[Nombres appareils installés]]</f>
        <v>3012.5</v>
      </c>
      <c r="V23" s="188">
        <f>Tableau4[[#This Row],[AF 2 ($)]]/Tableau4[[#This Row],[Nombres appareils installés]]</f>
        <v>3012.5</v>
      </c>
      <c r="W23" s="192">
        <f>Tableau4[[#This Row],[AF 2 par appareil ($)]]/Tableau4[[#This Row],[Surcoût par appareil ($)]]</f>
        <v>0.67444281508513093</v>
      </c>
      <c r="X23" s="192">
        <f>Tableau4[[#This Row],[Couverture 2 (%)]]*Tableau4[[#This Row],[Nombres appareils installés]]</f>
        <v>0.67444281508513093</v>
      </c>
      <c r="Y23" s="188">
        <f>($Y$4+$Z$4*(Tableau4[[#This Row],[Capacité (BTU)]]/1000))*Tableau4[[#This Row],[Nombres appareils installés]]</f>
        <v>3175</v>
      </c>
      <c r="Z23" s="188">
        <f>Tableau4[[#This Row],[AF 3 ($)]]/Tableau4[[#This Row],[Nombres appareils installés]]</f>
        <v>3175</v>
      </c>
      <c r="AA23" s="193">
        <f>Tableau4[[#This Row],[AF 3 par appareil ($)]]/Tableau4[[#This Row],[Surcoût par appareil ($)]]</f>
        <v>0.71082354784905921</v>
      </c>
      <c r="AB23" s="193">
        <f>Tableau4[[#This Row],[Couverture 3 (%)]]*Tableau4[[#This Row],[Nombres appareils installés]]</f>
        <v>0.71082354784905921</v>
      </c>
      <c r="AC23" s="188">
        <f>($AC$4+$AD$4*(Tableau4[[#This Row],[Capacité (BTU)]]/1000))*Tableau4[[#This Row],[Nombres appareils installés]]</f>
        <v>2740</v>
      </c>
      <c r="AD23" s="188">
        <f>Tableau4[[#This Row],[AF 4 ($)]]/Tableau4[[#This Row],[Nombres appareils installés]]</f>
        <v>2740</v>
      </c>
      <c r="AE23" s="194">
        <f>Tableau4[[#This Row],[Couverture 4 (%)]]*Tableau4[[#This Row],[Nombres appareils installés]]</f>
        <v>0.61343512475792827</v>
      </c>
      <c r="AF23" s="193">
        <f>Tableau4[[#This Row],[AF 4 par appareil  ($)]]/Tableau4[[#This Row],[Surcoût par appareil ($)]]</f>
        <v>0.61343512475792827</v>
      </c>
    </row>
    <row r="24" spans="2:32" x14ac:dyDescent="0.3">
      <c r="B24" s="187" t="s">
        <v>157</v>
      </c>
      <c r="C24" s="188" t="s">
        <v>168</v>
      </c>
      <c r="D24" s="188">
        <v>1</v>
      </c>
      <c r="E24" s="188">
        <v>135000</v>
      </c>
      <c r="F24" s="189">
        <f>Tableau4[[#This Row],[Economies totales (m3)]]/Tableau4[[#This Row],[Nombres appareils installés]]</f>
        <v>1068</v>
      </c>
      <c r="G24" s="190">
        <v>1068</v>
      </c>
      <c r="H24" s="188">
        <f t="shared" si="0"/>
        <v>2066.65</v>
      </c>
      <c r="I24" s="188">
        <v>2400</v>
      </c>
      <c r="J24" s="188">
        <f>Tableau4[[#This Row],[Surcoût moyens de l''équipement ($)]]+Tableau4[[#This Row],[Surcoût moyen de l''installation ($)]]</f>
        <v>4466.6499999999996</v>
      </c>
      <c r="K24" s="188">
        <f>Tableau4[[#This Row],[Surcoût par appareil ($)]]*Tableau4[[#This Row],[Nombres appareils installés]]</f>
        <v>4466.6499999999996</v>
      </c>
      <c r="L24" s="190">
        <v>1700</v>
      </c>
      <c r="M24" s="188">
        <f t="shared" si="1"/>
        <v>1575</v>
      </c>
      <c r="N24" s="188">
        <f>Tableau4[[#This Row],[AF 0 ($)]]/Tableau4[[#This Row],[Nombres appareils installés]]</f>
        <v>1575</v>
      </c>
      <c r="O24" s="191">
        <f>(Tableau4[[#This Row],[AF accordée ($)]])/($J$6*D24)</f>
        <v>0.42463905680171854</v>
      </c>
      <c r="P24" s="191">
        <f>Tableau4[[#This Row],[Couverture 0 (%)]]*Tableau4[[#This Row],[Nombres appareils installés]]</f>
        <v>0.42463905680171854</v>
      </c>
      <c r="Q24" s="188">
        <f>($Q$4+$R$4*(Tableau4[[#This Row],[Capacité (BTU)]]/1000))*Tableau4[[#This Row],[Nombres appareils installés]]</f>
        <v>2675</v>
      </c>
      <c r="R24" s="188">
        <f>Tableau4[[#This Row],[AF 1 ($)]]/Tableau4[[#This Row],[Nombres appareils installés]]</f>
        <v>2675</v>
      </c>
      <c r="S24" s="191">
        <f>Tableau4[[#This Row],[AF 1 ($)]]/(J24*D24)</f>
        <v>0.59888283165235701</v>
      </c>
      <c r="T24" s="191">
        <f>Tableau4[[#This Row],[Couverture 1 (%)]]*Tableau4[[#This Row],[Nombres appareils installés]]</f>
        <v>0.59888283165235701</v>
      </c>
      <c r="U24" s="188">
        <f>($U$4+($V$4*(Tableau4[[#This Row],[Capacité (BTU)]]/1000)))*Tableau4[[#This Row],[Nombres appareils installés]]</f>
        <v>3012.5</v>
      </c>
      <c r="V24" s="188">
        <f>Tableau4[[#This Row],[AF 2 ($)]]/Tableau4[[#This Row],[Nombres appareils installés]]</f>
        <v>3012.5</v>
      </c>
      <c r="W24" s="192">
        <f>Tableau4[[#This Row],[AF 2 par appareil ($)]]/Tableau4[[#This Row],[Surcoût par appareil ($)]]</f>
        <v>0.67444281508513093</v>
      </c>
      <c r="X24" s="192">
        <f>Tableau4[[#This Row],[Couverture 2 (%)]]*Tableau4[[#This Row],[Nombres appareils installés]]</f>
        <v>0.67444281508513093</v>
      </c>
      <c r="Y24" s="188">
        <f>($Y$4+$Z$4*(Tableau4[[#This Row],[Capacité (BTU)]]/1000))*Tableau4[[#This Row],[Nombres appareils installés]]</f>
        <v>3175</v>
      </c>
      <c r="Z24" s="188">
        <f>Tableau4[[#This Row],[AF 3 ($)]]/Tableau4[[#This Row],[Nombres appareils installés]]</f>
        <v>3175</v>
      </c>
      <c r="AA24" s="193">
        <f>Tableau4[[#This Row],[AF 3 par appareil ($)]]/Tableau4[[#This Row],[Surcoût par appareil ($)]]</f>
        <v>0.71082354784905921</v>
      </c>
      <c r="AB24" s="193">
        <f>Tableau4[[#This Row],[Couverture 3 (%)]]*Tableau4[[#This Row],[Nombres appareils installés]]</f>
        <v>0.71082354784905921</v>
      </c>
      <c r="AC24" s="188">
        <f>($AC$4+$AD$4*(Tableau4[[#This Row],[Capacité (BTU)]]/1000))*Tableau4[[#This Row],[Nombres appareils installés]]</f>
        <v>2740</v>
      </c>
      <c r="AD24" s="188">
        <f>Tableau4[[#This Row],[AF 4 ($)]]/Tableau4[[#This Row],[Nombres appareils installés]]</f>
        <v>2740</v>
      </c>
      <c r="AE24" s="194">
        <f>Tableau4[[#This Row],[Couverture 4 (%)]]*Tableau4[[#This Row],[Nombres appareils installés]]</f>
        <v>0.61343512475792827</v>
      </c>
      <c r="AF24" s="193">
        <f>Tableau4[[#This Row],[AF 4 par appareil  ($)]]/Tableau4[[#This Row],[Surcoût par appareil ($)]]</f>
        <v>0.61343512475792827</v>
      </c>
    </row>
    <row r="25" spans="2:32" x14ac:dyDescent="0.3">
      <c r="B25" s="187" t="s">
        <v>157</v>
      </c>
      <c r="C25" s="188" t="s">
        <v>168</v>
      </c>
      <c r="D25" s="188">
        <v>2</v>
      </c>
      <c r="E25" s="188">
        <v>135000</v>
      </c>
      <c r="F25" s="189">
        <f>Tableau4[[#This Row],[Economies totales (m3)]]/Tableau4[[#This Row],[Nombres appareils installés]]</f>
        <v>1068</v>
      </c>
      <c r="G25" s="190">
        <v>2136</v>
      </c>
      <c r="H25" s="188">
        <f t="shared" si="0"/>
        <v>2066.65</v>
      </c>
      <c r="I25" s="188">
        <v>2400</v>
      </c>
      <c r="J25" s="188">
        <f>Tableau4[[#This Row],[Surcoût moyens de l''équipement ($)]]+Tableau4[[#This Row],[Surcoût moyen de l''installation ($)]]</f>
        <v>4466.6499999999996</v>
      </c>
      <c r="K25" s="188">
        <f>Tableau4[[#This Row],[Surcoût par appareil ($)]]*Tableau4[[#This Row],[Nombres appareils installés]]</f>
        <v>8933.2999999999993</v>
      </c>
      <c r="L25" s="190">
        <v>3400</v>
      </c>
      <c r="M25" s="188">
        <f t="shared" si="1"/>
        <v>3150</v>
      </c>
      <c r="N25" s="188">
        <f>Tableau4[[#This Row],[AF 0 ($)]]/Tableau4[[#This Row],[Nombres appareils installés]]</f>
        <v>1575</v>
      </c>
      <c r="O25" s="191">
        <f>(Tableau4[[#This Row],[AF accordée ($)]])/($J$6*D25)</f>
        <v>0.42463905680171854</v>
      </c>
      <c r="P25" s="191">
        <f>Tableau4[[#This Row],[Couverture 0 (%)]]*Tableau4[[#This Row],[Nombres appareils installés]]</f>
        <v>0.84927811360343708</v>
      </c>
      <c r="Q25" s="188">
        <f>($Q$4+$R$4*(Tableau4[[#This Row],[Capacité (BTU)]]/1000))*Tableau4[[#This Row],[Nombres appareils installés]]</f>
        <v>5350</v>
      </c>
      <c r="R25" s="188">
        <f>Tableau4[[#This Row],[AF 1 ($)]]/Tableau4[[#This Row],[Nombres appareils installés]]</f>
        <v>2675</v>
      </c>
      <c r="S25" s="191">
        <f>Tableau4[[#This Row],[AF 1 ($)]]/(J25*D25)</f>
        <v>0.59888283165235701</v>
      </c>
      <c r="T25" s="191">
        <f>Tableau4[[#This Row],[Couverture 1 (%)]]*Tableau4[[#This Row],[Nombres appareils installés]]</f>
        <v>1.197765663304714</v>
      </c>
      <c r="U25" s="188">
        <f>($U$4+($V$4*(Tableau4[[#This Row],[Capacité (BTU)]]/1000)))*Tableau4[[#This Row],[Nombres appareils installés]]</f>
        <v>6025</v>
      </c>
      <c r="V25" s="188">
        <f>Tableau4[[#This Row],[AF 2 ($)]]/Tableau4[[#This Row],[Nombres appareils installés]]</f>
        <v>3012.5</v>
      </c>
      <c r="W25" s="192">
        <f>Tableau4[[#This Row],[AF 2 par appareil ($)]]/Tableau4[[#This Row],[Surcoût par appareil ($)]]</f>
        <v>0.67444281508513093</v>
      </c>
      <c r="X25" s="192">
        <f>Tableau4[[#This Row],[Couverture 2 (%)]]*Tableau4[[#This Row],[Nombres appareils installés]]</f>
        <v>1.3488856301702619</v>
      </c>
      <c r="Y25" s="188">
        <f>($Y$4+$Z$4*(Tableau4[[#This Row],[Capacité (BTU)]]/1000))*Tableau4[[#This Row],[Nombres appareils installés]]</f>
        <v>6350</v>
      </c>
      <c r="Z25" s="188">
        <f>Tableau4[[#This Row],[AF 3 ($)]]/Tableau4[[#This Row],[Nombres appareils installés]]</f>
        <v>3175</v>
      </c>
      <c r="AA25" s="193">
        <f>Tableau4[[#This Row],[AF 3 par appareil ($)]]/Tableau4[[#This Row],[Surcoût par appareil ($)]]</f>
        <v>0.71082354784905921</v>
      </c>
      <c r="AB25" s="193">
        <f>Tableau4[[#This Row],[Couverture 3 (%)]]*Tableau4[[#This Row],[Nombres appareils installés]]</f>
        <v>1.4216470956981184</v>
      </c>
      <c r="AC25" s="188">
        <f>($AC$4+$AD$4*(Tableau4[[#This Row],[Capacité (BTU)]]/1000))*Tableau4[[#This Row],[Nombres appareils installés]]</f>
        <v>5480</v>
      </c>
      <c r="AD25" s="188">
        <f>Tableau4[[#This Row],[AF 4 ($)]]/Tableau4[[#This Row],[Nombres appareils installés]]</f>
        <v>2740</v>
      </c>
      <c r="AE25" s="194">
        <f>Tableau4[[#This Row],[Couverture 4 (%)]]*Tableau4[[#This Row],[Nombres appareils installés]]</f>
        <v>1.2268702495158565</v>
      </c>
      <c r="AF25" s="193">
        <f>Tableau4[[#This Row],[AF 4 par appareil  ($)]]/Tableau4[[#This Row],[Surcoût par appareil ($)]]</f>
        <v>0.61343512475792827</v>
      </c>
    </row>
    <row r="26" spans="2:32" x14ac:dyDescent="0.3">
      <c r="B26" s="187" t="s">
        <v>157</v>
      </c>
      <c r="C26" s="188" t="s">
        <v>168</v>
      </c>
      <c r="D26" s="188">
        <v>2</v>
      </c>
      <c r="E26" s="188">
        <v>135000</v>
      </c>
      <c r="F26" s="189">
        <f>Tableau4[[#This Row],[Economies totales (m3)]]/Tableau4[[#This Row],[Nombres appareils installés]]</f>
        <v>1068</v>
      </c>
      <c r="G26" s="190">
        <v>2136</v>
      </c>
      <c r="H26" s="188">
        <f t="shared" si="0"/>
        <v>2066.65</v>
      </c>
      <c r="I26" s="188">
        <v>2400</v>
      </c>
      <c r="J26" s="188">
        <f>Tableau4[[#This Row],[Surcoût moyens de l''équipement ($)]]+Tableau4[[#This Row],[Surcoût moyen de l''installation ($)]]</f>
        <v>4466.6499999999996</v>
      </c>
      <c r="K26" s="188">
        <f>Tableau4[[#This Row],[Surcoût par appareil ($)]]*Tableau4[[#This Row],[Nombres appareils installés]]</f>
        <v>8933.2999999999993</v>
      </c>
      <c r="L26" s="190">
        <v>3400</v>
      </c>
      <c r="M26" s="188">
        <f t="shared" si="1"/>
        <v>3150</v>
      </c>
      <c r="N26" s="188">
        <f>Tableau4[[#This Row],[AF 0 ($)]]/Tableau4[[#This Row],[Nombres appareils installés]]</f>
        <v>1575</v>
      </c>
      <c r="O26" s="191">
        <f>(Tableau4[[#This Row],[AF accordée ($)]])/($J$6*D26)</f>
        <v>0.42463905680171854</v>
      </c>
      <c r="P26" s="191">
        <f>Tableau4[[#This Row],[Couverture 0 (%)]]*Tableau4[[#This Row],[Nombres appareils installés]]</f>
        <v>0.84927811360343708</v>
      </c>
      <c r="Q26" s="188">
        <f>($Q$4+$R$4*(Tableau4[[#This Row],[Capacité (BTU)]]/1000))*Tableau4[[#This Row],[Nombres appareils installés]]</f>
        <v>5350</v>
      </c>
      <c r="R26" s="188">
        <f>Tableau4[[#This Row],[AF 1 ($)]]/Tableau4[[#This Row],[Nombres appareils installés]]</f>
        <v>2675</v>
      </c>
      <c r="S26" s="191">
        <f>Tableau4[[#This Row],[AF 1 ($)]]/(J26*D26)</f>
        <v>0.59888283165235701</v>
      </c>
      <c r="T26" s="191">
        <f>Tableau4[[#This Row],[Couverture 1 (%)]]*Tableau4[[#This Row],[Nombres appareils installés]]</f>
        <v>1.197765663304714</v>
      </c>
      <c r="U26" s="188">
        <f>($U$4+($V$4*(Tableau4[[#This Row],[Capacité (BTU)]]/1000)))*Tableau4[[#This Row],[Nombres appareils installés]]</f>
        <v>6025</v>
      </c>
      <c r="V26" s="188">
        <f>Tableau4[[#This Row],[AF 2 ($)]]/Tableau4[[#This Row],[Nombres appareils installés]]</f>
        <v>3012.5</v>
      </c>
      <c r="W26" s="192">
        <f>Tableau4[[#This Row],[AF 2 par appareil ($)]]/Tableau4[[#This Row],[Surcoût par appareil ($)]]</f>
        <v>0.67444281508513093</v>
      </c>
      <c r="X26" s="192">
        <f>Tableau4[[#This Row],[Couverture 2 (%)]]*Tableau4[[#This Row],[Nombres appareils installés]]</f>
        <v>1.3488856301702619</v>
      </c>
      <c r="Y26" s="188">
        <f>($Y$4+$Z$4*(Tableau4[[#This Row],[Capacité (BTU)]]/1000))*Tableau4[[#This Row],[Nombres appareils installés]]</f>
        <v>6350</v>
      </c>
      <c r="Z26" s="188">
        <f>Tableau4[[#This Row],[AF 3 ($)]]/Tableau4[[#This Row],[Nombres appareils installés]]</f>
        <v>3175</v>
      </c>
      <c r="AA26" s="193">
        <f>Tableau4[[#This Row],[AF 3 par appareil ($)]]/Tableau4[[#This Row],[Surcoût par appareil ($)]]</f>
        <v>0.71082354784905921</v>
      </c>
      <c r="AB26" s="193">
        <f>Tableau4[[#This Row],[Couverture 3 (%)]]*Tableau4[[#This Row],[Nombres appareils installés]]</f>
        <v>1.4216470956981184</v>
      </c>
      <c r="AC26" s="188">
        <f>($AC$4+$AD$4*(Tableau4[[#This Row],[Capacité (BTU)]]/1000))*Tableau4[[#This Row],[Nombres appareils installés]]</f>
        <v>5480</v>
      </c>
      <c r="AD26" s="188">
        <f>Tableau4[[#This Row],[AF 4 ($)]]/Tableau4[[#This Row],[Nombres appareils installés]]</f>
        <v>2740</v>
      </c>
      <c r="AE26" s="194">
        <f>Tableau4[[#This Row],[Couverture 4 (%)]]*Tableau4[[#This Row],[Nombres appareils installés]]</f>
        <v>1.2268702495158565</v>
      </c>
      <c r="AF26" s="193">
        <f>Tableau4[[#This Row],[AF 4 par appareil  ($)]]/Tableau4[[#This Row],[Surcoût par appareil ($)]]</f>
        <v>0.61343512475792827</v>
      </c>
    </row>
    <row r="27" spans="2:32" x14ac:dyDescent="0.3">
      <c r="B27" s="187" t="s">
        <v>157</v>
      </c>
      <c r="C27" s="188" t="s">
        <v>173</v>
      </c>
      <c r="D27" s="188">
        <v>1</v>
      </c>
      <c r="E27" s="188">
        <v>150000</v>
      </c>
      <c r="F27" s="189">
        <f>Tableau4[[#This Row],[Economies totales (m3)]]/Tableau4[[#This Row],[Nombres appareils installés]]</f>
        <v>1068</v>
      </c>
      <c r="G27" s="190">
        <v>1068</v>
      </c>
      <c r="H27" s="188">
        <f t="shared" si="0"/>
        <v>2193.4</v>
      </c>
      <c r="I27" s="188">
        <v>2400</v>
      </c>
      <c r="J27" s="188">
        <f>Tableau4[[#This Row],[Surcoût moyens de l''équipement ($)]]+Tableau4[[#This Row],[Surcoût moyen de l''installation ($)]]</f>
        <v>4593.3999999999996</v>
      </c>
      <c r="K27" s="188">
        <f>Tableau4[[#This Row],[Surcoût par appareil ($)]]*Tableau4[[#This Row],[Nombres appareils installés]]</f>
        <v>4593.3999999999996</v>
      </c>
      <c r="L27" s="190">
        <v>1700</v>
      </c>
      <c r="M27" s="188">
        <f t="shared" si="1"/>
        <v>1650</v>
      </c>
      <c r="N27" s="188">
        <f>Tableau4[[#This Row],[AF 0 ($)]]/Tableau4[[#This Row],[Nombres appareils installés]]</f>
        <v>1650</v>
      </c>
      <c r="O27" s="191">
        <f>(Tableau4[[#This Row],[AF accordée ($)]])/($J$6*D27)</f>
        <v>0.42463905680171854</v>
      </c>
      <c r="P27" s="191">
        <f>Tableau4[[#This Row],[Couverture 0 (%)]]*Tableau4[[#This Row],[Nombres appareils installés]]</f>
        <v>0.42463905680171854</v>
      </c>
      <c r="Q27" s="188">
        <f>($Q$4+$R$4*(Tableau4[[#This Row],[Capacité (BTU)]]/1000))*Tableau4[[#This Row],[Nombres appareils installés]]</f>
        <v>2750</v>
      </c>
      <c r="R27" s="188">
        <f>Tableau4[[#This Row],[AF 1 ($)]]/Tableau4[[#This Row],[Nombres appareils installés]]</f>
        <v>2750</v>
      </c>
      <c r="S27" s="191">
        <f>Tableau4[[#This Row],[AF 1 ($)]]/(J27*D27)</f>
        <v>0.59868506988287551</v>
      </c>
      <c r="T27" s="191">
        <f>Tableau4[[#This Row],[Couverture 1 (%)]]*Tableau4[[#This Row],[Nombres appareils installés]]</f>
        <v>0.59868506988287551</v>
      </c>
      <c r="U27" s="188">
        <f>($U$4+($V$4*(Tableau4[[#This Row],[Capacité (BTU)]]/1000)))*Tableau4[[#This Row],[Nombres appareils installés]]</f>
        <v>3125</v>
      </c>
      <c r="V27" s="188">
        <f>Tableau4[[#This Row],[AF 2 ($)]]/Tableau4[[#This Row],[Nombres appareils installés]]</f>
        <v>3125</v>
      </c>
      <c r="W27" s="192">
        <f>Tableau4[[#This Row],[AF 2 par appareil ($)]]/Tableau4[[#This Row],[Surcoût par appareil ($)]]</f>
        <v>0.68032394304872212</v>
      </c>
      <c r="X27" s="192">
        <f>Tableau4[[#This Row],[Couverture 2 (%)]]*Tableau4[[#This Row],[Nombres appareils installés]]</f>
        <v>0.68032394304872212</v>
      </c>
      <c r="Y27" s="188">
        <f>($Y$4+$Z$4*(Tableau4[[#This Row],[Capacité (BTU)]]/1000))*Tableau4[[#This Row],[Nombres appareils installés]]</f>
        <v>3250</v>
      </c>
      <c r="Z27" s="188">
        <f>Tableau4[[#This Row],[AF 3 ($)]]/Tableau4[[#This Row],[Nombres appareils installés]]</f>
        <v>3250</v>
      </c>
      <c r="AA27" s="193">
        <f>Tableau4[[#This Row],[AF 3 par appareil ($)]]/Tableau4[[#This Row],[Surcoût par appareil ($)]]</f>
        <v>0.707536900770671</v>
      </c>
      <c r="AB27" s="193">
        <f>Tableau4[[#This Row],[Couverture 3 (%)]]*Tableau4[[#This Row],[Nombres appareils installés]]</f>
        <v>0.707536900770671</v>
      </c>
      <c r="AC27" s="188">
        <f>($AC$4+$AD$4*(Tableau4[[#This Row],[Capacité (BTU)]]/1000))*Tableau4[[#This Row],[Nombres appareils installés]]</f>
        <v>2800</v>
      </c>
      <c r="AD27" s="188">
        <f>Tableau4[[#This Row],[AF 4 ($)]]/Tableau4[[#This Row],[Nombres appareils installés]]</f>
        <v>2800</v>
      </c>
      <c r="AE27" s="194">
        <f>Tableau4[[#This Row],[Couverture 4 (%)]]*Tableau4[[#This Row],[Nombres appareils installés]]</f>
        <v>0.60957025297165501</v>
      </c>
      <c r="AF27" s="193">
        <f>Tableau4[[#This Row],[AF 4 par appareil  ($)]]/Tableau4[[#This Row],[Surcoût par appareil ($)]]</f>
        <v>0.60957025297165501</v>
      </c>
    </row>
    <row r="28" spans="2:32" x14ac:dyDescent="0.3">
      <c r="B28" s="187" t="s">
        <v>157</v>
      </c>
      <c r="C28" s="188" t="s">
        <v>174</v>
      </c>
      <c r="D28" s="188">
        <v>1</v>
      </c>
      <c r="E28" s="188">
        <v>155000</v>
      </c>
      <c r="F28" s="189">
        <f>Tableau4[[#This Row],[Economies totales (m3)]]/Tableau4[[#This Row],[Nombres appareils installés]]</f>
        <v>1068</v>
      </c>
      <c r="G28" s="190">
        <v>1068</v>
      </c>
      <c r="H28" s="188">
        <f t="shared" si="0"/>
        <v>2238.65</v>
      </c>
      <c r="I28" s="188">
        <v>2400</v>
      </c>
      <c r="J28" s="188">
        <f>Tableau4[[#This Row],[Surcoût moyens de l''équipement ($)]]+Tableau4[[#This Row],[Surcoût moyen de l''installation ($)]]</f>
        <v>4638.6499999999996</v>
      </c>
      <c r="K28" s="188">
        <f>Tableau4[[#This Row],[Surcoût par appareil ($)]]*Tableau4[[#This Row],[Nombres appareils installés]]</f>
        <v>4638.6499999999996</v>
      </c>
      <c r="L28" s="190">
        <v>1700</v>
      </c>
      <c r="M28" s="188">
        <f t="shared" si="1"/>
        <v>1675</v>
      </c>
      <c r="N28" s="188">
        <f>Tableau4[[#This Row],[AF 0 ($)]]/Tableau4[[#This Row],[Nombres appareils installés]]</f>
        <v>1675</v>
      </c>
      <c r="O28" s="191">
        <f>(Tableau4[[#This Row],[AF accordée ($)]])/($J$6*D28)</f>
        <v>0.42463905680171854</v>
      </c>
      <c r="P28" s="191">
        <f>Tableau4[[#This Row],[Couverture 0 (%)]]*Tableau4[[#This Row],[Nombres appareils installés]]</f>
        <v>0.42463905680171854</v>
      </c>
      <c r="Q28" s="188">
        <f>($Q$4+$R$4*(Tableau4[[#This Row],[Capacité (BTU)]]/1000))*Tableau4[[#This Row],[Nombres appareils installés]]</f>
        <v>2775</v>
      </c>
      <c r="R28" s="188">
        <f>Tableau4[[#This Row],[AF 1 ($)]]/Tableau4[[#This Row],[Nombres appareils installés]]</f>
        <v>2775</v>
      </c>
      <c r="S28" s="191">
        <f>Tableau4[[#This Row],[AF 1 ($)]]/(J28*D28)</f>
        <v>0.59823440009485518</v>
      </c>
      <c r="T28" s="191">
        <f>Tableau4[[#This Row],[Couverture 1 (%)]]*Tableau4[[#This Row],[Nombres appareils installés]]</f>
        <v>0.59823440009485518</v>
      </c>
      <c r="U28" s="188">
        <f>($U$4+($V$4*(Tableau4[[#This Row],[Capacité (BTU)]]/1000)))*Tableau4[[#This Row],[Nombres appareils installés]]</f>
        <v>3162.5</v>
      </c>
      <c r="V28" s="188">
        <f>Tableau4[[#This Row],[AF 2 ($)]]/Tableau4[[#This Row],[Nombres appareils installés]]</f>
        <v>3162.5</v>
      </c>
      <c r="W28" s="192">
        <f>Tableau4[[#This Row],[AF 2 par appareil ($)]]/Tableau4[[#This Row],[Surcoût par appareil ($)]]</f>
        <v>0.68177163614413683</v>
      </c>
      <c r="X28" s="192">
        <f>Tableau4[[#This Row],[Couverture 2 (%)]]*Tableau4[[#This Row],[Nombres appareils installés]]</f>
        <v>0.68177163614413683</v>
      </c>
      <c r="Y28" s="188">
        <f>($Y$4+$Z$4*(Tableau4[[#This Row],[Capacité (BTU)]]/1000))*Tableau4[[#This Row],[Nombres appareils installés]]</f>
        <v>3275</v>
      </c>
      <c r="Z28" s="188">
        <f>Tableau4[[#This Row],[AF 3 ($)]]/Tableau4[[#This Row],[Nombres appareils installés]]</f>
        <v>3275</v>
      </c>
      <c r="AA28" s="193">
        <f>Tableau4[[#This Row],[AF 3 par appareil ($)]]/Tableau4[[#This Row],[Surcoût par appareil ($)]]</f>
        <v>0.70602438209392826</v>
      </c>
      <c r="AB28" s="193">
        <f>Tableau4[[#This Row],[Couverture 3 (%)]]*Tableau4[[#This Row],[Nombres appareils installés]]</f>
        <v>0.70602438209392826</v>
      </c>
      <c r="AC28" s="188">
        <f>($AC$4+$AD$4*(Tableau4[[#This Row],[Capacité (BTU)]]/1000))*Tableau4[[#This Row],[Nombres appareils installés]]</f>
        <v>2820</v>
      </c>
      <c r="AD28" s="188">
        <f>Tableau4[[#This Row],[AF 4 ($)]]/Tableau4[[#This Row],[Nombres appareils installés]]</f>
        <v>2820</v>
      </c>
      <c r="AE28" s="194">
        <f>Tableau4[[#This Row],[Couverture 4 (%)]]*Tableau4[[#This Row],[Nombres appareils installés]]</f>
        <v>0.6079354984747718</v>
      </c>
      <c r="AF28" s="193">
        <f>Tableau4[[#This Row],[AF 4 par appareil  ($)]]/Tableau4[[#This Row],[Surcoût par appareil ($)]]</f>
        <v>0.6079354984747718</v>
      </c>
    </row>
    <row r="29" spans="2:32" x14ac:dyDescent="0.3">
      <c r="B29" s="187" t="s">
        <v>157</v>
      </c>
      <c r="C29" s="188" t="s">
        <v>175</v>
      </c>
      <c r="D29" s="188">
        <v>2</v>
      </c>
      <c r="E29" s="188">
        <v>155000</v>
      </c>
      <c r="F29" s="189">
        <f>Tableau4[[#This Row],[Economies totales (m3)]]/Tableau4[[#This Row],[Nombres appareils installés]]</f>
        <v>1068</v>
      </c>
      <c r="G29" s="190">
        <v>2136</v>
      </c>
      <c r="H29" s="188">
        <f t="shared" si="0"/>
        <v>2238.65</v>
      </c>
      <c r="I29" s="188">
        <v>2400</v>
      </c>
      <c r="J29" s="188">
        <f>Tableau4[[#This Row],[Surcoût moyens de l''équipement ($)]]+Tableau4[[#This Row],[Surcoût moyen de l''installation ($)]]</f>
        <v>4638.6499999999996</v>
      </c>
      <c r="K29" s="188">
        <f>Tableau4[[#This Row],[Surcoût par appareil ($)]]*Tableau4[[#This Row],[Nombres appareils installés]]</f>
        <v>9277.2999999999993</v>
      </c>
      <c r="L29" s="190">
        <v>3400</v>
      </c>
      <c r="M29" s="188">
        <f t="shared" si="1"/>
        <v>3350</v>
      </c>
      <c r="N29" s="188">
        <f>Tableau4[[#This Row],[AF 0 ($)]]/Tableau4[[#This Row],[Nombres appareils installés]]</f>
        <v>1675</v>
      </c>
      <c r="O29" s="191">
        <f>(Tableau4[[#This Row],[AF accordée ($)]])/($J$6*D29)</f>
        <v>0.42463905680171854</v>
      </c>
      <c r="P29" s="191">
        <f>Tableau4[[#This Row],[Couverture 0 (%)]]*Tableau4[[#This Row],[Nombres appareils installés]]</f>
        <v>0.84927811360343708</v>
      </c>
      <c r="Q29" s="188">
        <f>($Q$4+$R$4*(Tableau4[[#This Row],[Capacité (BTU)]]/1000))*Tableau4[[#This Row],[Nombres appareils installés]]</f>
        <v>5550</v>
      </c>
      <c r="R29" s="188">
        <f>Tableau4[[#This Row],[AF 1 ($)]]/Tableau4[[#This Row],[Nombres appareils installés]]</f>
        <v>2775</v>
      </c>
      <c r="S29" s="191">
        <f>Tableau4[[#This Row],[AF 1 ($)]]/(J29*D29)</f>
        <v>0.59823440009485518</v>
      </c>
      <c r="T29" s="191">
        <f>Tableau4[[#This Row],[Couverture 1 (%)]]*Tableau4[[#This Row],[Nombres appareils installés]]</f>
        <v>1.1964688001897104</v>
      </c>
      <c r="U29" s="188">
        <f>($U$4+($V$4*(Tableau4[[#This Row],[Capacité (BTU)]]/1000)))*Tableau4[[#This Row],[Nombres appareils installés]]</f>
        <v>6325</v>
      </c>
      <c r="V29" s="188">
        <f>Tableau4[[#This Row],[AF 2 ($)]]/Tableau4[[#This Row],[Nombres appareils installés]]</f>
        <v>3162.5</v>
      </c>
      <c r="W29" s="192">
        <f>Tableau4[[#This Row],[AF 2 par appareil ($)]]/Tableau4[[#This Row],[Surcoût par appareil ($)]]</f>
        <v>0.68177163614413683</v>
      </c>
      <c r="X29" s="192">
        <f>Tableau4[[#This Row],[Couverture 2 (%)]]*Tableau4[[#This Row],[Nombres appareils installés]]</f>
        <v>1.3635432722882737</v>
      </c>
      <c r="Y29" s="188">
        <f>($Y$4+$Z$4*(Tableau4[[#This Row],[Capacité (BTU)]]/1000))*Tableau4[[#This Row],[Nombres appareils installés]]</f>
        <v>6550</v>
      </c>
      <c r="Z29" s="188">
        <f>Tableau4[[#This Row],[AF 3 ($)]]/Tableau4[[#This Row],[Nombres appareils installés]]</f>
        <v>3275</v>
      </c>
      <c r="AA29" s="193">
        <f>Tableau4[[#This Row],[AF 3 par appareil ($)]]/Tableau4[[#This Row],[Surcoût par appareil ($)]]</f>
        <v>0.70602438209392826</v>
      </c>
      <c r="AB29" s="193">
        <f>Tableau4[[#This Row],[Couverture 3 (%)]]*Tableau4[[#This Row],[Nombres appareils installés]]</f>
        <v>1.4120487641878565</v>
      </c>
      <c r="AC29" s="188">
        <f>($AC$4+$AD$4*(Tableau4[[#This Row],[Capacité (BTU)]]/1000))*Tableau4[[#This Row],[Nombres appareils installés]]</f>
        <v>5640</v>
      </c>
      <c r="AD29" s="188">
        <f>Tableau4[[#This Row],[AF 4 ($)]]/Tableau4[[#This Row],[Nombres appareils installés]]</f>
        <v>2820</v>
      </c>
      <c r="AE29" s="194">
        <f>Tableau4[[#This Row],[Couverture 4 (%)]]*Tableau4[[#This Row],[Nombres appareils installés]]</f>
        <v>1.2158709969495436</v>
      </c>
      <c r="AF29" s="193">
        <f>Tableau4[[#This Row],[AF 4 par appareil  ($)]]/Tableau4[[#This Row],[Surcoût par appareil ($)]]</f>
        <v>0.6079354984747718</v>
      </c>
    </row>
    <row r="30" spans="2:32" x14ac:dyDescent="0.3">
      <c r="B30" s="187" t="s">
        <v>157</v>
      </c>
      <c r="C30" s="188" t="s">
        <v>176</v>
      </c>
      <c r="D30" s="188">
        <v>1</v>
      </c>
      <c r="E30" s="188">
        <v>180000</v>
      </c>
      <c r="F30" s="189">
        <f>Tableau4[[#This Row],[Economies totales (m3)]]/Tableau4[[#This Row],[Nombres appareils installés]]</f>
        <v>1068</v>
      </c>
      <c r="G30" s="190">
        <v>1068</v>
      </c>
      <c r="H30" s="188">
        <f t="shared" si="0"/>
        <v>2487.4</v>
      </c>
      <c r="I30" s="188">
        <v>2400</v>
      </c>
      <c r="J30" s="188">
        <f>Tableau4[[#This Row],[Surcoût moyens de l''équipement ($)]]+Tableau4[[#This Row],[Surcoût moyen de l''installation ($)]]</f>
        <v>4887.3999999999996</v>
      </c>
      <c r="K30" s="188">
        <f>Tableau4[[#This Row],[Surcoût par appareil ($)]]*Tableau4[[#This Row],[Nombres appareils installés]]</f>
        <v>4887.3999999999996</v>
      </c>
      <c r="L30" s="190">
        <v>1700</v>
      </c>
      <c r="M30" s="188">
        <f t="shared" si="1"/>
        <v>1800</v>
      </c>
      <c r="N30" s="188">
        <f>Tableau4[[#This Row],[AF 0 ($)]]/Tableau4[[#This Row],[Nombres appareils installés]]</f>
        <v>1800</v>
      </c>
      <c r="O30" s="191">
        <f>(Tableau4[[#This Row],[AF accordée ($)]])/($J$6*D30)</f>
        <v>0.42463905680171854</v>
      </c>
      <c r="P30" s="191">
        <f>Tableau4[[#This Row],[Couverture 0 (%)]]*Tableau4[[#This Row],[Nombres appareils installés]]</f>
        <v>0.42463905680171854</v>
      </c>
      <c r="Q30" s="188">
        <f>($Q$4+$R$4*(Tableau4[[#This Row],[Capacité (BTU)]]/1000))*Tableau4[[#This Row],[Nombres appareils installés]]</f>
        <v>2900</v>
      </c>
      <c r="R30" s="188">
        <f>Tableau4[[#This Row],[AF 1 ($)]]/Tableau4[[#This Row],[Nombres appareils installés]]</f>
        <v>2900</v>
      </c>
      <c r="S30" s="191">
        <f>Tableau4[[#This Row],[AF 1 ($)]]/(J30*D30)</f>
        <v>0.59336252404141265</v>
      </c>
      <c r="T30" s="191">
        <f>Tableau4[[#This Row],[Couverture 1 (%)]]*Tableau4[[#This Row],[Nombres appareils installés]]</f>
        <v>0.59336252404141265</v>
      </c>
      <c r="U30" s="188">
        <f>($U$4+($V$4*(Tableau4[[#This Row],[Capacité (BTU)]]/1000)))*Tableau4[[#This Row],[Nombres appareils installés]]</f>
        <v>3350</v>
      </c>
      <c r="V30" s="188">
        <f>Tableau4[[#This Row],[AF 2 ($)]]/Tableau4[[#This Row],[Nombres appareils installés]]</f>
        <v>3350</v>
      </c>
      <c r="W30" s="192">
        <f>Tableau4[[#This Row],[AF 2 par appareil ($)]]/Tableau4[[#This Row],[Surcoût par appareil ($)]]</f>
        <v>0.68543601915128705</v>
      </c>
      <c r="X30" s="192">
        <f>Tableau4[[#This Row],[Couverture 2 (%)]]*Tableau4[[#This Row],[Nombres appareils installés]]</f>
        <v>0.68543601915128705</v>
      </c>
      <c r="Y30" s="188">
        <f>($Y$4+$Z$4*(Tableau4[[#This Row],[Capacité (BTU)]]/1000))*Tableau4[[#This Row],[Nombres appareils installés]]</f>
        <v>3400</v>
      </c>
      <c r="Z30" s="188">
        <f>Tableau4[[#This Row],[AF 3 ($)]]/Tableau4[[#This Row],[Nombres appareils installés]]</f>
        <v>3400</v>
      </c>
      <c r="AA30" s="193">
        <f>Tableau4[[#This Row],[AF 3 par appareil ($)]]/Tableau4[[#This Row],[Surcoût par appareil ($)]]</f>
        <v>0.69566640749682862</v>
      </c>
      <c r="AB30" s="193">
        <f>Tableau4[[#This Row],[Couverture 3 (%)]]*Tableau4[[#This Row],[Nombres appareils installés]]</f>
        <v>0.69566640749682862</v>
      </c>
      <c r="AC30" s="188">
        <f>($AC$4+$AD$4*(Tableau4[[#This Row],[Capacité (BTU)]]/1000))*Tableau4[[#This Row],[Nombres appareils installés]]</f>
        <v>2920</v>
      </c>
      <c r="AD30" s="188">
        <f>Tableau4[[#This Row],[AF 4 ($)]]/Tableau4[[#This Row],[Nombres appareils installés]]</f>
        <v>2920</v>
      </c>
      <c r="AE30" s="194">
        <f>Tableau4[[#This Row],[Couverture 4 (%)]]*Tableau4[[#This Row],[Nombres appareils installés]]</f>
        <v>0.59745467937962926</v>
      </c>
      <c r="AF30" s="193">
        <f>Tableau4[[#This Row],[AF 4 par appareil  ($)]]/Tableau4[[#This Row],[Surcoût par appareil ($)]]</f>
        <v>0.59745467937962926</v>
      </c>
    </row>
    <row r="31" spans="2:32" x14ac:dyDescent="0.3">
      <c r="B31" s="187" t="s">
        <v>157</v>
      </c>
      <c r="C31" s="188" t="s">
        <v>169</v>
      </c>
      <c r="D31" s="188">
        <v>1</v>
      </c>
      <c r="E31" s="188">
        <v>180000</v>
      </c>
      <c r="F31" s="189">
        <f>Tableau4[[#This Row],[Economies totales (m3)]]/Tableau4[[#This Row],[Nombres appareils installés]]</f>
        <v>1068</v>
      </c>
      <c r="G31" s="190">
        <v>1068</v>
      </c>
      <c r="H31" s="188">
        <f t="shared" si="0"/>
        <v>2487.4</v>
      </c>
      <c r="I31" s="188">
        <v>2400</v>
      </c>
      <c r="J31" s="188">
        <f>Tableau4[[#This Row],[Surcoût moyens de l''équipement ($)]]+Tableau4[[#This Row],[Surcoût moyen de l''installation ($)]]</f>
        <v>4887.3999999999996</v>
      </c>
      <c r="K31" s="188">
        <f>Tableau4[[#This Row],[Surcoût par appareil ($)]]*Tableau4[[#This Row],[Nombres appareils installés]]</f>
        <v>4887.3999999999996</v>
      </c>
      <c r="L31" s="190">
        <v>1700</v>
      </c>
      <c r="M31" s="188">
        <f t="shared" si="1"/>
        <v>1800</v>
      </c>
      <c r="N31" s="188">
        <f>Tableau4[[#This Row],[AF 0 ($)]]/Tableau4[[#This Row],[Nombres appareils installés]]</f>
        <v>1800</v>
      </c>
      <c r="O31" s="191">
        <f>(Tableau4[[#This Row],[AF accordée ($)]])/($J$6*D31)</f>
        <v>0.42463905680171854</v>
      </c>
      <c r="P31" s="191">
        <f>Tableau4[[#This Row],[Couverture 0 (%)]]*Tableau4[[#This Row],[Nombres appareils installés]]</f>
        <v>0.42463905680171854</v>
      </c>
      <c r="Q31" s="188">
        <f>($Q$4+$R$4*(Tableau4[[#This Row],[Capacité (BTU)]]/1000))*Tableau4[[#This Row],[Nombres appareils installés]]</f>
        <v>2900</v>
      </c>
      <c r="R31" s="188">
        <f>Tableau4[[#This Row],[AF 1 ($)]]/Tableau4[[#This Row],[Nombres appareils installés]]</f>
        <v>2900</v>
      </c>
      <c r="S31" s="191">
        <f>Tableau4[[#This Row],[AF 1 ($)]]/(J31*D31)</f>
        <v>0.59336252404141265</v>
      </c>
      <c r="T31" s="191">
        <f>Tableau4[[#This Row],[Couverture 1 (%)]]*Tableau4[[#This Row],[Nombres appareils installés]]</f>
        <v>0.59336252404141265</v>
      </c>
      <c r="U31" s="188">
        <f>($U$4+($V$4*(Tableau4[[#This Row],[Capacité (BTU)]]/1000)))*Tableau4[[#This Row],[Nombres appareils installés]]</f>
        <v>3350</v>
      </c>
      <c r="V31" s="188">
        <f>Tableau4[[#This Row],[AF 2 ($)]]/Tableau4[[#This Row],[Nombres appareils installés]]</f>
        <v>3350</v>
      </c>
      <c r="W31" s="192">
        <f>Tableau4[[#This Row],[AF 2 par appareil ($)]]/Tableau4[[#This Row],[Surcoût par appareil ($)]]</f>
        <v>0.68543601915128705</v>
      </c>
      <c r="X31" s="192">
        <f>Tableau4[[#This Row],[Couverture 2 (%)]]*Tableau4[[#This Row],[Nombres appareils installés]]</f>
        <v>0.68543601915128705</v>
      </c>
      <c r="Y31" s="188">
        <f>($Y$4+$Z$4*(Tableau4[[#This Row],[Capacité (BTU)]]/1000))*Tableau4[[#This Row],[Nombres appareils installés]]</f>
        <v>3400</v>
      </c>
      <c r="Z31" s="188">
        <f>Tableau4[[#This Row],[AF 3 ($)]]/Tableau4[[#This Row],[Nombres appareils installés]]</f>
        <v>3400</v>
      </c>
      <c r="AA31" s="193">
        <f>Tableau4[[#This Row],[AF 3 par appareil ($)]]/Tableau4[[#This Row],[Surcoût par appareil ($)]]</f>
        <v>0.69566640749682862</v>
      </c>
      <c r="AB31" s="193">
        <f>Tableau4[[#This Row],[Couverture 3 (%)]]*Tableau4[[#This Row],[Nombres appareils installés]]</f>
        <v>0.69566640749682862</v>
      </c>
      <c r="AC31" s="188">
        <f>($AC$4+$AD$4*(Tableau4[[#This Row],[Capacité (BTU)]]/1000))*Tableau4[[#This Row],[Nombres appareils installés]]</f>
        <v>2920</v>
      </c>
      <c r="AD31" s="188">
        <f>Tableau4[[#This Row],[AF 4 ($)]]/Tableau4[[#This Row],[Nombres appareils installés]]</f>
        <v>2920</v>
      </c>
      <c r="AE31" s="194">
        <f>Tableau4[[#This Row],[Couverture 4 (%)]]*Tableau4[[#This Row],[Nombres appareils installés]]</f>
        <v>0.59745467937962926</v>
      </c>
      <c r="AF31" s="193">
        <f>Tableau4[[#This Row],[AF 4 par appareil  ($)]]/Tableau4[[#This Row],[Surcoût par appareil ($)]]</f>
        <v>0.59745467937962926</v>
      </c>
    </row>
    <row r="32" spans="2:32" x14ac:dyDescent="0.3">
      <c r="B32" s="187" t="s">
        <v>157</v>
      </c>
      <c r="C32" s="188" t="s">
        <v>168</v>
      </c>
      <c r="D32" s="188">
        <v>1</v>
      </c>
      <c r="E32" s="188">
        <v>180000</v>
      </c>
      <c r="F32" s="189">
        <f>Tableau4[[#This Row],[Economies totales (m3)]]/Tableau4[[#This Row],[Nombres appareils installés]]</f>
        <v>1068</v>
      </c>
      <c r="G32" s="190">
        <v>1068</v>
      </c>
      <c r="H32" s="188">
        <f t="shared" si="0"/>
        <v>2487.4</v>
      </c>
      <c r="I32" s="188">
        <v>2400</v>
      </c>
      <c r="J32" s="188">
        <f>Tableau4[[#This Row],[Surcoût moyens de l''équipement ($)]]+Tableau4[[#This Row],[Surcoût moyen de l''installation ($)]]</f>
        <v>4887.3999999999996</v>
      </c>
      <c r="K32" s="188">
        <f>Tableau4[[#This Row],[Surcoût par appareil ($)]]*Tableau4[[#This Row],[Nombres appareils installés]]</f>
        <v>4887.3999999999996</v>
      </c>
      <c r="L32" s="190">
        <v>1700</v>
      </c>
      <c r="M32" s="188">
        <f t="shared" si="1"/>
        <v>1800</v>
      </c>
      <c r="N32" s="188">
        <f>Tableau4[[#This Row],[AF 0 ($)]]/Tableau4[[#This Row],[Nombres appareils installés]]</f>
        <v>1800</v>
      </c>
      <c r="O32" s="191">
        <f>(Tableau4[[#This Row],[AF accordée ($)]])/($J$6*D32)</f>
        <v>0.42463905680171854</v>
      </c>
      <c r="P32" s="191">
        <f>Tableau4[[#This Row],[Couverture 0 (%)]]*Tableau4[[#This Row],[Nombres appareils installés]]</f>
        <v>0.42463905680171854</v>
      </c>
      <c r="Q32" s="188">
        <f>($Q$4+$R$4*(Tableau4[[#This Row],[Capacité (BTU)]]/1000))*Tableau4[[#This Row],[Nombres appareils installés]]</f>
        <v>2900</v>
      </c>
      <c r="R32" s="188">
        <f>Tableau4[[#This Row],[AF 1 ($)]]/Tableau4[[#This Row],[Nombres appareils installés]]</f>
        <v>2900</v>
      </c>
      <c r="S32" s="191">
        <f>Tableau4[[#This Row],[AF 1 ($)]]/(J32*D32)</f>
        <v>0.59336252404141265</v>
      </c>
      <c r="T32" s="191">
        <f>Tableau4[[#This Row],[Couverture 1 (%)]]*Tableau4[[#This Row],[Nombres appareils installés]]</f>
        <v>0.59336252404141265</v>
      </c>
      <c r="U32" s="188">
        <f>($U$4+($V$4*(Tableau4[[#This Row],[Capacité (BTU)]]/1000)))*Tableau4[[#This Row],[Nombres appareils installés]]</f>
        <v>3350</v>
      </c>
      <c r="V32" s="188">
        <f>Tableau4[[#This Row],[AF 2 ($)]]/Tableau4[[#This Row],[Nombres appareils installés]]</f>
        <v>3350</v>
      </c>
      <c r="W32" s="192">
        <f>Tableau4[[#This Row],[AF 2 par appareil ($)]]/Tableau4[[#This Row],[Surcoût par appareil ($)]]</f>
        <v>0.68543601915128705</v>
      </c>
      <c r="X32" s="192">
        <f>Tableau4[[#This Row],[Couverture 2 (%)]]*Tableau4[[#This Row],[Nombres appareils installés]]</f>
        <v>0.68543601915128705</v>
      </c>
      <c r="Y32" s="188">
        <f>($Y$4+$Z$4*(Tableau4[[#This Row],[Capacité (BTU)]]/1000))*Tableau4[[#This Row],[Nombres appareils installés]]</f>
        <v>3400</v>
      </c>
      <c r="Z32" s="188">
        <f>Tableau4[[#This Row],[AF 3 ($)]]/Tableau4[[#This Row],[Nombres appareils installés]]</f>
        <v>3400</v>
      </c>
      <c r="AA32" s="193">
        <f>Tableau4[[#This Row],[AF 3 par appareil ($)]]/Tableau4[[#This Row],[Surcoût par appareil ($)]]</f>
        <v>0.69566640749682862</v>
      </c>
      <c r="AB32" s="193">
        <f>Tableau4[[#This Row],[Couverture 3 (%)]]*Tableau4[[#This Row],[Nombres appareils installés]]</f>
        <v>0.69566640749682862</v>
      </c>
      <c r="AC32" s="188">
        <f>($AC$4+$AD$4*(Tableau4[[#This Row],[Capacité (BTU)]]/1000))*Tableau4[[#This Row],[Nombres appareils installés]]</f>
        <v>2920</v>
      </c>
      <c r="AD32" s="188">
        <f>Tableau4[[#This Row],[AF 4 ($)]]/Tableau4[[#This Row],[Nombres appareils installés]]</f>
        <v>2920</v>
      </c>
      <c r="AE32" s="194">
        <f>Tableau4[[#This Row],[Couverture 4 (%)]]*Tableau4[[#This Row],[Nombres appareils installés]]</f>
        <v>0.59745467937962926</v>
      </c>
      <c r="AF32" s="193">
        <f>Tableau4[[#This Row],[AF 4 par appareil  ($)]]/Tableau4[[#This Row],[Surcoût par appareil ($)]]</f>
        <v>0.59745467937962926</v>
      </c>
    </row>
    <row r="33" spans="2:32" x14ac:dyDescent="0.3">
      <c r="B33" s="187" t="s">
        <v>157</v>
      </c>
      <c r="C33" s="188" t="s">
        <v>168</v>
      </c>
      <c r="D33" s="188">
        <v>1</v>
      </c>
      <c r="E33" s="188">
        <v>180000</v>
      </c>
      <c r="F33" s="189">
        <f>Tableau4[[#This Row],[Economies totales (m3)]]/Tableau4[[#This Row],[Nombres appareils installés]]</f>
        <v>1068</v>
      </c>
      <c r="G33" s="190">
        <v>1068</v>
      </c>
      <c r="H33" s="188">
        <f t="shared" si="0"/>
        <v>2487.4</v>
      </c>
      <c r="I33" s="188">
        <v>2400</v>
      </c>
      <c r="J33" s="188">
        <f>Tableau4[[#This Row],[Surcoût moyens de l''équipement ($)]]+Tableau4[[#This Row],[Surcoût moyen de l''installation ($)]]</f>
        <v>4887.3999999999996</v>
      </c>
      <c r="K33" s="188">
        <f>Tableau4[[#This Row],[Surcoût par appareil ($)]]*Tableau4[[#This Row],[Nombres appareils installés]]</f>
        <v>4887.3999999999996</v>
      </c>
      <c r="L33" s="190">
        <v>1700</v>
      </c>
      <c r="M33" s="188">
        <f t="shared" si="1"/>
        <v>1800</v>
      </c>
      <c r="N33" s="188">
        <f>Tableau4[[#This Row],[AF 0 ($)]]/Tableau4[[#This Row],[Nombres appareils installés]]</f>
        <v>1800</v>
      </c>
      <c r="O33" s="191">
        <f>(Tableau4[[#This Row],[AF accordée ($)]])/($J$6*D33)</f>
        <v>0.42463905680171854</v>
      </c>
      <c r="P33" s="191">
        <f>Tableau4[[#This Row],[Couverture 0 (%)]]*Tableau4[[#This Row],[Nombres appareils installés]]</f>
        <v>0.42463905680171854</v>
      </c>
      <c r="Q33" s="188">
        <f>($Q$4+$R$4*(Tableau4[[#This Row],[Capacité (BTU)]]/1000))*Tableau4[[#This Row],[Nombres appareils installés]]</f>
        <v>2900</v>
      </c>
      <c r="R33" s="188">
        <f>Tableau4[[#This Row],[AF 1 ($)]]/Tableau4[[#This Row],[Nombres appareils installés]]</f>
        <v>2900</v>
      </c>
      <c r="S33" s="191">
        <f>Tableau4[[#This Row],[AF 1 ($)]]/(J33*D33)</f>
        <v>0.59336252404141265</v>
      </c>
      <c r="T33" s="191">
        <f>Tableau4[[#This Row],[Couverture 1 (%)]]*Tableau4[[#This Row],[Nombres appareils installés]]</f>
        <v>0.59336252404141265</v>
      </c>
      <c r="U33" s="188">
        <f>($U$4+($V$4*(Tableau4[[#This Row],[Capacité (BTU)]]/1000)))*Tableau4[[#This Row],[Nombres appareils installés]]</f>
        <v>3350</v>
      </c>
      <c r="V33" s="188">
        <f>Tableau4[[#This Row],[AF 2 ($)]]/Tableau4[[#This Row],[Nombres appareils installés]]</f>
        <v>3350</v>
      </c>
      <c r="W33" s="192">
        <f>Tableau4[[#This Row],[AF 2 par appareil ($)]]/Tableau4[[#This Row],[Surcoût par appareil ($)]]</f>
        <v>0.68543601915128705</v>
      </c>
      <c r="X33" s="192">
        <f>Tableau4[[#This Row],[Couverture 2 (%)]]*Tableau4[[#This Row],[Nombres appareils installés]]</f>
        <v>0.68543601915128705</v>
      </c>
      <c r="Y33" s="188">
        <f>($Y$4+$Z$4*(Tableau4[[#This Row],[Capacité (BTU)]]/1000))*Tableau4[[#This Row],[Nombres appareils installés]]</f>
        <v>3400</v>
      </c>
      <c r="Z33" s="188">
        <f>Tableau4[[#This Row],[AF 3 ($)]]/Tableau4[[#This Row],[Nombres appareils installés]]</f>
        <v>3400</v>
      </c>
      <c r="AA33" s="193">
        <f>Tableau4[[#This Row],[AF 3 par appareil ($)]]/Tableau4[[#This Row],[Surcoût par appareil ($)]]</f>
        <v>0.69566640749682862</v>
      </c>
      <c r="AB33" s="193">
        <f>Tableau4[[#This Row],[Couverture 3 (%)]]*Tableau4[[#This Row],[Nombres appareils installés]]</f>
        <v>0.69566640749682862</v>
      </c>
      <c r="AC33" s="188">
        <f>($AC$4+$AD$4*(Tableau4[[#This Row],[Capacité (BTU)]]/1000))*Tableau4[[#This Row],[Nombres appareils installés]]</f>
        <v>2920</v>
      </c>
      <c r="AD33" s="188">
        <f>Tableau4[[#This Row],[AF 4 ($)]]/Tableau4[[#This Row],[Nombres appareils installés]]</f>
        <v>2920</v>
      </c>
      <c r="AE33" s="194">
        <f>Tableau4[[#This Row],[Couverture 4 (%)]]*Tableau4[[#This Row],[Nombres appareils installés]]</f>
        <v>0.59745467937962926</v>
      </c>
      <c r="AF33" s="193">
        <f>Tableau4[[#This Row],[AF 4 par appareil  ($)]]/Tableau4[[#This Row],[Surcoût par appareil ($)]]</f>
        <v>0.59745467937962926</v>
      </c>
    </row>
    <row r="34" spans="2:32" x14ac:dyDescent="0.3">
      <c r="B34" s="187" t="s">
        <v>157</v>
      </c>
      <c r="C34" s="188" t="s">
        <v>168</v>
      </c>
      <c r="D34" s="188">
        <v>1</v>
      </c>
      <c r="E34" s="188">
        <v>180000</v>
      </c>
      <c r="F34" s="189">
        <f>Tableau4[[#This Row],[Economies totales (m3)]]/Tableau4[[#This Row],[Nombres appareils installés]]</f>
        <v>1068</v>
      </c>
      <c r="G34" s="190">
        <v>1068</v>
      </c>
      <c r="H34" s="188">
        <f t="shared" si="0"/>
        <v>2487.4</v>
      </c>
      <c r="I34" s="188">
        <v>2400</v>
      </c>
      <c r="J34" s="188">
        <f>Tableau4[[#This Row],[Surcoût moyens de l''équipement ($)]]+Tableau4[[#This Row],[Surcoût moyen de l''installation ($)]]</f>
        <v>4887.3999999999996</v>
      </c>
      <c r="K34" s="188">
        <f>Tableau4[[#This Row],[Surcoût par appareil ($)]]*Tableau4[[#This Row],[Nombres appareils installés]]</f>
        <v>4887.3999999999996</v>
      </c>
      <c r="L34" s="190">
        <v>1700</v>
      </c>
      <c r="M34" s="188">
        <f t="shared" si="1"/>
        <v>1800</v>
      </c>
      <c r="N34" s="188">
        <f>Tableau4[[#This Row],[AF 0 ($)]]/Tableau4[[#This Row],[Nombres appareils installés]]</f>
        <v>1800</v>
      </c>
      <c r="O34" s="191">
        <f>(Tableau4[[#This Row],[AF accordée ($)]])/($J$6*D34)</f>
        <v>0.42463905680171854</v>
      </c>
      <c r="P34" s="191">
        <f>Tableau4[[#This Row],[Couverture 0 (%)]]*Tableau4[[#This Row],[Nombres appareils installés]]</f>
        <v>0.42463905680171854</v>
      </c>
      <c r="Q34" s="188">
        <f>($Q$4+$R$4*(Tableau4[[#This Row],[Capacité (BTU)]]/1000))*Tableau4[[#This Row],[Nombres appareils installés]]</f>
        <v>2900</v>
      </c>
      <c r="R34" s="188">
        <f>Tableau4[[#This Row],[AF 1 ($)]]/Tableau4[[#This Row],[Nombres appareils installés]]</f>
        <v>2900</v>
      </c>
      <c r="S34" s="191">
        <f>Tableau4[[#This Row],[AF 1 ($)]]/(J34*D34)</f>
        <v>0.59336252404141265</v>
      </c>
      <c r="T34" s="191">
        <f>Tableau4[[#This Row],[Couverture 1 (%)]]*Tableau4[[#This Row],[Nombres appareils installés]]</f>
        <v>0.59336252404141265</v>
      </c>
      <c r="U34" s="188">
        <f>($U$4+($V$4*(Tableau4[[#This Row],[Capacité (BTU)]]/1000)))*Tableau4[[#This Row],[Nombres appareils installés]]</f>
        <v>3350</v>
      </c>
      <c r="V34" s="188">
        <f>Tableau4[[#This Row],[AF 2 ($)]]/Tableau4[[#This Row],[Nombres appareils installés]]</f>
        <v>3350</v>
      </c>
      <c r="W34" s="192">
        <f>Tableau4[[#This Row],[AF 2 par appareil ($)]]/Tableau4[[#This Row],[Surcoût par appareil ($)]]</f>
        <v>0.68543601915128705</v>
      </c>
      <c r="X34" s="192">
        <f>Tableau4[[#This Row],[Couverture 2 (%)]]*Tableau4[[#This Row],[Nombres appareils installés]]</f>
        <v>0.68543601915128705</v>
      </c>
      <c r="Y34" s="188">
        <f>($Y$4+$Z$4*(Tableau4[[#This Row],[Capacité (BTU)]]/1000))*Tableau4[[#This Row],[Nombres appareils installés]]</f>
        <v>3400</v>
      </c>
      <c r="Z34" s="188">
        <f>Tableau4[[#This Row],[AF 3 ($)]]/Tableau4[[#This Row],[Nombres appareils installés]]</f>
        <v>3400</v>
      </c>
      <c r="AA34" s="193">
        <f>Tableau4[[#This Row],[AF 3 par appareil ($)]]/Tableau4[[#This Row],[Surcoût par appareil ($)]]</f>
        <v>0.69566640749682862</v>
      </c>
      <c r="AB34" s="193">
        <f>Tableau4[[#This Row],[Couverture 3 (%)]]*Tableau4[[#This Row],[Nombres appareils installés]]</f>
        <v>0.69566640749682862</v>
      </c>
      <c r="AC34" s="188">
        <f>($AC$4+$AD$4*(Tableau4[[#This Row],[Capacité (BTU)]]/1000))*Tableau4[[#This Row],[Nombres appareils installés]]</f>
        <v>2920</v>
      </c>
      <c r="AD34" s="188">
        <f>Tableau4[[#This Row],[AF 4 ($)]]/Tableau4[[#This Row],[Nombres appareils installés]]</f>
        <v>2920</v>
      </c>
      <c r="AE34" s="194">
        <f>Tableau4[[#This Row],[Couverture 4 (%)]]*Tableau4[[#This Row],[Nombres appareils installés]]</f>
        <v>0.59745467937962926</v>
      </c>
      <c r="AF34" s="193">
        <f>Tableau4[[#This Row],[AF 4 par appareil  ($)]]/Tableau4[[#This Row],[Surcoût par appareil ($)]]</f>
        <v>0.59745467937962926</v>
      </c>
    </row>
    <row r="35" spans="2:32" x14ac:dyDescent="0.3">
      <c r="B35" s="187" t="s">
        <v>157</v>
      </c>
      <c r="C35" s="188" t="s">
        <v>168</v>
      </c>
      <c r="D35" s="188">
        <v>1</v>
      </c>
      <c r="E35" s="188">
        <v>180000</v>
      </c>
      <c r="F35" s="189">
        <f>Tableau4[[#This Row],[Economies totales (m3)]]/Tableau4[[#This Row],[Nombres appareils installés]]</f>
        <v>1068</v>
      </c>
      <c r="G35" s="190">
        <v>1068</v>
      </c>
      <c r="H35" s="188">
        <f t="shared" si="0"/>
        <v>2487.4</v>
      </c>
      <c r="I35" s="188">
        <v>2400</v>
      </c>
      <c r="J35" s="188">
        <f>Tableau4[[#This Row],[Surcoût moyens de l''équipement ($)]]+Tableau4[[#This Row],[Surcoût moyen de l''installation ($)]]</f>
        <v>4887.3999999999996</v>
      </c>
      <c r="K35" s="188">
        <f>Tableau4[[#This Row],[Surcoût par appareil ($)]]*Tableau4[[#This Row],[Nombres appareils installés]]</f>
        <v>4887.3999999999996</v>
      </c>
      <c r="L35" s="190">
        <v>1700</v>
      </c>
      <c r="M35" s="188">
        <f t="shared" si="1"/>
        <v>1800</v>
      </c>
      <c r="N35" s="188">
        <f>Tableau4[[#This Row],[AF 0 ($)]]/Tableau4[[#This Row],[Nombres appareils installés]]</f>
        <v>1800</v>
      </c>
      <c r="O35" s="191">
        <f>(Tableau4[[#This Row],[AF accordée ($)]])/($J$6*D35)</f>
        <v>0.42463905680171854</v>
      </c>
      <c r="P35" s="191">
        <f>Tableau4[[#This Row],[Couverture 0 (%)]]*Tableau4[[#This Row],[Nombres appareils installés]]</f>
        <v>0.42463905680171854</v>
      </c>
      <c r="Q35" s="188">
        <f>($Q$4+$R$4*(Tableau4[[#This Row],[Capacité (BTU)]]/1000))*Tableau4[[#This Row],[Nombres appareils installés]]</f>
        <v>2900</v>
      </c>
      <c r="R35" s="188">
        <f>Tableau4[[#This Row],[AF 1 ($)]]/Tableau4[[#This Row],[Nombres appareils installés]]</f>
        <v>2900</v>
      </c>
      <c r="S35" s="191">
        <f>Tableau4[[#This Row],[AF 1 ($)]]/(J35*D35)</f>
        <v>0.59336252404141265</v>
      </c>
      <c r="T35" s="191">
        <f>Tableau4[[#This Row],[Couverture 1 (%)]]*Tableau4[[#This Row],[Nombres appareils installés]]</f>
        <v>0.59336252404141265</v>
      </c>
      <c r="U35" s="188">
        <f>($U$4+($V$4*(Tableau4[[#This Row],[Capacité (BTU)]]/1000)))*Tableau4[[#This Row],[Nombres appareils installés]]</f>
        <v>3350</v>
      </c>
      <c r="V35" s="188">
        <f>Tableau4[[#This Row],[AF 2 ($)]]/Tableau4[[#This Row],[Nombres appareils installés]]</f>
        <v>3350</v>
      </c>
      <c r="W35" s="192">
        <f>Tableau4[[#This Row],[AF 2 par appareil ($)]]/Tableau4[[#This Row],[Surcoût par appareil ($)]]</f>
        <v>0.68543601915128705</v>
      </c>
      <c r="X35" s="192">
        <f>Tableau4[[#This Row],[Couverture 2 (%)]]*Tableau4[[#This Row],[Nombres appareils installés]]</f>
        <v>0.68543601915128705</v>
      </c>
      <c r="Y35" s="188">
        <f>($Y$4+$Z$4*(Tableau4[[#This Row],[Capacité (BTU)]]/1000))*Tableau4[[#This Row],[Nombres appareils installés]]</f>
        <v>3400</v>
      </c>
      <c r="Z35" s="188">
        <f>Tableau4[[#This Row],[AF 3 ($)]]/Tableau4[[#This Row],[Nombres appareils installés]]</f>
        <v>3400</v>
      </c>
      <c r="AA35" s="193">
        <f>Tableau4[[#This Row],[AF 3 par appareil ($)]]/Tableau4[[#This Row],[Surcoût par appareil ($)]]</f>
        <v>0.69566640749682862</v>
      </c>
      <c r="AB35" s="193">
        <f>Tableau4[[#This Row],[Couverture 3 (%)]]*Tableau4[[#This Row],[Nombres appareils installés]]</f>
        <v>0.69566640749682862</v>
      </c>
      <c r="AC35" s="188">
        <f>($AC$4+$AD$4*(Tableau4[[#This Row],[Capacité (BTU)]]/1000))*Tableau4[[#This Row],[Nombres appareils installés]]</f>
        <v>2920</v>
      </c>
      <c r="AD35" s="188">
        <f>Tableau4[[#This Row],[AF 4 ($)]]/Tableau4[[#This Row],[Nombres appareils installés]]</f>
        <v>2920</v>
      </c>
      <c r="AE35" s="194">
        <f>Tableau4[[#This Row],[Couverture 4 (%)]]*Tableau4[[#This Row],[Nombres appareils installés]]</f>
        <v>0.59745467937962926</v>
      </c>
      <c r="AF35" s="193">
        <f>Tableau4[[#This Row],[AF 4 par appareil  ($)]]/Tableau4[[#This Row],[Surcoût par appareil ($)]]</f>
        <v>0.59745467937962926</v>
      </c>
    </row>
    <row r="36" spans="2:32" x14ac:dyDescent="0.3">
      <c r="B36" s="187" t="s">
        <v>157</v>
      </c>
      <c r="C36" s="188" t="s">
        <v>177</v>
      </c>
      <c r="D36" s="188">
        <v>2</v>
      </c>
      <c r="E36" s="188">
        <v>180000</v>
      </c>
      <c r="F36" s="189">
        <f>Tableau4[[#This Row],[Economies totales (m3)]]/Tableau4[[#This Row],[Nombres appareils installés]]</f>
        <v>1068</v>
      </c>
      <c r="G36" s="190">
        <v>2136</v>
      </c>
      <c r="H36" s="188">
        <f t="shared" si="0"/>
        <v>2487.4</v>
      </c>
      <c r="I36" s="188">
        <v>2400</v>
      </c>
      <c r="J36" s="188">
        <f>Tableau4[[#This Row],[Surcoût moyens de l''équipement ($)]]+Tableau4[[#This Row],[Surcoût moyen de l''installation ($)]]</f>
        <v>4887.3999999999996</v>
      </c>
      <c r="K36" s="188">
        <f>Tableau4[[#This Row],[Surcoût par appareil ($)]]*Tableau4[[#This Row],[Nombres appareils installés]]</f>
        <v>9774.7999999999993</v>
      </c>
      <c r="L36" s="190">
        <v>3400</v>
      </c>
      <c r="M36" s="188">
        <f t="shared" si="1"/>
        <v>3600</v>
      </c>
      <c r="N36" s="188">
        <f>Tableau4[[#This Row],[AF 0 ($)]]/Tableau4[[#This Row],[Nombres appareils installés]]</f>
        <v>1800</v>
      </c>
      <c r="O36" s="191">
        <f>(Tableau4[[#This Row],[AF accordée ($)]])/($J$6*D36)</f>
        <v>0.42463905680171854</v>
      </c>
      <c r="P36" s="191">
        <f>Tableau4[[#This Row],[Couverture 0 (%)]]*Tableau4[[#This Row],[Nombres appareils installés]]</f>
        <v>0.84927811360343708</v>
      </c>
      <c r="Q36" s="188">
        <f>($Q$4+$R$4*(Tableau4[[#This Row],[Capacité (BTU)]]/1000))*Tableau4[[#This Row],[Nombres appareils installés]]</f>
        <v>5800</v>
      </c>
      <c r="R36" s="188">
        <f>Tableau4[[#This Row],[AF 1 ($)]]/Tableau4[[#This Row],[Nombres appareils installés]]</f>
        <v>2900</v>
      </c>
      <c r="S36" s="191">
        <f>Tableau4[[#This Row],[AF 1 ($)]]/(J36*D36)</f>
        <v>0.59336252404141265</v>
      </c>
      <c r="T36" s="191">
        <f>Tableau4[[#This Row],[Couverture 1 (%)]]*Tableau4[[#This Row],[Nombres appareils installés]]</f>
        <v>1.1867250480828253</v>
      </c>
      <c r="U36" s="188">
        <f>($U$4+($V$4*(Tableau4[[#This Row],[Capacité (BTU)]]/1000)))*Tableau4[[#This Row],[Nombres appareils installés]]</f>
        <v>6700</v>
      </c>
      <c r="V36" s="188">
        <f>Tableau4[[#This Row],[AF 2 ($)]]/Tableau4[[#This Row],[Nombres appareils installés]]</f>
        <v>3350</v>
      </c>
      <c r="W36" s="192">
        <f>Tableau4[[#This Row],[AF 2 par appareil ($)]]/Tableau4[[#This Row],[Surcoût par appareil ($)]]</f>
        <v>0.68543601915128705</v>
      </c>
      <c r="X36" s="192">
        <f>Tableau4[[#This Row],[Couverture 2 (%)]]*Tableau4[[#This Row],[Nombres appareils installés]]</f>
        <v>1.3708720383025741</v>
      </c>
      <c r="Y36" s="188">
        <f>($Y$4+$Z$4*(Tableau4[[#This Row],[Capacité (BTU)]]/1000))*Tableau4[[#This Row],[Nombres appareils installés]]</f>
        <v>6800</v>
      </c>
      <c r="Z36" s="188">
        <f>Tableau4[[#This Row],[AF 3 ($)]]/Tableau4[[#This Row],[Nombres appareils installés]]</f>
        <v>3400</v>
      </c>
      <c r="AA36" s="193">
        <f>Tableau4[[#This Row],[AF 3 par appareil ($)]]/Tableau4[[#This Row],[Surcoût par appareil ($)]]</f>
        <v>0.69566640749682862</v>
      </c>
      <c r="AB36" s="193">
        <f>Tableau4[[#This Row],[Couverture 3 (%)]]*Tableau4[[#This Row],[Nombres appareils installés]]</f>
        <v>1.3913328149936572</v>
      </c>
      <c r="AC36" s="188">
        <f>($AC$4+$AD$4*(Tableau4[[#This Row],[Capacité (BTU)]]/1000))*Tableau4[[#This Row],[Nombres appareils installés]]</f>
        <v>5840</v>
      </c>
      <c r="AD36" s="188">
        <f>Tableau4[[#This Row],[AF 4 ($)]]/Tableau4[[#This Row],[Nombres appareils installés]]</f>
        <v>2920</v>
      </c>
      <c r="AE36" s="194">
        <f>Tableau4[[#This Row],[Couverture 4 (%)]]*Tableau4[[#This Row],[Nombres appareils installés]]</f>
        <v>1.1949093587592585</v>
      </c>
      <c r="AF36" s="193">
        <f>Tableau4[[#This Row],[AF 4 par appareil  ($)]]/Tableau4[[#This Row],[Surcoût par appareil ($)]]</f>
        <v>0.59745467937962926</v>
      </c>
    </row>
    <row r="37" spans="2:32" x14ac:dyDescent="0.3">
      <c r="B37" s="187" t="s">
        <v>157</v>
      </c>
      <c r="C37" s="188" t="s">
        <v>178</v>
      </c>
      <c r="D37" s="188">
        <v>2</v>
      </c>
      <c r="E37" s="188">
        <v>180000</v>
      </c>
      <c r="F37" s="189">
        <f>Tableau4[[#This Row],[Economies totales (m3)]]/Tableau4[[#This Row],[Nombres appareils installés]]</f>
        <v>1068</v>
      </c>
      <c r="G37" s="190">
        <v>2136</v>
      </c>
      <c r="H37" s="188">
        <f t="shared" si="0"/>
        <v>2487.4</v>
      </c>
      <c r="I37" s="188">
        <v>2400</v>
      </c>
      <c r="J37" s="188">
        <f>Tableau4[[#This Row],[Surcoût moyens de l''équipement ($)]]+Tableau4[[#This Row],[Surcoût moyen de l''installation ($)]]</f>
        <v>4887.3999999999996</v>
      </c>
      <c r="K37" s="188">
        <f>Tableau4[[#This Row],[Surcoût par appareil ($)]]*Tableau4[[#This Row],[Nombres appareils installés]]</f>
        <v>9774.7999999999993</v>
      </c>
      <c r="L37" s="190">
        <v>3400</v>
      </c>
      <c r="M37" s="188">
        <f t="shared" si="1"/>
        <v>3600</v>
      </c>
      <c r="N37" s="188">
        <f>Tableau4[[#This Row],[AF 0 ($)]]/Tableau4[[#This Row],[Nombres appareils installés]]</f>
        <v>1800</v>
      </c>
      <c r="O37" s="191">
        <f>(Tableau4[[#This Row],[AF accordée ($)]])/($J$6*D37)</f>
        <v>0.42463905680171854</v>
      </c>
      <c r="P37" s="191">
        <f>Tableau4[[#This Row],[Couverture 0 (%)]]*Tableau4[[#This Row],[Nombres appareils installés]]</f>
        <v>0.84927811360343708</v>
      </c>
      <c r="Q37" s="188">
        <f>($Q$4+$R$4*(Tableau4[[#This Row],[Capacité (BTU)]]/1000))*Tableau4[[#This Row],[Nombres appareils installés]]</f>
        <v>5800</v>
      </c>
      <c r="R37" s="188">
        <f>Tableau4[[#This Row],[AF 1 ($)]]/Tableau4[[#This Row],[Nombres appareils installés]]</f>
        <v>2900</v>
      </c>
      <c r="S37" s="191">
        <f>Tableau4[[#This Row],[AF 1 ($)]]/(J37*D37)</f>
        <v>0.59336252404141265</v>
      </c>
      <c r="T37" s="191">
        <f>Tableau4[[#This Row],[Couverture 1 (%)]]*Tableau4[[#This Row],[Nombres appareils installés]]</f>
        <v>1.1867250480828253</v>
      </c>
      <c r="U37" s="188">
        <f>($U$4+($V$4*(Tableau4[[#This Row],[Capacité (BTU)]]/1000)))*Tableau4[[#This Row],[Nombres appareils installés]]</f>
        <v>6700</v>
      </c>
      <c r="V37" s="188">
        <f>Tableau4[[#This Row],[AF 2 ($)]]/Tableau4[[#This Row],[Nombres appareils installés]]</f>
        <v>3350</v>
      </c>
      <c r="W37" s="192">
        <f>Tableau4[[#This Row],[AF 2 par appareil ($)]]/Tableau4[[#This Row],[Surcoût par appareil ($)]]</f>
        <v>0.68543601915128705</v>
      </c>
      <c r="X37" s="192">
        <f>Tableau4[[#This Row],[Couverture 2 (%)]]*Tableau4[[#This Row],[Nombres appareils installés]]</f>
        <v>1.3708720383025741</v>
      </c>
      <c r="Y37" s="188">
        <f>($Y$4+$Z$4*(Tableau4[[#This Row],[Capacité (BTU)]]/1000))*Tableau4[[#This Row],[Nombres appareils installés]]</f>
        <v>6800</v>
      </c>
      <c r="Z37" s="188">
        <f>Tableau4[[#This Row],[AF 3 ($)]]/Tableau4[[#This Row],[Nombres appareils installés]]</f>
        <v>3400</v>
      </c>
      <c r="AA37" s="193">
        <f>Tableau4[[#This Row],[AF 3 par appareil ($)]]/Tableau4[[#This Row],[Surcoût par appareil ($)]]</f>
        <v>0.69566640749682862</v>
      </c>
      <c r="AB37" s="193">
        <f>Tableau4[[#This Row],[Couverture 3 (%)]]*Tableau4[[#This Row],[Nombres appareils installés]]</f>
        <v>1.3913328149936572</v>
      </c>
      <c r="AC37" s="188">
        <f>($AC$4+$AD$4*(Tableau4[[#This Row],[Capacité (BTU)]]/1000))*Tableau4[[#This Row],[Nombres appareils installés]]</f>
        <v>5840</v>
      </c>
      <c r="AD37" s="188">
        <f>Tableau4[[#This Row],[AF 4 ($)]]/Tableau4[[#This Row],[Nombres appareils installés]]</f>
        <v>2920</v>
      </c>
      <c r="AE37" s="194">
        <f>Tableau4[[#This Row],[Couverture 4 (%)]]*Tableau4[[#This Row],[Nombres appareils installés]]</f>
        <v>1.1949093587592585</v>
      </c>
      <c r="AF37" s="193">
        <f>Tableau4[[#This Row],[AF 4 par appareil  ($)]]/Tableau4[[#This Row],[Surcoût par appareil ($)]]</f>
        <v>0.59745467937962926</v>
      </c>
    </row>
    <row r="38" spans="2:32" x14ac:dyDescent="0.3">
      <c r="B38" s="187" t="s">
        <v>157</v>
      </c>
      <c r="C38" s="188" t="s">
        <v>179</v>
      </c>
      <c r="D38" s="188">
        <v>2</v>
      </c>
      <c r="E38" s="188">
        <v>180000</v>
      </c>
      <c r="F38" s="189">
        <f>Tableau4[[#This Row],[Economies totales (m3)]]/Tableau4[[#This Row],[Nombres appareils installés]]</f>
        <v>1068</v>
      </c>
      <c r="G38" s="190">
        <v>2136</v>
      </c>
      <c r="H38" s="188">
        <f t="shared" si="0"/>
        <v>2487.4</v>
      </c>
      <c r="I38" s="188">
        <v>2400</v>
      </c>
      <c r="J38" s="188">
        <f>Tableau4[[#This Row],[Surcoût moyens de l''équipement ($)]]+Tableau4[[#This Row],[Surcoût moyen de l''installation ($)]]</f>
        <v>4887.3999999999996</v>
      </c>
      <c r="K38" s="188">
        <f>Tableau4[[#This Row],[Surcoût par appareil ($)]]*Tableau4[[#This Row],[Nombres appareils installés]]</f>
        <v>9774.7999999999993</v>
      </c>
      <c r="L38" s="190">
        <v>3400</v>
      </c>
      <c r="M38" s="188">
        <f t="shared" si="1"/>
        <v>3600</v>
      </c>
      <c r="N38" s="188">
        <f>Tableau4[[#This Row],[AF 0 ($)]]/Tableau4[[#This Row],[Nombres appareils installés]]</f>
        <v>1800</v>
      </c>
      <c r="O38" s="191">
        <f>(Tableau4[[#This Row],[AF accordée ($)]])/($J$6*D38)</f>
        <v>0.42463905680171854</v>
      </c>
      <c r="P38" s="191">
        <f>Tableau4[[#This Row],[Couverture 0 (%)]]*Tableau4[[#This Row],[Nombres appareils installés]]</f>
        <v>0.84927811360343708</v>
      </c>
      <c r="Q38" s="188">
        <f>($Q$4+$R$4*(Tableau4[[#This Row],[Capacité (BTU)]]/1000))*Tableau4[[#This Row],[Nombres appareils installés]]</f>
        <v>5800</v>
      </c>
      <c r="R38" s="188">
        <f>Tableau4[[#This Row],[AF 1 ($)]]/Tableau4[[#This Row],[Nombres appareils installés]]</f>
        <v>2900</v>
      </c>
      <c r="S38" s="191">
        <f>Tableau4[[#This Row],[AF 1 ($)]]/(J38*D38)</f>
        <v>0.59336252404141265</v>
      </c>
      <c r="T38" s="191">
        <f>Tableau4[[#This Row],[Couverture 1 (%)]]*Tableau4[[#This Row],[Nombres appareils installés]]</f>
        <v>1.1867250480828253</v>
      </c>
      <c r="U38" s="188">
        <f>($U$4+($V$4*(Tableau4[[#This Row],[Capacité (BTU)]]/1000)))*Tableau4[[#This Row],[Nombres appareils installés]]</f>
        <v>6700</v>
      </c>
      <c r="V38" s="188">
        <f>Tableau4[[#This Row],[AF 2 ($)]]/Tableau4[[#This Row],[Nombres appareils installés]]</f>
        <v>3350</v>
      </c>
      <c r="W38" s="192">
        <f>Tableau4[[#This Row],[AF 2 par appareil ($)]]/Tableau4[[#This Row],[Surcoût par appareil ($)]]</f>
        <v>0.68543601915128705</v>
      </c>
      <c r="X38" s="192">
        <f>Tableau4[[#This Row],[Couverture 2 (%)]]*Tableau4[[#This Row],[Nombres appareils installés]]</f>
        <v>1.3708720383025741</v>
      </c>
      <c r="Y38" s="188">
        <f>($Y$4+$Z$4*(Tableau4[[#This Row],[Capacité (BTU)]]/1000))*Tableau4[[#This Row],[Nombres appareils installés]]</f>
        <v>6800</v>
      </c>
      <c r="Z38" s="188">
        <f>Tableau4[[#This Row],[AF 3 ($)]]/Tableau4[[#This Row],[Nombres appareils installés]]</f>
        <v>3400</v>
      </c>
      <c r="AA38" s="193">
        <f>Tableau4[[#This Row],[AF 3 par appareil ($)]]/Tableau4[[#This Row],[Surcoût par appareil ($)]]</f>
        <v>0.69566640749682862</v>
      </c>
      <c r="AB38" s="193">
        <f>Tableau4[[#This Row],[Couverture 3 (%)]]*Tableau4[[#This Row],[Nombres appareils installés]]</f>
        <v>1.3913328149936572</v>
      </c>
      <c r="AC38" s="188">
        <f>($AC$4+$AD$4*(Tableau4[[#This Row],[Capacité (BTU)]]/1000))*Tableau4[[#This Row],[Nombres appareils installés]]</f>
        <v>5840</v>
      </c>
      <c r="AD38" s="188">
        <f>Tableau4[[#This Row],[AF 4 ($)]]/Tableau4[[#This Row],[Nombres appareils installés]]</f>
        <v>2920</v>
      </c>
      <c r="AE38" s="194">
        <f>Tableau4[[#This Row],[Couverture 4 (%)]]*Tableau4[[#This Row],[Nombres appareils installés]]</f>
        <v>1.1949093587592585</v>
      </c>
      <c r="AF38" s="193">
        <f>Tableau4[[#This Row],[AF 4 par appareil  ($)]]/Tableau4[[#This Row],[Surcoût par appareil ($)]]</f>
        <v>0.59745467937962926</v>
      </c>
    </row>
    <row r="39" spans="2:32" x14ac:dyDescent="0.3">
      <c r="B39" s="187" t="s">
        <v>157</v>
      </c>
      <c r="C39" s="188" t="s">
        <v>168</v>
      </c>
      <c r="D39" s="188">
        <v>2</v>
      </c>
      <c r="E39" s="188">
        <v>180000</v>
      </c>
      <c r="F39" s="189">
        <f>Tableau4[[#This Row],[Economies totales (m3)]]/Tableau4[[#This Row],[Nombres appareils installés]]</f>
        <v>1068</v>
      </c>
      <c r="G39" s="190">
        <v>2136</v>
      </c>
      <c r="H39" s="188">
        <f t="shared" si="0"/>
        <v>2487.4</v>
      </c>
      <c r="I39" s="188">
        <v>2400</v>
      </c>
      <c r="J39" s="188">
        <f>Tableau4[[#This Row],[Surcoût moyens de l''équipement ($)]]+Tableau4[[#This Row],[Surcoût moyen de l''installation ($)]]</f>
        <v>4887.3999999999996</v>
      </c>
      <c r="K39" s="188">
        <f>Tableau4[[#This Row],[Surcoût par appareil ($)]]*Tableau4[[#This Row],[Nombres appareils installés]]</f>
        <v>9774.7999999999993</v>
      </c>
      <c r="L39" s="190">
        <v>3400</v>
      </c>
      <c r="M39" s="188">
        <f t="shared" si="1"/>
        <v>3600</v>
      </c>
      <c r="N39" s="188">
        <f>Tableau4[[#This Row],[AF 0 ($)]]/Tableau4[[#This Row],[Nombres appareils installés]]</f>
        <v>1800</v>
      </c>
      <c r="O39" s="191">
        <f>(Tableau4[[#This Row],[AF accordée ($)]])/($J$6*D39)</f>
        <v>0.42463905680171854</v>
      </c>
      <c r="P39" s="191">
        <f>Tableau4[[#This Row],[Couverture 0 (%)]]*Tableau4[[#This Row],[Nombres appareils installés]]</f>
        <v>0.84927811360343708</v>
      </c>
      <c r="Q39" s="188">
        <f>($Q$4+$R$4*(Tableau4[[#This Row],[Capacité (BTU)]]/1000))*Tableau4[[#This Row],[Nombres appareils installés]]</f>
        <v>5800</v>
      </c>
      <c r="R39" s="188">
        <f>Tableau4[[#This Row],[AF 1 ($)]]/Tableau4[[#This Row],[Nombres appareils installés]]</f>
        <v>2900</v>
      </c>
      <c r="S39" s="191">
        <f>Tableau4[[#This Row],[AF 1 ($)]]/(J39*D39)</f>
        <v>0.59336252404141265</v>
      </c>
      <c r="T39" s="191">
        <f>Tableau4[[#This Row],[Couverture 1 (%)]]*Tableau4[[#This Row],[Nombres appareils installés]]</f>
        <v>1.1867250480828253</v>
      </c>
      <c r="U39" s="188">
        <f>($U$4+($V$4*(Tableau4[[#This Row],[Capacité (BTU)]]/1000)))*Tableau4[[#This Row],[Nombres appareils installés]]</f>
        <v>6700</v>
      </c>
      <c r="V39" s="188">
        <f>Tableau4[[#This Row],[AF 2 ($)]]/Tableau4[[#This Row],[Nombres appareils installés]]</f>
        <v>3350</v>
      </c>
      <c r="W39" s="192">
        <f>Tableau4[[#This Row],[AF 2 par appareil ($)]]/Tableau4[[#This Row],[Surcoût par appareil ($)]]</f>
        <v>0.68543601915128705</v>
      </c>
      <c r="X39" s="192">
        <f>Tableau4[[#This Row],[Couverture 2 (%)]]*Tableau4[[#This Row],[Nombres appareils installés]]</f>
        <v>1.3708720383025741</v>
      </c>
      <c r="Y39" s="188">
        <f>($Y$4+$Z$4*(Tableau4[[#This Row],[Capacité (BTU)]]/1000))*Tableau4[[#This Row],[Nombres appareils installés]]</f>
        <v>6800</v>
      </c>
      <c r="Z39" s="188">
        <f>Tableau4[[#This Row],[AF 3 ($)]]/Tableau4[[#This Row],[Nombres appareils installés]]</f>
        <v>3400</v>
      </c>
      <c r="AA39" s="193">
        <f>Tableau4[[#This Row],[AF 3 par appareil ($)]]/Tableau4[[#This Row],[Surcoût par appareil ($)]]</f>
        <v>0.69566640749682862</v>
      </c>
      <c r="AB39" s="193">
        <f>Tableau4[[#This Row],[Couverture 3 (%)]]*Tableau4[[#This Row],[Nombres appareils installés]]</f>
        <v>1.3913328149936572</v>
      </c>
      <c r="AC39" s="188">
        <f>($AC$4+$AD$4*(Tableau4[[#This Row],[Capacité (BTU)]]/1000))*Tableau4[[#This Row],[Nombres appareils installés]]</f>
        <v>5840</v>
      </c>
      <c r="AD39" s="188">
        <f>Tableau4[[#This Row],[AF 4 ($)]]/Tableau4[[#This Row],[Nombres appareils installés]]</f>
        <v>2920</v>
      </c>
      <c r="AE39" s="194">
        <f>Tableau4[[#This Row],[Couverture 4 (%)]]*Tableau4[[#This Row],[Nombres appareils installés]]</f>
        <v>1.1949093587592585</v>
      </c>
      <c r="AF39" s="193">
        <f>Tableau4[[#This Row],[AF 4 par appareil  ($)]]/Tableau4[[#This Row],[Surcoût par appareil ($)]]</f>
        <v>0.59745467937962926</v>
      </c>
    </row>
    <row r="40" spans="2:32" x14ac:dyDescent="0.3">
      <c r="B40" s="187" t="s">
        <v>157</v>
      </c>
      <c r="C40" s="188" t="s">
        <v>170</v>
      </c>
      <c r="D40" s="188">
        <v>3</v>
      </c>
      <c r="E40" s="188">
        <v>180000</v>
      </c>
      <c r="F40" s="189">
        <f>Tableau4[[#This Row],[Economies totales (m3)]]/Tableau4[[#This Row],[Nombres appareils installés]]</f>
        <v>1068</v>
      </c>
      <c r="G40" s="190">
        <v>3204</v>
      </c>
      <c r="H40" s="188">
        <f t="shared" si="0"/>
        <v>2487.4</v>
      </c>
      <c r="I40" s="188">
        <v>2400</v>
      </c>
      <c r="J40" s="188">
        <f>Tableau4[[#This Row],[Surcoût moyens de l''équipement ($)]]+Tableau4[[#This Row],[Surcoût moyen de l''installation ($)]]</f>
        <v>4887.3999999999996</v>
      </c>
      <c r="K40" s="188">
        <f>Tableau4[[#This Row],[Surcoût par appareil ($)]]*Tableau4[[#This Row],[Nombres appareils installés]]</f>
        <v>14662.199999999999</v>
      </c>
      <c r="L40" s="190">
        <v>5100</v>
      </c>
      <c r="M40" s="188">
        <f t="shared" si="1"/>
        <v>5400</v>
      </c>
      <c r="N40" s="188">
        <f>Tableau4[[#This Row],[AF 0 ($)]]/Tableau4[[#This Row],[Nombres appareils installés]]</f>
        <v>1800</v>
      </c>
      <c r="O40" s="191">
        <f>(Tableau4[[#This Row],[AF accordée ($)]])/($J$6*D40)</f>
        <v>0.42463905680171854</v>
      </c>
      <c r="P40" s="191">
        <f>Tableau4[[#This Row],[Couverture 0 (%)]]*Tableau4[[#This Row],[Nombres appareils installés]]</f>
        <v>1.2739171704051557</v>
      </c>
      <c r="Q40" s="188">
        <f>($Q$4+$R$4*(Tableau4[[#This Row],[Capacité (BTU)]]/1000))*Tableau4[[#This Row],[Nombres appareils installés]]</f>
        <v>8700</v>
      </c>
      <c r="R40" s="188">
        <f>Tableau4[[#This Row],[AF 1 ($)]]/Tableau4[[#This Row],[Nombres appareils installés]]</f>
        <v>2900</v>
      </c>
      <c r="S40" s="191">
        <f>Tableau4[[#This Row],[AF 1 ($)]]/(J40*D40)</f>
        <v>0.59336252404141265</v>
      </c>
      <c r="T40" s="191">
        <f>Tableau4[[#This Row],[Couverture 1 (%)]]*Tableau4[[#This Row],[Nombres appareils installés]]</f>
        <v>1.780087572124238</v>
      </c>
      <c r="U40" s="188">
        <f>($U$4+($V$4*(Tableau4[[#This Row],[Capacité (BTU)]]/1000)))*Tableau4[[#This Row],[Nombres appareils installés]]</f>
        <v>10050</v>
      </c>
      <c r="V40" s="188">
        <f>Tableau4[[#This Row],[AF 2 ($)]]/Tableau4[[#This Row],[Nombres appareils installés]]</f>
        <v>3350</v>
      </c>
      <c r="W40" s="192">
        <f>Tableau4[[#This Row],[AF 2 par appareil ($)]]/Tableau4[[#This Row],[Surcoût par appareil ($)]]</f>
        <v>0.68543601915128705</v>
      </c>
      <c r="X40" s="192">
        <f>Tableau4[[#This Row],[Couverture 2 (%)]]*Tableau4[[#This Row],[Nombres appareils installés]]</f>
        <v>2.0563080574538612</v>
      </c>
      <c r="Y40" s="188">
        <f>($Y$4+$Z$4*(Tableau4[[#This Row],[Capacité (BTU)]]/1000))*Tableau4[[#This Row],[Nombres appareils installés]]</f>
        <v>10200</v>
      </c>
      <c r="Z40" s="188">
        <f>Tableau4[[#This Row],[AF 3 ($)]]/Tableau4[[#This Row],[Nombres appareils installés]]</f>
        <v>3400</v>
      </c>
      <c r="AA40" s="193">
        <f>Tableau4[[#This Row],[AF 3 par appareil ($)]]/Tableau4[[#This Row],[Surcoût par appareil ($)]]</f>
        <v>0.69566640749682862</v>
      </c>
      <c r="AB40" s="193">
        <f>Tableau4[[#This Row],[Couverture 3 (%)]]*Tableau4[[#This Row],[Nombres appareils installés]]</f>
        <v>2.0869992224904861</v>
      </c>
      <c r="AC40" s="188">
        <f>($AC$4+$AD$4*(Tableau4[[#This Row],[Capacité (BTU)]]/1000))*Tableau4[[#This Row],[Nombres appareils installés]]</f>
        <v>8760</v>
      </c>
      <c r="AD40" s="188">
        <f>Tableau4[[#This Row],[AF 4 ($)]]/Tableau4[[#This Row],[Nombres appareils installés]]</f>
        <v>2920</v>
      </c>
      <c r="AE40" s="194">
        <f>Tableau4[[#This Row],[Couverture 4 (%)]]*Tableau4[[#This Row],[Nombres appareils installés]]</f>
        <v>1.7923640381388877</v>
      </c>
      <c r="AF40" s="193">
        <f>Tableau4[[#This Row],[AF 4 par appareil  ($)]]/Tableau4[[#This Row],[Surcoût par appareil ($)]]</f>
        <v>0.59745467937962926</v>
      </c>
    </row>
    <row r="41" spans="2:32" x14ac:dyDescent="0.3">
      <c r="B41" s="187" t="s">
        <v>157</v>
      </c>
      <c r="C41" s="188" t="s">
        <v>180</v>
      </c>
      <c r="D41" s="188">
        <v>7</v>
      </c>
      <c r="E41" s="188">
        <v>180000</v>
      </c>
      <c r="F41" s="189">
        <f>Tableau4[[#This Row],[Economies totales (m3)]]/Tableau4[[#This Row],[Nombres appareils installés]]</f>
        <v>1068</v>
      </c>
      <c r="G41" s="190">
        <v>7476</v>
      </c>
      <c r="H41" s="188">
        <f t="shared" si="0"/>
        <v>2487.4</v>
      </c>
      <c r="I41" s="188">
        <v>2400</v>
      </c>
      <c r="J41" s="188">
        <f>Tableau4[[#This Row],[Surcoût moyens de l''équipement ($)]]+Tableau4[[#This Row],[Surcoût moyen de l''installation ($)]]</f>
        <v>4887.3999999999996</v>
      </c>
      <c r="K41" s="188">
        <f>Tableau4[[#This Row],[Surcoût par appareil ($)]]*Tableau4[[#This Row],[Nombres appareils installés]]</f>
        <v>34211.799999999996</v>
      </c>
      <c r="L41" s="190">
        <v>11900</v>
      </c>
      <c r="M41" s="188">
        <f t="shared" si="1"/>
        <v>12600</v>
      </c>
      <c r="N41" s="188">
        <f>Tableau4[[#This Row],[AF 0 ($)]]/Tableau4[[#This Row],[Nombres appareils installés]]</f>
        <v>1800</v>
      </c>
      <c r="O41" s="191">
        <f>(Tableau4[[#This Row],[AF accordée ($)]])/($J$6*D41)</f>
        <v>0.42463905680171854</v>
      </c>
      <c r="P41" s="191">
        <f>Tableau4[[#This Row],[Couverture 0 (%)]]*Tableau4[[#This Row],[Nombres appareils installés]]</f>
        <v>2.9724733976120299</v>
      </c>
      <c r="Q41" s="188">
        <f>($Q$4+$R$4*(Tableau4[[#This Row],[Capacité (BTU)]]/1000))*Tableau4[[#This Row],[Nombres appareils installés]]</f>
        <v>20300</v>
      </c>
      <c r="R41" s="188">
        <f>Tableau4[[#This Row],[AF 1 ($)]]/Tableau4[[#This Row],[Nombres appareils installés]]</f>
        <v>2900</v>
      </c>
      <c r="S41" s="191">
        <f>Tableau4[[#This Row],[AF 1 ($)]]/(J41*D41)</f>
        <v>0.59336252404141265</v>
      </c>
      <c r="T41" s="191">
        <f>Tableau4[[#This Row],[Couverture 1 (%)]]*Tableau4[[#This Row],[Nombres appareils installés]]</f>
        <v>4.1535376682898884</v>
      </c>
      <c r="U41" s="188">
        <f>($U$4+($V$4*(Tableau4[[#This Row],[Capacité (BTU)]]/1000)))*Tableau4[[#This Row],[Nombres appareils installés]]</f>
        <v>23450</v>
      </c>
      <c r="V41" s="188">
        <f>Tableau4[[#This Row],[AF 2 ($)]]/Tableau4[[#This Row],[Nombres appareils installés]]</f>
        <v>3350</v>
      </c>
      <c r="W41" s="192">
        <f>Tableau4[[#This Row],[AF 2 par appareil ($)]]/Tableau4[[#This Row],[Surcoût par appareil ($)]]</f>
        <v>0.68543601915128705</v>
      </c>
      <c r="X41" s="192">
        <f>Tableau4[[#This Row],[Couverture 2 (%)]]*Tableau4[[#This Row],[Nombres appareils installés]]</f>
        <v>4.7980521340590094</v>
      </c>
      <c r="Y41" s="188">
        <f>($Y$4+$Z$4*(Tableau4[[#This Row],[Capacité (BTU)]]/1000))*Tableau4[[#This Row],[Nombres appareils installés]]</f>
        <v>23800</v>
      </c>
      <c r="Z41" s="188">
        <f>Tableau4[[#This Row],[AF 3 ($)]]/Tableau4[[#This Row],[Nombres appareils installés]]</f>
        <v>3400</v>
      </c>
      <c r="AA41" s="193">
        <f>Tableau4[[#This Row],[AF 3 par appareil ($)]]/Tableau4[[#This Row],[Surcoût par appareil ($)]]</f>
        <v>0.69566640749682862</v>
      </c>
      <c r="AB41" s="193">
        <f>Tableau4[[#This Row],[Couverture 3 (%)]]*Tableau4[[#This Row],[Nombres appareils installés]]</f>
        <v>4.8696648524778006</v>
      </c>
      <c r="AC41" s="188">
        <f>($AC$4+$AD$4*(Tableau4[[#This Row],[Capacité (BTU)]]/1000))*Tableau4[[#This Row],[Nombres appareils installés]]</f>
        <v>20440</v>
      </c>
      <c r="AD41" s="188">
        <f>Tableau4[[#This Row],[AF 4 ($)]]/Tableau4[[#This Row],[Nombres appareils installés]]</f>
        <v>2920</v>
      </c>
      <c r="AE41" s="194">
        <f>Tableau4[[#This Row],[Couverture 4 (%)]]*Tableau4[[#This Row],[Nombres appareils installés]]</f>
        <v>4.1821827556574052</v>
      </c>
      <c r="AF41" s="193">
        <f>Tableau4[[#This Row],[AF 4 par appareil  ($)]]/Tableau4[[#This Row],[Surcoût par appareil ($)]]</f>
        <v>0.59745467937962926</v>
      </c>
    </row>
    <row r="42" spans="2:32" x14ac:dyDescent="0.3">
      <c r="B42" s="187" t="s">
        <v>157</v>
      </c>
      <c r="C42" s="188" t="s">
        <v>181</v>
      </c>
      <c r="D42" s="188">
        <v>1</v>
      </c>
      <c r="E42" s="188">
        <v>215000</v>
      </c>
      <c r="F42" s="189">
        <f>Tableau4[[#This Row],[Economies totales (m3)]]/Tableau4[[#This Row],[Nombres appareils installés]]</f>
        <v>1068</v>
      </c>
      <c r="G42" s="190">
        <v>1068</v>
      </c>
      <c r="H42" s="188">
        <f t="shared" si="0"/>
        <v>2898.6499999999996</v>
      </c>
      <c r="I42" s="188">
        <v>2400</v>
      </c>
      <c r="J42" s="188">
        <f>Tableau4[[#This Row],[Surcoût moyens de l''équipement ($)]]+Tableau4[[#This Row],[Surcoût moyen de l''installation ($)]]</f>
        <v>5298.65</v>
      </c>
      <c r="K42" s="188">
        <f>Tableau4[[#This Row],[Surcoût par appareil ($)]]*Tableau4[[#This Row],[Nombres appareils installés]]</f>
        <v>5298.65</v>
      </c>
      <c r="L42" s="190">
        <v>1700</v>
      </c>
      <c r="M42" s="188">
        <f t="shared" si="1"/>
        <v>1975</v>
      </c>
      <c r="N42" s="188">
        <f>Tableau4[[#This Row],[AF 0 ($)]]/Tableau4[[#This Row],[Nombres appareils installés]]</f>
        <v>1975</v>
      </c>
      <c r="O42" s="191">
        <f>(Tableau4[[#This Row],[AF accordée ($)]])/($J$6*D42)</f>
        <v>0.42463905680171854</v>
      </c>
      <c r="P42" s="191">
        <f>Tableau4[[#This Row],[Couverture 0 (%)]]*Tableau4[[#This Row],[Nombres appareils installés]]</f>
        <v>0.42463905680171854</v>
      </c>
      <c r="Q42" s="188">
        <f>($Q$4+$R$4*(Tableau4[[#This Row],[Capacité (BTU)]]/1000))*Tableau4[[#This Row],[Nombres appareils installés]]</f>
        <v>3075</v>
      </c>
      <c r="R42" s="188">
        <f>Tableau4[[#This Row],[AF 1 ($)]]/Tableau4[[#This Row],[Nombres appareils installés]]</f>
        <v>3075</v>
      </c>
      <c r="S42" s="191">
        <f>Tableau4[[#This Row],[AF 1 ($)]]/(J42*D42)</f>
        <v>0.58033650080680932</v>
      </c>
      <c r="T42" s="191">
        <f>Tableau4[[#This Row],[Couverture 1 (%)]]*Tableau4[[#This Row],[Nombres appareils installés]]</f>
        <v>0.58033650080680932</v>
      </c>
      <c r="U42" s="188">
        <f>($U$4+($V$4*(Tableau4[[#This Row],[Capacité (BTU)]]/1000)))*Tableau4[[#This Row],[Nombres appareils installés]]</f>
        <v>3612.5</v>
      </c>
      <c r="V42" s="188">
        <f>Tableau4[[#This Row],[AF 2 ($)]]/Tableau4[[#This Row],[Nombres appareils installés]]</f>
        <v>3612.5</v>
      </c>
      <c r="W42" s="192">
        <f>Tableau4[[#This Row],[AF 2 par appareil ($)]]/Tableau4[[#This Row],[Surcoût par appareil ($)]]</f>
        <v>0.68177743387466627</v>
      </c>
      <c r="X42" s="192">
        <f>Tableau4[[#This Row],[Couverture 2 (%)]]*Tableau4[[#This Row],[Nombres appareils installés]]</f>
        <v>0.68177743387466627</v>
      </c>
      <c r="Y42" s="188">
        <f>($Y$4+$Z$4*(Tableau4[[#This Row],[Capacité (BTU)]]/1000))*Tableau4[[#This Row],[Nombres appareils installés]]</f>
        <v>3575</v>
      </c>
      <c r="Z42" s="188">
        <f>Tableau4[[#This Row],[AF 3 ($)]]/Tableau4[[#This Row],[Nombres appareils installés]]</f>
        <v>3575</v>
      </c>
      <c r="AA42" s="193">
        <f>Tableau4[[#This Row],[AF 3 par appareil ($)]]/Tableau4[[#This Row],[Surcoût par appareil ($)]]</f>
        <v>0.67470015947458317</v>
      </c>
      <c r="AB42" s="193">
        <f>Tableau4[[#This Row],[Couverture 3 (%)]]*Tableau4[[#This Row],[Nombres appareils installés]]</f>
        <v>0.67470015947458317</v>
      </c>
      <c r="AC42" s="188">
        <f>($AC$4+$AD$4*(Tableau4[[#This Row],[Capacité (BTU)]]/1000))*Tableau4[[#This Row],[Nombres appareils installés]]</f>
        <v>3060</v>
      </c>
      <c r="AD42" s="188">
        <f>Tableau4[[#This Row],[AF 4 ($)]]/Tableau4[[#This Row],[Nombres appareils installés]]</f>
        <v>3060</v>
      </c>
      <c r="AE42" s="194">
        <f>Tableau4[[#This Row],[Couverture 4 (%)]]*Tableau4[[#This Row],[Nombres appareils installés]]</f>
        <v>0.57750559104677612</v>
      </c>
      <c r="AF42" s="193">
        <f>Tableau4[[#This Row],[AF 4 par appareil  ($)]]/Tableau4[[#This Row],[Surcoût par appareil ($)]]</f>
        <v>0.57750559104677612</v>
      </c>
    </row>
    <row r="43" spans="2:32" x14ac:dyDescent="0.3">
      <c r="B43" s="187" t="s">
        <v>157</v>
      </c>
      <c r="C43" s="188" t="s">
        <v>168</v>
      </c>
      <c r="D43" s="188">
        <v>1</v>
      </c>
      <c r="E43" s="188">
        <v>215000</v>
      </c>
      <c r="F43" s="189">
        <f>Tableau4[[#This Row],[Economies totales (m3)]]/Tableau4[[#This Row],[Nombres appareils installés]]</f>
        <v>1068</v>
      </c>
      <c r="G43" s="190">
        <v>1068</v>
      </c>
      <c r="H43" s="188">
        <f t="shared" si="0"/>
        <v>2898.6499999999996</v>
      </c>
      <c r="I43" s="188">
        <v>2400</v>
      </c>
      <c r="J43" s="188">
        <f>Tableau4[[#This Row],[Surcoût moyens de l''équipement ($)]]+Tableau4[[#This Row],[Surcoût moyen de l''installation ($)]]</f>
        <v>5298.65</v>
      </c>
      <c r="K43" s="188">
        <f>Tableau4[[#This Row],[Surcoût par appareil ($)]]*Tableau4[[#This Row],[Nombres appareils installés]]</f>
        <v>5298.65</v>
      </c>
      <c r="L43" s="190">
        <v>1700</v>
      </c>
      <c r="M43" s="188">
        <f t="shared" si="1"/>
        <v>1975</v>
      </c>
      <c r="N43" s="188">
        <f>Tableau4[[#This Row],[AF 0 ($)]]/Tableau4[[#This Row],[Nombres appareils installés]]</f>
        <v>1975</v>
      </c>
      <c r="O43" s="191">
        <f>(Tableau4[[#This Row],[AF accordée ($)]])/($J$6*D43)</f>
        <v>0.42463905680171854</v>
      </c>
      <c r="P43" s="191">
        <f>Tableau4[[#This Row],[Couverture 0 (%)]]*Tableau4[[#This Row],[Nombres appareils installés]]</f>
        <v>0.42463905680171854</v>
      </c>
      <c r="Q43" s="188">
        <f>($Q$4+$R$4*(Tableau4[[#This Row],[Capacité (BTU)]]/1000))*Tableau4[[#This Row],[Nombres appareils installés]]</f>
        <v>3075</v>
      </c>
      <c r="R43" s="188">
        <f>Tableau4[[#This Row],[AF 1 ($)]]/Tableau4[[#This Row],[Nombres appareils installés]]</f>
        <v>3075</v>
      </c>
      <c r="S43" s="191">
        <f>Tableau4[[#This Row],[AF 1 ($)]]/(J43*D43)</f>
        <v>0.58033650080680932</v>
      </c>
      <c r="T43" s="191">
        <f>Tableau4[[#This Row],[Couverture 1 (%)]]*Tableau4[[#This Row],[Nombres appareils installés]]</f>
        <v>0.58033650080680932</v>
      </c>
      <c r="U43" s="188">
        <f>($U$4+($V$4*(Tableau4[[#This Row],[Capacité (BTU)]]/1000)))*Tableau4[[#This Row],[Nombres appareils installés]]</f>
        <v>3612.5</v>
      </c>
      <c r="V43" s="188">
        <f>Tableau4[[#This Row],[AF 2 ($)]]/Tableau4[[#This Row],[Nombres appareils installés]]</f>
        <v>3612.5</v>
      </c>
      <c r="W43" s="192">
        <f>Tableau4[[#This Row],[AF 2 par appareil ($)]]/Tableau4[[#This Row],[Surcoût par appareil ($)]]</f>
        <v>0.68177743387466627</v>
      </c>
      <c r="X43" s="192">
        <f>Tableau4[[#This Row],[Couverture 2 (%)]]*Tableau4[[#This Row],[Nombres appareils installés]]</f>
        <v>0.68177743387466627</v>
      </c>
      <c r="Y43" s="188">
        <f>($Y$4+$Z$4*(Tableau4[[#This Row],[Capacité (BTU)]]/1000))*Tableau4[[#This Row],[Nombres appareils installés]]</f>
        <v>3575</v>
      </c>
      <c r="Z43" s="188">
        <f>Tableau4[[#This Row],[AF 3 ($)]]/Tableau4[[#This Row],[Nombres appareils installés]]</f>
        <v>3575</v>
      </c>
      <c r="AA43" s="193">
        <f>Tableau4[[#This Row],[AF 3 par appareil ($)]]/Tableau4[[#This Row],[Surcoût par appareil ($)]]</f>
        <v>0.67470015947458317</v>
      </c>
      <c r="AB43" s="193">
        <f>Tableau4[[#This Row],[Couverture 3 (%)]]*Tableau4[[#This Row],[Nombres appareils installés]]</f>
        <v>0.67470015947458317</v>
      </c>
      <c r="AC43" s="188">
        <f>($AC$4+$AD$4*(Tableau4[[#This Row],[Capacité (BTU)]]/1000))*Tableau4[[#This Row],[Nombres appareils installés]]</f>
        <v>3060</v>
      </c>
      <c r="AD43" s="188">
        <f>Tableau4[[#This Row],[AF 4 ($)]]/Tableau4[[#This Row],[Nombres appareils installés]]</f>
        <v>3060</v>
      </c>
      <c r="AE43" s="194">
        <f>Tableau4[[#This Row],[Couverture 4 (%)]]*Tableau4[[#This Row],[Nombres appareils installés]]</f>
        <v>0.57750559104677612</v>
      </c>
      <c r="AF43" s="193">
        <f>Tableau4[[#This Row],[AF 4 par appareil  ($)]]/Tableau4[[#This Row],[Surcoût par appareil ($)]]</f>
        <v>0.57750559104677612</v>
      </c>
    </row>
    <row r="44" spans="2:32" x14ac:dyDescent="0.3">
      <c r="B44" s="187" t="s">
        <v>157</v>
      </c>
      <c r="C44" s="188" t="s">
        <v>182</v>
      </c>
      <c r="D44" s="188">
        <v>8</v>
      </c>
      <c r="E44" s="188">
        <v>215000</v>
      </c>
      <c r="F44" s="189">
        <f>Tableau4[[#This Row],[Economies totales (m3)]]/Tableau4[[#This Row],[Nombres appareils installés]]</f>
        <v>1068</v>
      </c>
      <c r="G44" s="190">
        <v>8544</v>
      </c>
      <c r="H44" s="188">
        <f t="shared" si="0"/>
        <v>2898.6499999999996</v>
      </c>
      <c r="I44" s="188">
        <v>2400</v>
      </c>
      <c r="J44" s="188">
        <f>Tableau4[[#This Row],[Surcoût moyens de l''équipement ($)]]+Tableau4[[#This Row],[Surcoût moyen de l''installation ($)]]</f>
        <v>5298.65</v>
      </c>
      <c r="K44" s="188">
        <f>Tableau4[[#This Row],[Surcoût par appareil ($)]]*Tableau4[[#This Row],[Nombres appareils installés]]</f>
        <v>42389.2</v>
      </c>
      <c r="L44" s="190">
        <v>13600</v>
      </c>
      <c r="M44" s="188">
        <f t="shared" si="1"/>
        <v>15800</v>
      </c>
      <c r="N44" s="188">
        <f>Tableau4[[#This Row],[AF 0 ($)]]/Tableau4[[#This Row],[Nombres appareils installés]]</f>
        <v>1975</v>
      </c>
      <c r="O44" s="191">
        <f>(Tableau4[[#This Row],[AF accordée ($)]])/($J$6*D44)</f>
        <v>0.42463905680171854</v>
      </c>
      <c r="P44" s="191">
        <f>Tableau4[[#This Row],[Couverture 0 (%)]]*Tableau4[[#This Row],[Nombres appareils installés]]</f>
        <v>3.3971124544137483</v>
      </c>
      <c r="Q44" s="188">
        <f>($Q$4+$R$4*(Tableau4[[#This Row],[Capacité (BTU)]]/1000))*Tableau4[[#This Row],[Nombres appareils installés]]</f>
        <v>24600</v>
      </c>
      <c r="R44" s="188">
        <f>Tableau4[[#This Row],[AF 1 ($)]]/Tableau4[[#This Row],[Nombres appareils installés]]</f>
        <v>3075</v>
      </c>
      <c r="S44" s="191">
        <f>Tableau4[[#This Row],[AF 1 ($)]]/(J44*D44)</f>
        <v>0.58033650080680932</v>
      </c>
      <c r="T44" s="191">
        <f>Tableau4[[#This Row],[Couverture 1 (%)]]*Tableau4[[#This Row],[Nombres appareils installés]]</f>
        <v>4.6426920064544746</v>
      </c>
      <c r="U44" s="188">
        <f>($U$4+($V$4*(Tableau4[[#This Row],[Capacité (BTU)]]/1000)))*Tableau4[[#This Row],[Nombres appareils installés]]</f>
        <v>28900</v>
      </c>
      <c r="V44" s="188">
        <f>Tableau4[[#This Row],[AF 2 ($)]]/Tableau4[[#This Row],[Nombres appareils installés]]</f>
        <v>3612.5</v>
      </c>
      <c r="W44" s="192">
        <f>Tableau4[[#This Row],[AF 2 par appareil ($)]]/Tableau4[[#This Row],[Surcoût par appareil ($)]]</f>
        <v>0.68177743387466627</v>
      </c>
      <c r="X44" s="192">
        <f>Tableau4[[#This Row],[Couverture 2 (%)]]*Tableau4[[#This Row],[Nombres appareils installés]]</f>
        <v>5.4542194709973302</v>
      </c>
      <c r="Y44" s="188">
        <f>($Y$4+$Z$4*(Tableau4[[#This Row],[Capacité (BTU)]]/1000))*Tableau4[[#This Row],[Nombres appareils installés]]</f>
        <v>28600</v>
      </c>
      <c r="Z44" s="188">
        <f>Tableau4[[#This Row],[AF 3 ($)]]/Tableau4[[#This Row],[Nombres appareils installés]]</f>
        <v>3575</v>
      </c>
      <c r="AA44" s="193">
        <f>Tableau4[[#This Row],[AF 3 par appareil ($)]]/Tableau4[[#This Row],[Surcoût par appareil ($)]]</f>
        <v>0.67470015947458317</v>
      </c>
      <c r="AB44" s="193">
        <f>Tableau4[[#This Row],[Couverture 3 (%)]]*Tableau4[[#This Row],[Nombres appareils installés]]</f>
        <v>5.3976012757966654</v>
      </c>
      <c r="AC44" s="188">
        <f>($AC$4+$AD$4*(Tableau4[[#This Row],[Capacité (BTU)]]/1000))*Tableau4[[#This Row],[Nombres appareils installés]]</f>
        <v>24480</v>
      </c>
      <c r="AD44" s="188">
        <f>Tableau4[[#This Row],[AF 4 ($)]]/Tableau4[[#This Row],[Nombres appareils installés]]</f>
        <v>3060</v>
      </c>
      <c r="AE44" s="194">
        <f>Tableau4[[#This Row],[Couverture 4 (%)]]*Tableau4[[#This Row],[Nombres appareils installés]]</f>
        <v>4.620044728374209</v>
      </c>
      <c r="AF44" s="193">
        <f>Tableau4[[#This Row],[AF 4 par appareil  ($)]]/Tableau4[[#This Row],[Surcoût par appareil ($)]]</f>
        <v>0.57750559104677612</v>
      </c>
    </row>
    <row r="45" spans="2:32" x14ac:dyDescent="0.3">
      <c r="B45" s="187" t="s">
        <v>157</v>
      </c>
      <c r="C45" s="188" t="s">
        <v>183</v>
      </c>
      <c r="D45" s="188">
        <v>21</v>
      </c>
      <c r="E45" s="188">
        <v>215000</v>
      </c>
      <c r="F45" s="189">
        <f>Tableau4[[#This Row],[Economies totales (m3)]]/Tableau4[[#This Row],[Nombres appareils installés]]</f>
        <v>1068</v>
      </c>
      <c r="G45" s="190">
        <v>22428</v>
      </c>
      <c r="H45" s="188">
        <f t="shared" si="0"/>
        <v>2898.6499999999996</v>
      </c>
      <c r="I45" s="188">
        <v>2400</v>
      </c>
      <c r="J45" s="188">
        <f>Tableau4[[#This Row],[Surcoût moyens de l''équipement ($)]]+Tableau4[[#This Row],[Surcoût moyen de l''installation ($)]]</f>
        <v>5298.65</v>
      </c>
      <c r="K45" s="188">
        <f>Tableau4[[#This Row],[Surcoût par appareil ($)]]*Tableau4[[#This Row],[Nombres appareils installés]]</f>
        <v>111271.65</v>
      </c>
      <c r="L45" s="190">
        <v>35700</v>
      </c>
      <c r="M45" s="188">
        <f t="shared" si="1"/>
        <v>41475</v>
      </c>
      <c r="N45" s="188">
        <f>Tableau4[[#This Row],[AF 0 ($)]]/Tableau4[[#This Row],[Nombres appareils installés]]</f>
        <v>1975</v>
      </c>
      <c r="O45" s="191">
        <f>(Tableau4[[#This Row],[AF accordée ($)]])/($J$6*D45)</f>
        <v>0.42463905680171848</v>
      </c>
      <c r="P45" s="191">
        <f>Tableau4[[#This Row],[Couverture 0 (%)]]*Tableau4[[#This Row],[Nombres appareils installés]]</f>
        <v>8.9174201928360883</v>
      </c>
      <c r="Q45" s="188">
        <f>($Q$4+$R$4*(Tableau4[[#This Row],[Capacité (BTU)]]/1000))*Tableau4[[#This Row],[Nombres appareils installés]]</f>
        <v>64575</v>
      </c>
      <c r="R45" s="188">
        <f>Tableau4[[#This Row],[AF 1 ($)]]/Tableau4[[#This Row],[Nombres appareils installés]]</f>
        <v>3075</v>
      </c>
      <c r="S45" s="191">
        <f>Tableau4[[#This Row],[AF 1 ($)]]/(J45*D45)</f>
        <v>0.58033650080680932</v>
      </c>
      <c r="T45" s="191">
        <f>Tableau4[[#This Row],[Couverture 1 (%)]]*Tableau4[[#This Row],[Nombres appareils installés]]</f>
        <v>12.187066516942995</v>
      </c>
      <c r="U45" s="188">
        <f>($U$4+($V$4*(Tableau4[[#This Row],[Capacité (BTU)]]/1000)))*Tableau4[[#This Row],[Nombres appareils installés]]</f>
        <v>75862.5</v>
      </c>
      <c r="V45" s="188">
        <f>Tableau4[[#This Row],[AF 2 ($)]]/Tableau4[[#This Row],[Nombres appareils installés]]</f>
        <v>3612.5</v>
      </c>
      <c r="W45" s="192">
        <f>Tableau4[[#This Row],[AF 2 par appareil ($)]]/Tableau4[[#This Row],[Surcoût par appareil ($)]]</f>
        <v>0.68177743387466627</v>
      </c>
      <c r="X45" s="192">
        <f>Tableau4[[#This Row],[Couverture 2 (%)]]*Tableau4[[#This Row],[Nombres appareils installés]]</f>
        <v>14.317326111367992</v>
      </c>
      <c r="Y45" s="188">
        <f>($Y$4+$Z$4*(Tableau4[[#This Row],[Capacité (BTU)]]/1000))*Tableau4[[#This Row],[Nombres appareils installés]]</f>
        <v>75075</v>
      </c>
      <c r="Z45" s="188">
        <f>Tableau4[[#This Row],[AF 3 ($)]]/Tableau4[[#This Row],[Nombres appareils installés]]</f>
        <v>3575</v>
      </c>
      <c r="AA45" s="193">
        <f>Tableau4[[#This Row],[AF 3 par appareil ($)]]/Tableau4[[#This Row],[Surcoût par appareil ($)]]</f>
        <v>0.67470015947458317</v>
      </c>
      <c r="AB45" s="193">
        <f>Tableau4[[#This Row],[Couverture 3 (%)]]*Tableau4[[#This Row],[Nombres appareils installés]]</f>
        <v>14.168703348966247</v>
      </c>
      <c r="AC45" s="188">
        <f>($AC$4+$AD$4*(Tableau4[[#This Row],[Capacité (BTU)]]/1000))*Tableau4[[#This Row],[Nombres appareils installés]]</f>
        <v>64260</v>
      </c>
      <c r="AD45" s="188">
        <f>Tableau4[[#This Row],[AF 4 ($)]]/Tableau4[[#This Row],[Nombres appareils installés]]</f>
        <v>3060</v>
      </c>
      <c r="AE45" s="194">
        <f>Tableau4[[#This Row],[Couverture 4 (%)]]*Tableau4[[#This Row],[Nombres appareils installés]]</f>
        <v>12.127617411982298</v>
      </c>
      <c r="AF45" s="193">
        <f>Tableau4[[#This Row],[AF 4 par appareil  ($)]]/Tableau4[[#This Row],[Surcoût par appareil ($)]]</f>
        <v>0.57750559104677612</v>
      </c>
    </row>
    <row r="46" spans="2:32" x14ac:dyDescent="0.3">
      <c r="B46" s="187" t="s">
        <v>157</v>
      </c>
      <c r="C46" s="188" t="s">
        <v>184</v>
      </c>
      <c r="D46" s="188">
        <v>1</v>
      </c>
      <c r="E46" s="188">
        <v>260000</v>
      </c>
      <c r="F46" s="189">
        <f>Tableau4[[#This Row],[Economies totales (m3)]]/Tableau4[[#This Row],[Nombres appareils installés]]</f>
        <v>1068</v>
      </c>
      <c r="G46" s="190">
        <v>1068</v>
      </c>
      <c r="H46" s="188">
        <f t="shared" si="0"/>
        <v>3535.3999999999996</v>
      </c>
      <c r="I46" s="188">
        <v>2400</v>
      </c>
      <c r="J46" s="188">
        <f>Tableau4[[#This Row],[Surcoût moyens de l''équipement ($)]]+Tableau4[[#This Row],[Surcoût moyen de l''installation ($)]]</f>
        <v>5935.4</v>
      </c>
      <c r="K46" s="188">
        <f>Tableau4[[#This Row],[Surcoût par appareil ($)]]*Tableau4[[#This Row],[Nombres appareils installés]]</f>
        <v>5935.4</v>
      </c>
      <c r="L46" s="190">
        <v>1700</v>
      </c>
      <c r="M46" s="188">
        <f t="shared" si="1"/>
        <v>2200</v>
      </c>
      <c r="N46" s="188">
        <f>Tableau4[[#This Row],[AF 0 ($)]]/Tableau4[[#This Row],[Nombres appareils installés]]</f>
        <v>2200</v>
      </c>
      <c r="O46" s="191">
        <f>(Tableau4[[#This Row],[AF accordée ($)]])/($J$6*D46)</f>
        <v>0.42463905680171854</v>
      </c>
      <c r="P46" s="191">
        <f>Tableau4[[#This Row],[Couverture 0 (%)]]*Tableau4[[#This Row],[Nombres appareils installés]]</f>
        <v>0.42463905680171854</v>
      </c>
      <c r="Q46" s="188">
        <f>($Q$4+$R$4*(Tableau4[[#This Row],[Capacité (BTU)]]/1000))*Tableau4[[#This Row],[Nombres appareils installés]]</f>
        <v>3300</v>
      </c>
      <c r="R46" s="188">
        <f>Tableau4[[#This Row],[AF 1 ($)]]/Tableau4[[#This Row],[Nombres appareils installés]]</f>
        <v>3300</v>
      </c>
      <c r="S46" s="191">
        <f>Tableau4[[#This Row],[AF 1 ($)]]/(J46*D46)</f>
        <v>0.55598611719513436</v>
      </c>
      <c r="T46" s="191">
        <f>Tableau4[[#This Row],[Couverture 1 (%)]]*Tableau4[[#This Row],[Nombres appareils installés]]</f>
        <v>0.55598611719513436</v>
      </c>
      <c r="U46" s="188">
        <f>($U$4+($V$4*(Tableau4[[#This Row],[Capacité (BTU)]]/1000)))*Tableau4[[#This Row],[Nombres appareils installés]]</f>
        <v>3950</v>
      </c>
      <c r="V46" s="188">
        <f>Tableau4[[#This Row],[AF 2 ($)]]/Tableau4[[#This Row],[Nombres appareils installés]]</f>
        <v>3950</v>
      </c>
      <c r="W46" s="192">
        <f>Tableau4[[#This Row],[AF 2 par appareil ($)]]/Tableau4[[#This Row],[Surcoût par appareil ($)]]</f>
        <v>0.66549853421841831</v>
      </c>
      <c r="X46" s="192">
        <f>Tableau4[[#This Row],[Couverture 2 (%)]]*Tableau4[[#This Row],[Nombres appareils installés]]</f>
        <v>0.66549853421841831</v>
      </c>
      <c r="Y46" s="188">
        <f>($Y$4+$Z$4*(Tableau4[[#This Row],[Capacité (BTU)]]/1000))*Tableau4[[#This Row],[Nombres appareils installés]]</f>
        <v>3800</v>
      </c>
      <c r="Z46" s="188">
        <f>Tableau4[[#This Row],[AF 3 ($)]]/Tableau4[[#This Row],[Nombres appareils installés]]</f>
        <v>3800</v>
      </c>
      <c r="AA46" s="193">
        <f>Tableau4[[#This Row],[AF 3 par appareil ($)]]/Tableau4[[#This Row],[Surcoût par appareil ($)]]</f>
        <v>0.64022643798227585</v>
      </c>
      <c r="AB46" s="193">
        <f>Tableau4[[#This Row],[Couverture 3 (%)]]*Tableau4[[#This Row],[Nombres appareils installés]]</f>
        <v>0.64022643798227585</v>
      </c>
      <c r="AC46" s="188">
        <f>($AC$4+$AD$4*(Tableau4[[#This Row],[Capacité (BTU)]]/1000))*Tableau4[[#This Row],[Nombres appareils installés]]</f>
        <v>3240</v>
      </c>
      <c r="AD46" s="188">
        <f>Tableau4[[#This Row],[AF 4 ($)]]/Tableau4[[#This Row],[Nombres appareils installés]]</f>
        <v>3240</v>
      </c>
      <c r="AE46" s="194">
        <f>Tableau4[[#This Row],[Couverture 4 (%)]]*Tableau4[[#This Row],[Nombres appareils installés]]</f>
        <v>0.54587727870067737</v>
      </c>
      <c r="AF46" s="193">
        <f>Tableau4[[#This Row],[AF 4 par appareil  ($)]]/Tableau4[[#This Row],[Surcoût par appareil ($)]]</f>
        <v>0.54587727870067737</v>
      </c>
    </row>
    <row r="47" spans="2:32" x14ac:dyDescent="0.3">
      <c r="B47" s="187" t="s">
        <v>157</v>
      </c>
      <c r="C47" s="188" t="s">
        <v>168</v>
      </c>
      <c r="D47" s="188">
        <v>1</v>
      </c>
      <c r="E47" s="188">
        <v>260000</v>
      </c>
      <c r="F47" s="189">
        <f>Tableau4[[#This Row],[Economies totales (m3)]]/Tableau4[[#This Row],[Nombres appareils installés]]</f>
        <v>1068</v>
      </c>
      <c r="G47" s="190">
        <v>1068</v>
      </c>
      <c r="H47" s="188">
        <f t="shared" si="0"/>
        <v>3535.3999999999996</v>
      </c>
      <c r="I47" s="188">
        <v>2400</v>
      </c>
      <c r="J47" s="188">
        <f>Tableau4[[#This Row],[Surcoût moyens de l''équipement ($)]]+Tableau4[[#This Row],[Surcoût moyen de l''installation ($)]]</f>
        <v>5935.4</v>
      </c>
      <c r="K47" s="188">
        <f>Tableau4[[#This Row],[Surcoût par appareil ($)]]*Tableau4[[#This Row],[Nombres appareils installés]]</f>
        <v>5935.4</v>
      </c>
      <c r="L47" s="190">
        <v>1700</v>
      </c>
      <c r="M47" s="188">
        <f t="shared" si="1"/>
        <v>2200</v>
      </c>
      <c r="N47" s="188">
        <f>Tableau4[[#This Row],[AF 0 ($)]]/Tableau4[[#This Row],[Nombres appareils installés]]</f>
        <v>2200</v>
      </c>
      <c r="O47" s="191">
        <f>(Tableau4[[#This Row],[AF accordée ($)]])/($J$6*D47)</f>
        <v>0.42463905680171854</v>
      </c>
      <c r="P47" s="191">
        <f>Tableau4[[#This Row],[Couverture 0 (%)]]*Tableau4[[#This Row],[Nombres appareils installés]]</f>
        <v>0.42463905680171854</v>
      </c>
      <c r="Q47" s="188">
        <f>($Q$4+$R$4*(Tableau4[[#This Row],[Capacité (BTU)]]/1000))*Tableau4[[#This Row],[Nombres appareils installés]]</f>
        <v>3300</v>
      </c>
      <c r="R47" s="188">
        <f>Tableau4[[#This Row],[AF 1 ($)]]/Tableau4[[#This Row],[Nombres appareils installés]]</f>
        <v>3300</v>
      </c>
      <c r="S47" s="191">
        <f>Tableau4[[#This Row],[AF 1 ($)]]/(J47*D47)</f>
        <v>0.55598611719513436</v>
      </c>
      <c r="T47" s="191">
        <f>Tableau4[[#This Row],[Couverture 1 (%)]]*Tableau4[[#This Row],[Nombres appareils installés]]</f>
        <v>0.55598611719513436</v>
      </c>
      <c r="U47" s="188">
        <f>($U$4+($V$4*(Tableau4[[#This Row],[Capacité (BTU)]]/1000)))*Tableau4[[#This Row],[Nombres appareils installés]]</f>
        <v>3950</v>
      </c>
      <c r="V47" s="188">
        <f>Tableau4[[#This Row],[AF 2 ($)]]/Tableau4[[#This Row],[Nombres appareils installés]]</f>
        <v>3950</v>
      </c>
      <c r="W47" s="192">
        <f>Tableau4[[#This Row],[AF 2 par appareil ($)]]/Tableau4[[#This Row],[Surcoût par appareil ($)]]</f>
        <v>0.66549853421841831</v>
      </c>
      <c r="X47" s="192">
        <f>Tableau4[[#This Row],[Couverture 2 (%)]]*Tableau4[[#This Row],[Nombres appareils installés]]</f>
        <v>0.66549853421841831</v>
      </c>
      <c r="Y47" s="188">
        <f>($Y$4+$Z$4*(Tableau4[[#This Row],[Capacité (BTU)]]/1000))*Tableau4[[#This Row],[Nombres appareils installés]]</f>
        <v>3800</v>
      </c>
      <c r="Z47" s="188">
        <f>Tableau4[[#This Row],[AF 3 ($)]]/Tableau4[[#This Row],[Nombres appareils installés]]</f>
        <v>3800</v>
      </c>
      <c r="AA47" s="193">
        <f>Tableau4[[#This Row],[AF 3 par appareil ($)]]/Tableau4[[#This Row],[Surcoût par appareil ($)]]</f>
        <v>0.64022643798227585</v>
      </c>
      <c r="AB47" s="193">
        <f>Tableau4[[#This Row],[Couverture 3 (%)]]*Tableau4[[#This Row],[Nombres appareils installés]]</f>
        <v>0.64022643798227585</v>
      </c>
      <c r="AC47" s="188">
        <f>($AC$4+$AD$4*(Tableau4[[#This Row],[Capacité (BTU)]]/1000))*Tableau4[[#This Row],[Nombres appareils installés]]</f>
        <v>3240</v>
      </c>
      <c r="AD47" s="188">
        <f>Tableau4[[#This Row],[AF 4 ($)]]/Tableau4[[#This Row],[Nombres appareils installés]]</f>
        <v>3240</v>
      </c>
      <c r="AE47" s="194">
        <f>Tableau4[[#This Row],[Couverture 4 (%)]]*Tableau4[[#This Row],[Nombres appareils installés]]</f>
        <v>0.54587727870067737</v>
      </c>
      <c r="AF47" s="193">
        <f>Tableau4[[#This Row],[AF 4 par appareil  ($)]]/Tableau4[[#This Row],[Surcoût par appareil ($)]]</f>
        <v>0.54587727870067737</v>
      </c>
    </row>
    <row r="48" spans="2:32" x14ac:dyDescent="0.3">
      <c r="B48" s="187" t="s">
        <v>157</v>
      </c>
      <c r="C48" s="188" t="s">
        <v>168</v>
      </c>
      <c r="D48" s="188">
        <v>1</v>
      </c>
      <c r="E48" s="188">
        <v>260000</v>
      </c>
      <c r="F48" s="189">
        <f>Tableau4[[#This Row],[Economies totales (m3)]]/Tableau4[[#This Row],[Nombres appareils installés]]</f>
        <v>1068</v>
      </c>
      <c r="G48" s="190">
        <v>1068</v>
      </c>
      <c r="H48" s="188">
        <f t="shared" si="0"/>
        <v>3535.3999999999996</v>
      </c>
      <c r="I48" s="188">
        <v>2400</v>
      </c>
      <c r="J48" s="188">
        <f>Tableau4[[#This Row],[Surcoût moyens de l''équipement ($)]]+Tableau4[[#This Row],[Surcoût moyen de l''installation ($)]]</f>
        <v>5935.4</v>
      </c>
      <c r="K48" s="188">
        <f>Tableau4[[#This Row],[Surcoût par appareil ($)]]*Tableau4[[#This Row],[Nombres appareils installés]]</f>
        <v>5935.4</v>
      </c>
      <c r="L48" s="190">
        <v>1700</v>
      </c>
      <c r="M48" s="188">
        <f t="shared" si="1"/>
        <v>2200</v>
      </c>
      <c r="N48" s="188">
        <f>Tableau4[[#This Row],[AF 0 ($)]]/Tableau4[[#This Row],[Nombres appareils installés]]</f>
        <v>2200</v>
      </c>
      <c r="O48" s="191">
        <f>(Tableau4[[#This Row],[AF accordée ($)]])/($J$6*D48)</f>
        <v>0.42463905680171854</v>
      </c>
      <c r="P48" s="191">
        <f>Tableau4[[#This Row],[Couverture 0 (%)]]*Tableau4[[#This Row],[Nombres appareils installés]]</f>
        <v>0.42463905680171854</v>
      </c>
      <c r="Q48" s="188">
        <f>($Q$4+$R$4*(Tableau4[[#This Row],[Capacité (BTU)]]/1000))*Tableau4[[#This Row],[Nombres appareils installés]]</f>
        <v>3300</v>
      </c>
      <c r="R48" s="188">
        <f>Tableau4[[#This Row],[AF 1 ($)]]/Tableau4[[#This Row],[Nombres appareils installés]]</f>
        <v>3300</v>
      </c>
      <c r="S48" s="191">
        <f>Tableau4[[#This Row],[AF 1 ($)]]/(J48*D48)</f>
        <v>0.55598611719513436</v>
      </c>
      <c r="T48" s="191">
        <f>Tableau4[[#This Row],[Couverture 1 (%)]]*Tableau4[[#This Row],[Nombres appareils installés]]</f>
        <v>0.55598611719513436</v>
      </c>
      <c r="U48" s="188">
        <f>($U$4+($V$4*(Tableau4[[#This Row],[Capacité (BTU)]]/1000)))*Tableau4[[#This Row],[Nombres appareils installés]]</f>
        <v>3950</v>
      </c>
      <c r="V48" s="188">
        <f>Tableau4[[#This Row],[AF 2 ($)]]/Tableau4[[#This Row],[Nombres appareils installés]]</f>
        <v>3950</v>
      </c>
      <c r="W48" s="192">
        <f>Tableau4[[#This Row],[AF 2 par appareil ($)]]/Tableau4[[#This Row],[Surcoût par appareil ($)]]</f>
        <v>0.66549853421841831</v>
      </c>
      <c r="X48" s="192">
        <f>Tableau4[[#This Row],[Couverture 2 (%)]]*Tableau4[[#This Row],[Nombres appareils installés]]</f>
        <v>0.66549853421841831</v>
      </c>
      <c r="Y48" s="188">
        <f>($Y$4+$Z$4*(Tableau4[[#This Row],[Capacité (BTU)]]/1000))*Tableau4[[#This Row],[Nombres appareils installés]]</f>
        <v>3800</v>
      </c>
      <c r="Z48" s="188">
        <f>Tableau4[[#This Row],[AF 3 ($)]]/Tableau4[[#This Row],[Nombres appareils installés]]</f>
        <v>3800</v>
      </c>
      <c r="AA48" s="193">
        <f>Tableau4[[#This Row],[AF 3 par appareil ($)]]/Tableau4[[#This Row],[Surcoût par appareil ($)]]</f>
        <v>0.64022643798227585</v>
      </c>
      <c r="AB48" s="193">
        <f>Tableau4[[#This Row],[Couverture 3 (%)]]*Tableau4[[#This Row],[Nombres appareils installés]]</f>
        <v>0.64022643798227585</v>
      </c>
      <c r="AC48" s="188">
        <f>($AC$4+$AD$4*(Tableau4[[#This Row],[Capacité (BTU)]]/1000))*Tableau4[[#This Row],[Nombres appareils installés]]</f>
        <v>3240</v>
      </c>
      <c r="AD48" s="188">
        <f>Tableau4[[#This Row],[AF 4 ($)]]/Tableau4[[#This Row],[Nombres appareils installés]]</f>
        <v>3240</v>
      </c>
      <c r="AE48" s="194">
        <f>Tableau4[[#This Row],[Couverture 4 (%)]]*Tableau4[[#This Row],[Nombres appareils installés]]</f>
        <v>0.54587727870067737</v>
      </c>
      <c r="AF48" s="193">
        <f>Tableau4[[#This Row],[AF 4 par appareil  ($)]]/Tableau4[[#This Row],[Surcoût par appareil ($)]]</f>
        <v>0.54587727870067737</v>
      </c>
    </row>
    <row r="49" spans="2:32" x14ac:dyDescent="0.3">
      <c r="B49" s="187" t="s">
        <v>157</v>
      </c>
      <c r="C49" s="188" t="s">
        <v>168</v>
      </c>
      <c r="D49" s="188">
        <v>1</v>
      </c>
      <c r="E49" s="188">
        <v>260000</v>
      </c>
      <c r="F49" s="189">
        <f>Tableau4[[#This Row],[Economies totales (m3)]]/Tableau4[[#This Row],[Nombres appareils installés]]</f>
        <v>1068</v>
      </c>
      <c r="G49" s="190">
        <v>1068</v>
      </c>
      <c r="H49" s="188">
        <f t="shared" si="0"/>
        <v>3535.3999999999996</v>
      </c>
      <c r="I49" s="188">
        <v>2400</v>
      </c>
      <c r="J49" s="188">
        <f>Tableau4[[#This Row],[Surcoût moyens de l''équipement ($)]]+Tableau4[[#This Row],[Surcoût moyen de l''installation ($)]]</f>
        <v>5935.4</v>
      </c>
      <c r="K49" s="188">
        <f>Tableau4[[#This Row],[Surcoût par appareil ($)]]*Tableau4[[#This Row],[Nombres appareils installés]]</f>
        <v>5935.4</v>
      </c>
      <c r="L49" s="190">
        <v>1700</v>
      </c>
      <c r="M49" s="188">
        <f t="shared" si="1"/>
        <v>2200</v>
      </c>
      <c r="N49" s="188">
        <f>Tableau4[[#This Row],[AF 0 ($)]]/Tableau4[[#This Row],[Nombres appareils installés]]</f>
        <v>2200</v>
      </c>
      <c r="O49" s="191">
        <f>(Tableau4[[#This Row],[AF accordée ($)]])/($J$6*D49)</f>
        <v>0.42463905680171854</v>
      </c>
      <c r="P49" s="191">
        <f>Tableau4[[#This Row],[Couverture 0 (%)]]*Tableau4[[#This Row],[Nombres appareils installés]]</f>
        <v>0.42463905680171854</v>
      </c>
      <c r="Q49" s="188">
        <f>($Q$4+$R$4*(Tableau4[[#This Row],[Capacité (BTU)]]/1000))*Tableau4[[#This Row],[Nombres appareils installés]]</f>
        <v>3300</v>
      </c>
      <c r="R49" s="188">
        <f>Tableau4[[#This Row],[AF 1 ($)]]/Tableau4[[#This Row],[Nombres appareils installés]]</f>
        <v>3300</v>
      </c>
      <c r="S49" s="191">
        <f>Tableau4[[#This Row],[AF 1 ($)]]/(J49*D49)</f>
        <v>0.55598611719513436</v>
      </c>
      <c r="T49" s="191">
        <f>Tableau4[[#This Row],[Couverture 1 (%)]]*Tableau4[[#This Row],[Nombres appareils installés]]</f>
        <v>0.55598611719513436</v>
      </c>
      <c r="U49" s="188">
        <f>($U$4+($V$4*(Tableau4[[#This Row],[Capacité (BTU)]]/1000)))*Tableau4[[#This Row],[Nombres appareils installés]]</f>
        <v>3950</v>
      </c>
      <c r="V49" s="188">
        <f>Tableau4[[#This Row],[AF 2 ($)]]/Tableau4[[#This Row],[Nombres appareils installés]]</f>
        <v>3950</v>
      </c>
      <c r="W49" s="192">
        <f>Tableau4[[#This Row],[AF 2 par appareil ($)]]/Tableau4[[#This Row],[Surcoût par appareil ($)]]</f>
        <v>0.66549853421841831</v>
      </c>
      <c r="X49" s="192">
        <f>Tableau4[[#This Row],[Couverture 2 (%)]]*Tableau4[[#This Row],[Nombres appareils installés]]</f>
        <v>0.66549853421841831</v>
      </c>
      <c r="Y49" s="188">
        <f>($Y$4+$Z$4*(Tableau4[[#This Row],[Capacité (BTU)]]/1000))*Tableau4[[#This Row],[Nombres appareils installés]]</f>
        <v>3800</v>
      </c>
      <c r="Z49" s="188">
        <f>Tableau4[[#This Row],[AF 3 ($)]]/Tableau4[[#This Row],[Nombres appareils installés]]</f>
        <v>3800</v>
      </c>
      <c r="AA49" s="193">
        <f>Tableau4[[#This Row],[AF 3 par appareil ($)]]/Tableau4[[#This Row],[Surcoût par appareil ($)]]</f>
        <v>0.64022643798227585</v>
      </c>
      <c r="AB49" s="193">
        <f>Tableau4[[#This Row],[Couverture 3 (%)]]*Tableau4[[#This Row],[Nombres appareils installés]]</f>
        <v>0.64022643798227585</v>
      </c>
      <c r="AC49" s="188">
        <f>($AC$4+$AD$4*(Tableau4[[#This Row],[Capacité (BTU)]]/1000))*Tableau4[[#This Row],[Nombres appareils installés]]</f>
        <v>3240</v>
      </c>
      <c r="AD49" s="188">
        <f>Tableau4[[#This Row],[AF 4 ($)]]/Tableau4[[#This Row],[Nombres appareils installés]]</f>
        <v>3240</v>
      </c>
      <c r="AE49" s="194">
        <f>Tableau4[[#This Row],[Couverture 4 (%)]]*Tableau4[[#This Row],[Nombres appareils installés]]</f>
        <v>0.54587727870067737</v>
      </c>
      <c r="AF49" s="193">
        <f>Tableau4[[#This Row],[AF 4 par appareil  ($)]]/Tableau4[[#This Row],[Surcoût par appareil ($)]]</f>
        <v>0.54587727870067737</v>
      </c>
    </row>
    <row r="50" spans="2:32" x14ac:dyDescent="0.3">
      <c r="B50" s="187" t="s">
        <v>157</v>
      </c>
      <c r="C50" s="188" t="s">
        <v>168</v>
      </c>
      <c r="D50" s="188">
        <v>2</v>
      </c>
      <c r="E50" s="188">
        <v>260000</v>
      </c>
      <c r="F50" s="189">
        <f>Tableau4[[#This Row],[Economies totales (m3)]]/Tableau4[[#This Row],[Nombres appareils installés]]</f>
        <v>1068</v>
      </c>
      <c r="G50" s="190">
        <v>2136</v>
      </c>
      <c r="H50" s="188">
        <f t="shared" si="0"/>
        <v>3535.3999999999996</v>
      </c>
      <c r="I50" s="188">
        <v>2400</v>
      </c>
      <c r="J50" s="188">
        <f>Tableau4[[#This Row],[Surcoût moyens de l''équipement ($)]]+Tableau4[[#This Row],[Surcoût moyen de l''installation ($)]]</f>
        <v>5935.4</v>
      </c>
      <c r="K50" s="188">
        <f>Tableau4[[#This Row],[Surcoût par appareil ($)]]*Tableau4[[#This Row],[Nombres appareils installés]]</f>
        <v>11870.8</v>
      </c>
      <c r="L50" s="190">
        <v>3400</v>
      </c>
      <c r="M50" s="188">
        <f t="shared" si="1"/>
        <v>4400</v>
      </c>
      <c r="N50" s="188">
        <f>Tableau4[[#This Row],[AF 0 ($)]]/Tableau4[[#This Row],[Nombres appareils installés]]</f>
        <v>2200</v>
      </c>
      <c r="O50" s="191">
        <f>(Tableau4[[#This Row],[AF accordée ($)]])/($J$6*D50)</f>
        <v>0.42463905680171854</v>
      </c>
      <c r="P50" s="191">
        <f>Tableau4[[#This Row],[Couverture 0 (%)]]*Tableau4[[#This Row],[Nombres appareils installés]]</f>
        <v>0.84927811360343708</v>
      </c>
      <c r="Q50" s="188">
        <f>($Q$4+$R$4*(Tableau4[[#This Row],[Capacité (BTU)]]/1000))*Tableau4[[#This Row],[Nombres appareils installés]]</f>
        <v>6600</v>
      </c>
      <c r="R50" s="188">
        <f>Tableau4[[#This Row],[AF 1 ($)]]/Tableau4[[#This Row],[Nombres appareils installés]]</f>
        <v>3300</v>
      </c>
      <c r="S50" s="191">
        <f>Tableau4[[#This Row],[AF 1 ($)]]/(J50*D50)</f>
        <v>0.55598611719513436</v>
      </c>
      <c r="T50" s="191">
        <f>Tableau4[[#This Row],[Couverture 1 (%)]]*Tableau4[[#This Row],[Nombres appareils installés]]</f>
        <v>1.1119722343902687</v>
      </c>
      <c r="U50" s="188">
        <f>($U$4+($V$4*(Tableau4[[#This Row],[Capacité (BTU)]]/1000)))*Tableau4[[#This Row],[Nombres appareils installés]]</f>
        <v>7900</v>
      </c>
      <c r="V50" s="188">
        <f>Tableau4[[#This Row],[AF 2 ($)]]/Tableau4[[#This Row],[Nombres appareils installés]]</f>
        <v>3950</v>
      </c>
      <c r="W50" s="192">
        <f>Tableau4[[#This Row],[AF 2 par appareil ($)]]/Tableau4[[#This Row],[Surcoût par appareil ($)]]</f>
        <v>0.66549853421841831</v>
      </c>
      <c r="X50" s="192">
        <f>Tableau4[[#This Row],[Couverture 2 (%)]]*Tableau4[[#This Row],[Nombres appareils installés]]</f>
        <v>1.3309970684368366</v>
      </c>
      <c r="Y50" s="188">
        <f>($Y$4+$Z$4*(Tableau4[[#This Row],[Capacité (BTU)]]/1000))*Tableau4[[#This Row],[Nombres appareils installés]]</f>
        <v>7600</v>
      </c>
      <c r="Z50" s="188">
        <f>Tableau4[[#This Row],[AF 3 ($)]]/Tableau4[[#This Row],[Nombres appareils installés]]</f>
        <v>3800</v>
      </c>
      <c r="AA50" s="193">
        <f>Tableau4[[#This Row],[AF 3 par appareil ($)]]/Tableau4[[#This Row],[Surcoût par appareil ($)]]</f>
        <v>0.64022643798227585</v>
      </c>
      <c r="AB50" s="193">
        <f>Tableau4[[#This Row],[Couverture 3 (%)]]*Tableau4[[#This Row],[Nombres appareils installés]]</f>
        <v>1.2804528759645517</v>
      </c>
      <c r="AC50" s="188">
        <f>($AC$4+$AD$4*(Tableau4[[#This Row],[Capacité (BTU)]]/1000))*Tableau4[[#This Row],[Nombres appareils installés]]</f>
        <v>6480</v>
      </c>
      <c r="AD50" s="188">
        <f>Tableau4[[#This Row],[AF 4 ($)]]/Tableau4[[#This Row],[Nombres appareils installés]]</f>
        <v>3240</v>
      </c>
      <c r="AE50" s="194">
        <f>Tableau4[[#This Row],[Couverture 4 (%)]]*Tableau4[[#This Row],[Nombres appareils installés]]</f>
        <v>1.0917545574013547</v>
      </c>
      <c r="AF50" s="193">
        <f>Tableau4[[#This Row],[AF 4 par appareil  ($)]]/Tableau4[[#This Row],[Surcoût par appareil ($)]]</f>
        <v>0.54587727870067737</v>
      </c>
    </row>
    <row r="51" spans="2:32" x14ac:dyDescent="0.3">
      <c r="B51" s="187" t="s">
        <v>157</v>
      </c>
      <c r="C51" s="188" t="s">
        <v>179</v>
      </c>
      <c r="D51" s="188">
        <v>5</v>
      </c>
      <c r="E51" s="188">
        <v>260000</v>
      </c>
      <c r="F51" s="189">
        <f>Tableau4[[#This Row],[Economies totales (m3)]]/Tableau4[[#This Row],[Nombres appareils installés]]</f>
        <v>1068</v>
      </c>
      <c r="G51" s="190">
        <v>5340</v>
      </c>
      <c r="H51" s="188">
        <f t="shared" si="0"/>
        <v>3535.3999999999996</v>
      </c>
      <c r="I51" s="188">
        <v>2400</v>
      </c>
      <c r="J51" s="188">
        <f>Tableau4[[#This Row],[Surcoût moyens de l''équipement ($)]]+Tableau4[[#This Row],[Surcoût moyen de l''installation ($)]]</f>
        <v>5935.4</v>
      </c>
      <c r="K51" s="188">
        <f>Tableau4[[#This Row],[Surcoût par appareil ($)]]*Tableau4[[#This Row],[Nombres appareils installés]]</f>
        <v>29677</v>
      </c>
      <c r="L51" s="190">
        <v>8500</v>
      </c>
      <c r="M51" s="188">
        <f t="shared" si="1"/>
        <v>11000</v>
      </c>
      <c r="N51" s="188">
        <f>Tableau4[[#This Row],[AF 0 ($)]]/Tableau4[[#This Row],[Nombres appareils installés]]</f>
        <v>2200</v>
      </c>
      <c r="O51" s="191">
        <f>(Tableau4[[#This Row],[AF accordée ($)]])/($J$6*D51)</f>
        <v>0.42463905680171854</v>
      </c>
      <c r="P51" s="191">
        <f>Tableau4[[#This Row],[Couverture 0 (%)]]*Tableau4[[#This Row],[Nombres appareils installés]]</f>
        <v>2.1231952840085926</v>
      </c>
      <c r="Q51" s="188">
        <f>($Q$4+$R$4*(Tableau4[[#This Row],[Capacité (BTU)]]/1000))*Tableau4[[#This Row],[Nombres appareils installés]]</f>
        <v>16500</v>
      </c>
      <c r="R51" s="188">
        <f>Tableau4[[#This Row],[AF 1 ($)]]/Tableau4[[#This Row],[Nombres appareils installés]]</f>
        <v>3300</v>
      </c>
      <c r="S51" s="191">
        <f>Tableau4[[#This Row],[AF 1 ($)]]/(J51*D51)</f>
        <v>0.55598611719513424</v>
      </c>
      <c r="T51" s="191">
        <f>Tableau4[[#This Row],[Couverture 1 (%)]]*Tableau4[[#This Row],[Nombres appareils installés]]</f>
        <v>2.7799305859756713</v>
      </c>
      <c r="U51" s="188">
        <f>($U$4+($V$4*(Tableau4[[#This Row],[Capacité (BTU)]]/1000)))*Tableau4[[#This Row],[Nombres appareils installés]]</f>
        <v>19750</v>
      </c>
      <c r="V51" s="188">
        <f>Tableau4[[#This Row],[AF 2 ($)]]/Tableau4[[#This Row],[Nombres appareils installés]]</f>
        <v>3950</v>
      </c>
      <c r="W51" s="192">
        <f>Tableau4[[#This Row],[AF 2 par appareil ($)]]/Tableau4[[#This Row],[Surcoût par appareil ($)]]</f>
        <v>0.66549853421841831</v>
      </c>
      <c r="X51" s="192">
        <f>Tableau4[[#This Row],[Couverture 2 (%)]]*Tableau4[[#This Row],[Nombres appareils installés]]</f>
        <v>3.3274926710920916</v>
      </c>
      <c r="Y51" s="188">
        <f>($Y$4+$Z$4*(Tableau4[[#This Row],[Capacité (BTU)]]/1000))*Tableau4[[#This Row],[Nombres appareils installés]]</f>
        <v>19000</v>
      </c>
      <c r="Z51" s="188">
        <f>Tableau4[[#This Row],[AF 3 ($)]]/Tableau4[[#This Row],[Nombres appareils installés]]</f>
        <v>3800</v>
      </c>
      <c r="AA51" s="193">
        <f>Tableau4[[#This Row],[AF 3 par appareil ($)]]/Tableau4[[#This Row],[Surcoût par appareil ($)]]</f>
        <v>0.64022643798227585</v>
      </c>
      <c r="AB51" s="193">
        <f>Tableau4[[#This Row],[Couverture 3 (%)]]*Tableau4[[#This Row],[Nombres appareils installés]]</f>
        <v>3.2011321899113794</v>
      </c>
      <c r="AC51" s="188">
        <f>($AC$4+$AD$4*(Tableau4[[#This Row],[Capacité (BTU)]]/1000))*Tableau4[[#This Row],[Nombres appareils installés]]</f>
        <v>16200</v>
      </c>
      <c r="AD51" s="188">
        <f>Tableau4[[#This Row],[AF 4 ($)]]/Tableau4[[#This Row],[Nombres appareils installés]]</f>
        <v>3240</v>
      </c>
      <c r="AE51" s="194">
        <f>Tableau4[[#This Row],[Couverture 4 (%)]]*Tableau4[[#This Row],[Nombres appareils installés]]</f>
        <v>2.7293863935033871</v>
      </c>
      <c r="AF51" s="193">
        <f>Tableau4[[#This Row],[AF 4 par appareil  ($)]]/Tableau4[[#This Row],[Surcoût par appareil ($)]]</f>
        <v>0.54587727870067737</v>
      </c>
    </row>
    <row r="52" spans="2:32" x14ac:dyDescent="0.3">
      <c r="B52" s="187" t="s">
        <v>157</v>
      </c>
      <c r="C52" s="188" t="s">
        <v>185</v>
      </c>
      <c r="D52" s="188">
        <v>1</v>
      </c>
      <c r="E52" s="188">
        <v>310000</v>
      </c>
      <c r="F52" s="189">
        <f>Tableau4[[#This Row],[Economies totales (m3)]]/Tableau4[[#This Row],[Nombres appareils installés]]</f>
        <v>1068</v>
      </c>
      <c r="G52" s="190">
        <v>1068</v>
      </c>
      <c r="H52" s="188">
        <f t="shared" si="0"/>
        <v>4385.3999999999996</v>
      </c>
      <c r="I52" s="188">
        <v>2400</v>
      </c>
      <c r="J52" s="188">
        <f>Tableau4[[#This Row],[Surcoût moyens de l''équipement ($)]]+Tableau4[[#This Row],[Surcoût moyen de l''installation ($)]]</f>
        <v>6785.4</v>
      </c>
      <c r="K52" s="188">
        <f>Tableau4[[#This Row],[Surcoût par appareil ($)]]*Tableau4[[#This Row],[Nombres appareils installés]]</f>
        <v>6785.4</v>
      </c>
      <c r="L52" s="190">
        <v>1700</v>
      </c>
      <c r="M52" s="188">
        <f t="shared" si="1"/>
        <v>2450</v>
      </c>
      <c r="N52" s="188">
        <f>Tableau4[[#This Row],[AF 0 ($)]]/Tableau4[[#This Row],[Nombres appareils installés]]</f>
        <v>2450</v>
      </c>
      <c r="O52" s="191">
        <f>(Tableau4[[#This Row],[AF accordée ($)]])/($J$6*D52)</f>
        <v>0.42463905680171854</v>
      </c>
      <c r="P52" s="191">
        <f>Tableau4[[#This Row],[Couverture 0 (%)]]*Tableau4[[#This Row],[Nombres appareils installés]]</f>
        <v>0.42463905680171854</v>
      </c>
      <c r="Q52" s="188">
        <f>($Q$4+$R$4*(Tableau4[[#This Row],[Capacité (BTU)]]/1000))*Tableau4[[#This Row],[Nombres appareils installés]]</f>
        <v>3550</v>
      </c>
      <c r="R52" s="188">
        <f>Tableau4[[#This Row],[AF 1 ($)]]/Tableau4[[#This Row],[Nombres appareils installés]]</f>
        <v>3550</v>
      </c>
      <c r="S52" s="191">
        <f>Tableau4[[#This Row],[AF 1 ($)]]/(J52*D52)</f>
        <v>0.52318212633006167</v>
      </c>
      <c r="T52" s="191">
        <f>Tableau4[[#This Row],[Couverture 1 (%)]]*Tableau4[[#This Row],[Nombres appareils installés]]</f>
        <v>0.52318212633006167</v>
      </c>
      <c r="U52" s="188">
        <f>($U$4+($V$4*(Tableau4[[#This Row],[Capacité (BTU)]]/1000)))*Tableau4[[#This Row],[Nombres appareils installés]]</f>
        <v>4325</v>
      </c>
      <c r="V52" s="188">
        <f>Tableau4[[#This Row],[AF 2 ($)]]/Tableau4[[#This Row],[Nombres appareils installés]]</f>
        <v>4325</v>
      </c>
      <c r="W52" s="192">
        <f>Tableau4[[#This Row],[AF 2 par appareil ($)]]/Tableau4[[#This Row],[Surcoût par appareil ($)]]</f>
        <v>0.63739794264155392</v>
      </c>
      <c r="X52" s="192">
        <f>Tableau4[[#This Row],[Couverture 2 (%)]]*Tableau4[[#This Row],[Nombres appareils installés]]</f>
        <v>0.63739794264155392</v>
      </c>
      <c r="Y52" s="188">
        <f>($Y$4+$Z$4*(Tableau4[[#This Row],[Capacité (BTU)]]/1000))*Tableau4[[#This Row],[Nombres appareils installés]]</f>
        <v>4050</v>
      </c>
      <c r="Z52" s="188">
        <f>Tableau4[[#This Row],[AF 3 ($)]]/Tableau4[[#This Row],[Nombres appareils installés]]</f>
        <v>4050</v>
      </c>
      <c r="AA52" s="193">
        <f>Tableau4[[#This Row],[AF 3 par appareil ($)]]/Tableau4[[#This Row],[Surcoût par appareil ($)]]</f>
        <v>0.59686974975683083</v>
      </c>
      <c r="AB52" s="193">
        <f>Tableau4[[#This Row],[Couverture 3 (%)]]*Tableau4[[#This Row],[Nombres appareils installés]]</f>
        <v>0.59686974975683083</v>
      </c>
      <c r="AC52" s="188">
        <f>($AC$4+$AD$4*(Tableau4[[#This Row],[Capacité (BTU)]]/1000))*Tableau4[[#This Row],[Nombres appareils installés]]</f>
        <v>3440</v>
      </c>
      <c r="AD52" s="188">
        <f>Tableau4[[#This Row],[AF 4 ($)]]/Tableau4[[#This Row],[Nombres appareils installés]]</f>
        <v>3440</v>
      </c>
      <c r="AE52" s="194">
        <f>Tableau4[[#This Row],[Couverture 4 (%)]]*Tableau4[[#This Row],[Nombres appareils installés]]</f>
        <v>0.50697084917617241</v>
      </c>
      <c r="AF52" s="193">
        <f>Tableau4[[#This Row],[AF 4 par appareil  ($)]]/Tableau4[[#This Row],[Surcoût par appareil ($)]]</f>
        <v>0.50697084917617241</v>
      </c>
    </row>
    <row r="53" spans="2:32" x14ac:dyDescent="0.3">
      <c r="B53" s="187" t="s">
        <v>157</v>
      </c>
      <c r="C53" s="188" t="s">
        <v>168</v>
      </c>
      <c r="D53" s="188">
        <v>1</v>
      </c>
      <c r="E53" s="188">
        <v>310000</v>
      </c>
      <c r="F53" s="189">
        <f>Tableau4[[#This Row],[Economies totales (m3)]]/Tableau4[[#This Row],[Nombres appareils installés]]</f>
        <v>1068</v>
      </c>
      <c r="G53" s="190">
        <v>1068</v>
      </c>
      <c r="H53" s="188">
        <f t="shared" si="0"/>
        <v>4385.3999999999996</v>
      </c>
      <c r="I53" s="188">
        <v>2400</v>
      </c>
      <c r="J53" s="188">
        <f>Tableau4[[#This Row],[Surcoût moyens de l''équipement ($)]]+Tableau4[[#This Row],[Surcoût moyen de l''installation ($)]]</f>
        <v>6785.4</v>
      </c>
      <c r="K53" s="188">
        <f>Tableau4[[#This Row],[Surcoût par appareil ($)]]*Tableau4[[#This Row],[Nombres appareils installés]]</f>
        <v>6785.4</v>
      </c>
      <c r="L53" s="190">
        <v>1700</v>
      </c>
      <c r="M53" s="188">
        <f t="shared" si="1"/>
        <v>2450</v>
      </c>
      <c r="N53" s="188">
        <f>Tableau4[[#This Row],[AF 0 ($)]]/Tableau4[[#This Row],[Nombres appareils installés]]</f>
        <v>2450</v>
      </c>
      <c r="O53" s="191">
        <f>(Tableau4[[#This Row],[AF accordée ($)]])/($J$6*D53)</f>
        <v>0.42463905680171854</v>
      </c>
      <c r="P53" s="191">
        <f>Tableau4[[#This Row],[Couverture 0 (%)]]*Tableau4[[#This Row],[Nombres appareils installés]]</f>
        <v>0.42463905680171854</v>
      </c>
      <c r="Q53" s="188">
        <f>($Q$4+$R$4*(Tableau4[[#This Row],[Capacité (BTU)]]/1000))*Tableau4[[#This Row],[Nombres appareils installés]]</f>
        <v>3550</v>
      </c>
      <c r="R53" s="188">
        <f>Tableau4[[#This Row],[AF 1 ($)]]/Tableau4[[#This Row],[Nombres appareils installés]]</f>
        <v>3550</v>
      </c>
      <c r="S53" s="191">
        <f>Tableau4[[#This Row],[AF 1 ($)]]/(J53*D53)</f>
        <v>0.52318212633006167</v>
      </c>
      <c r="T53" s="191">
        <f>Tableau4[[#This Row],[Couverture 1 (%)]]*Tableau4[[#This Row],[Nombres appareils installés]]</f>
        <v>0.52318212633006167</v>
      </c>
      <c r="U53" s="188">
        <f>($U$4+($V$4*(Tableau4[[#This Row],[Capacité (BTU)]]/1000)))*Tableau4[[#This Row],[Nombres appareils installés]]</f>
        <v>4325</v>
      </c>
      <c r="V53" s="188">
        <f>Tableau4[[#This Row],[AF 2 ($)]]/Tableau4[[#This Row],[Nombres appareils installés]]</f>
        <v>4325</v>
      </c>
      <c r="W53" s="192">
        <f>Tableau4[[#This Row],[AF 2 par appareil ($)]]/Tableau4[[#This Row],[Surcoût par appareil ($)]]</f>
        <v>0.63739794264155392</v>
      </c>
      <c r="X53" s="192">
        <f>Tableau4[[#This Row],[Couverture 2 (%)]]*Tableau4[[#This Row],[Nombres appareils installés]]</f>
        <v>0.63739794264155392</v>
      </c>
      <c r="Y53" s="188">
        <f>($Y$4+$Z$4*(Tableau4[[#This Row],[Capacité (BTU)]]/1000))*Tableau4[[#This Row],[Nombres appareils installés]]</f>
        <v>4050</v>
      </c>
      <c r="Z53" s="188">
        <f>Tableau4[[#This Row],[AF 3 ($)]]/Tableau4[[#This Row],[Nombres appareils installés]]</f>
        <v>4050</v>
      </c>
      <c r="AA53" s="193">
        <f>Tableau4[[#This Row],[AF 3 par appareil ($)]]/Tableau4[[#This Row],[Surcoût par appareil ($)]]</f>
        <v>0.59686974975683083</v>
      </c>
      <c r="AB53" s="193">
        <f>Tableau4[[#This Row],[Couverture 3 (%)]]*Tableau4[[#This Row],[Nombres appareils installés]]</f>
        <v>0.59686974975683083</v>
      </c>
      <c r="AC53" s="188">
        <f>($AC$4+$AD$4*(Tableau4[[#This Row],[Capacité (BTU)]]/1000))*Tableau4[[#This Row],[Nombres appareils installés]]</f>
        <v>3440</v>
      </c>
      <c r="AD53" s="188">
        <f>Tableau4[[#This Row],[AF 4 ($)]]/Tableau4[[#This Row],[Nombres appareils installés]]</f>
        <v>3440</v>
      </c>
      <c r="AE53" s="194">
        <f>Tableau4[[#This Row],[Couverture 4 (%)]]*Tableau4[[#This Row],[Nombres appareils installés]]</f>
        <v>0.50697084917617241</v>
      </c>
      <c r="AF53" s="193">
        <f>Tableau4[[#This Row],[AF 4 par appareil  ($)]]/Tableau4[[#This Row],[Surcoût par appareil ($)]]</f>
        <v>0.50697084917617241</v>
      </c>
    </row>
    <row r="54" spans="2:32" x14ac:dyDescent="0.3">
      <c r="B54" s="187" t="s">
        <v>157</v>
      </c>
      <c r="C54" s="188" t="s">
        <v>168</v>
      </c>
      <c r="D54" s="188">
        <v>1</v>
      </c>
      <c r="E54" s="188">
        <v>310000</v>
      </c>
      <c r="F54" s="189">
        <f>Tableau4[[#This Row],[Economies totales (m3)]]/Tableau4[[#This Row],[Nombres appareils installés]]</f>
        <v>1068</v>
      </c>
      <c r="G54" s="190">
        <v>1068</v>
      </c>
      <c r="H54" s="188">
        <f t="shared" si="0"/>
        <v>4385.3999999999996</v>
      </c>
      <c r="I54" s="188">
        <v>2400</v>
      </c>
      <c r="J54" s="188">
        <f>Tableau4[[#This Row],[Surcoût moyens de l''équipement ($)]]+Tableau4[[#This Row],[Surcoût moyen de l''installation ($)]]</f>
        <v>6785.4</v>
      </c>
      <c r="K54" s="188">
        <f>Tableau4[[#This Row],[Surcoût par appareil ($)]]*Tableau4[[#This Row],[Nombres appareils installés]]</f>
        <v>6785.4</v>
      </c>
      <c r="L54" s="190">
        <v>1700</v>
      </c>
      <c r="M54" s="188">
        <f t="shared" si="1"/>
        <v>2450</v>
      </c>
      <c r="N54" s="188">
        <f>Tableau4[[#This Row],[AF 0 ($)]]/Tableau4[[#This Row],[Nombres appareils installés]]</f>
        <v>2450</v>
      </c>
      <c r="O54" s="191">
        <f>(Tableau4[[#This Row],[AF accordée ($)]])/($J$6*D54)</f>
        <v>0.42463905680171854</v>
      </c>
      <c r="P54" s="191">
        <f>Tableau4[[#This Row],[Couverture 0 (%)]]*Tableau4[[#This Row],[Nombres appareils installés]]</f>
        <v>0.42463905680171854</v>
      </c>
      <c r="Q54" s="188">
        <f>($Q$4+$R$4*(Tableau4[[#This Row],[Capacité (BTU)]]/1000))*Tableau4[[#This Row],[Nombres appareils installés]]</f>
        <v>3550</v>
      </c>
      <c r="R54" s="188">
        <f>Tableau4[[#This Row],[AF 1 ($)]]/Tableau4[[#This Row],[Nombres appareils installés]]</f>
        <v>3550</v>
      </c>
      <c r="S54" s="191">
        <f>Tableau4[[#This Row],[AF 1 ($)]]/(J54*D54)</f>
        <v>0.52318212633006167</v>
      </c>
      <c r="T54" s="191">
        <f>Tableau4[[#This Row],[Couverture 1 (%)]]*Tableau4[[#This Row],[Nombres appareils installés]]</f>
        <v>0.52318212633006167</v>
      </c>
      <c r="U54" s="188">
        <f>($U$4+($V$4*(Tableau4[[#This Row],[Capacité (BTU)]]/1000)))*Tableau4[[#This Row],[Nombres appareils installés]]</f>
        <v>4325</v>
      </c>
      <c r="V54" s="188">
        <f>Tableau4[[#This Row],[AF 2 ($)]]/Tableau4[[#This Row],[Nombres appareils installés]]</f>
        <v>4325</v>
      </c>
      <c r="W54" s="192">
        <f>Tableau4[[#This Row],[AF 2 par appareil ($)]]/Tableau4[[#This Row],[Surcoût par appareil ($)]]</f>
        <v>0.63739794264155392</v>
      </c>
      <c r="X54" s="192">
        <f>Tableau4[[#This Row],[Couverture 2 (%)]]*Tableau4[[#This Row],[Nombres appareils installés]]</f>
        <v>0.63739794264155392</v>
      </c>
      <c r="Y54" s="188">
        <f>($Y$4+$Z$4*(Tableau4[[#This Row],[Capacité (BTU)]]/1000))*Tableau4[[#This Row],[Nombres appareils installés]]</f>
        <v>4050</v>
      </c>
      <c r="Z54" s="188">
        <f>Tableau4[[#This Row],[AF 3 ($)]]/Tableau4[[#This Row],[Nombres appareils installés]]</f>
        <v>4050</v>
      </c>
      <c r="AA54" s="193">
        <f>Tableau4[[#This Row],[AF 3 par appareil ($)]]/Tableau4[[#This Row],[Surcoût par appareil ($)]]</f>
        <v>0.59686974975683083</v>
      </c>
      <c r="AB54" s="193">
        <f>Tableau4[[#This Row],[Couverture 3 (%)]]*Tableau4[[#This Row],[Nombres appareils installés]]</f>
        <v>0.59686974975683083</v>
      </c>
      <c r="AC54" s="188">
        <f>($AC$4+$AD$4*(Tableau4[[#This Row],[Capacité (BTU)]]/1000))*Tableau4[[#This Row],[Nombres appareils installés]]</f>
        <v>3440</v>
      </c>
      <c r="AD54" s="188">
        <f>Tableau4[[#This Row],[AF 4 ($)]]/Tableau4[[#This Row],[Nombres appareils installés]]</f>
        <v>3440</v>
      </c>
      <c r="AE54" s="194">
        <f>Tableau4[[#This Row],[Couverture 4 (%)]]*Tableau4[[#This Row],[Nombres appareils installés]]</f>
        <v>0.50697084917617241</v>
      </c>
      <c r="AF54" s="193">
        <f>Tableau4[[#This Row],[AF 4 par appareil  ($)]]/Tableau4[[#This Row],[Surcoût par appareil ($)]]</f>
        <v>0.50697084917617241</v>
      </c>
    </row>
    <row r="55" spans="2:32" x14ac:dyDescent="0.3">
      <c r="B55" s="187" t="s">
        <v>157</v>
      </c>
      <c r="C55" s="188" t="s">
        <v>168</v>
      </c>
      <c r="D55" s="188">
        <v>2</v>
      </c>
      <c r="E55" s="188">
        <v>310000</v>
      </c>
      <c r="F55" s="189">
        <f>Tableau4[[#This Row],[Economies totales (m3)]]/Tableau4[[#This Row],[Nombres appareils installés]]</f>
        <v>1068</v>
      </c>
      <c r="G55" s="190">
        <v>2136</v>
      </c>
      <c r="H55" s="188">
        <f t="shared" si="0"/>
        <v>4385.3999999999996</v>
      </c>
      <c r="I55" s="188">
        <v>2400</v>
      </c>
      <c r="J55" s="188">
        <f>Tableau4[[#This Row],[Surcoût moyens de l''équipement ($)]]+Tableau4[[#This Row],[Surcoût moyen de l''installation ($)]]</f>
        <v>6785.4</v>
      </c>
      <c r="K55" s="188">
        <f>Tableau4[[#This Row],[Surcoût par appareil ($)]]*Tableau4[[#This Row],[Nombres appareils installés]]</f>
        <v>13570.8</v>
      </c>
      <c r="L55" s="190">
        <v>3400</v>
      </c>
      <c r="M55" s="188">
        <f t="shared" si="1"/>
        <v>4900</v>
      </c>
      <c r="N55" s="188">
        <f>Tableau4[[#This Row],[AF 0 ($)]]/Tableau4[[#This Row],[Nombres appareils installés]]</f>
        <v>2450</v>
      </c>
      <c r="O55" s="191">
        <f>(Tableau4[[#This Row],[AF accordée ($)]])/($J$6*D55)</f>
        <v>0.42463905680171854</v>
      </c>
      <c r="P55" s="191">
        <f>Tableau4[[#This Row],[Couverture 0 (%)]]*Tableau4[[#This Row],[Nombres appareils installés]]</f>
        <v>0.84927811360343708</v>
      </c>
      <c r="Q55" s="188">
        <f>($Q$4+$R$4*(Tableau4[[#This Row],[Capacité (BTU)]]/1000))*Tableau4[[#This Row],[Nombres appareils installés]]</f>
        <v>7100</v>
      </c>
      <c r="R55" s="188">
        <f>Tableau4[[#This Row],[AF 1 ($)]]/Tableau4[[#This Row],[Nombres appareils installés]]</f>
        <v>3550</v>
      </c>
      <c r="S55" s="191">
        <f>Tableau4[[#This Row],[AF 1 ($)]]/(J55*D55)</f>
        <v>0.52318212633006167</v>
      </c>
      <c r="T55" s="191">
        <f>Tableau4[[#This Row],[Couverture 1 (%)]]*Tableau4[[#This Row],[Nombres appareils installés]]</f>
        <v>1.0463642526601233</v>
      </c>
      <c r="U55" s="188">
        <f>($U$4+($V$4*(Tableau4[[#This Row],[Capacité (BTU)]]/1000)))*Tableau4[[#This Row],[Nombres appareils installés]]</f>
        <v>8650</v>
      </c>
      <c r="V55" s="188">
        <f>Tableau4[[#This Row],[AF 2 ($)]]/Tableau4[[#This Row],[Nombres appareils installés]]</f>
        <v>4325</v>
      </c>
      <c r="W55" s="192">
        <f>Tableau4[[#This Row],[AF 2 par appareil ($)]]/Tableau4[[#This Row],[Surcoût par appareil ($)]]</f>
        <v>0.63739794264155392</v>
      </c>
      <c r="X55" s="192">
        <f>Tableau4[[#This Row],[Couverture 2 (%)]]*Tableau4[[#This Row],[Nombres appareils installés]]</f>
        <v>1.2747958852831078</v>
      </c>
      <c r="Y55" s="188">
        <f>($Y$4+$Z$4*(Tableau4[[#This Row],[Capacité (BTU)]]/1000))*Tableau4[[#This Row],[Nombres appareils installés]]</f>
        <v>8100</v>
      </c>
      <c r="Z55" s="188">
        <f>Tableau4[[#This Row],[AF 3 ($)]]/Tableau4[[#This Row],[Nombres appareils installés]]</f>
        <v>4050</v>
      </c>
      <c r="AA55" s="193">
        <f>Tableau4[[#This Row],[AF 3 par appareil ($)]]/Tableau4[[#This Row],[Surcoût par appareil ($)]]</f>
        <v>0.59686974975683083</v>
      </c>
      <c r="AB55" s="193">
        <f>Tableau4[[#This Row],[Couverture 3 (%)]]*Tableau4[[#This Row],[Nombres appareils installés]]</f>
        <v>1.1937394995136617</v>
      </c>
      <c r="AC55" s="188">
        <f>($AC$4+$AD$4*(Tableau4[[#This Row],[Capacité (BTU)]]/1000))*Tableau4[[#This Row],[Nombres appareils installés]]</f>
        <v>6880</v>
      </c>
      <c r="AD55" s="188">
        <f>Tableau4[[#This Row],[AF 4 ($)]]/Tableau4[[#This Row],[Nombres appareils installés]]</f>
        <v>3440</v>
      </c>
      <c r="AE55" s="194">
        <f>Tableau4[[#This Row],[Couverture 4 (%)]]*Tableau4[[#This Row],[Nombres appareils installés]]</f>
        <v>1.0139416983523448</v>
      </c>
      <c r="AF55" s="193">
        <f>Tableau4[[#This Row],[AF 4 par appareil  ($)]]/Tableau4[[#This Row],[Surcoût par appareil ($)]]</f>
        <v>0.50697084917617241</v>
      </c>
    </row>
    <row r="56" spans="2:32" x14ac:dyDescent="0.3">
      <c r="B56" s="187" t="s">
        <v>157</v>
      </c>
      <c r="C56" s="188" t="s">
        <v>186</v>
      </c>
      <c r="D56" s="188">
        <v>8</v>
      </c>
      <c r="E56" s="188">
        <v>310000</v>
      </c>
      <c r="F56" s="189">
        <f>Tableau4[[#This Row],[Economies totales (m3)]]/Tableau4[[#This Row],[Nombres appareils installés]]</f>
        <v>1068</v>
      </c>
      <c r="G56" s="190">
        <v>8544</v>
      </c>
      <c r="H56" s="188">
        <f t="shared" si="0"/>
        <v>4385.3999999999996</v>
      </c>
      <c r="I56" s="188">
        <v>2400</v>
      </c>
      <c r="J56" s="188">
        <f>Tableau4[[#This Row],[Surcoût moyens de l''équipement ($)]]+Tableau4[[#This Row],[Surcoût moyen de l''installation ($)]]</f>
        <v>6785.4</v>
      </c>
      <c r="K56" s="188">
        <f>Tableau4[[#This Row],[Surcoût par appareil ($)]]*Tableau4[[#This Row],[Nombres appareils installés]]</f>
        <v>54283.199999999997</v>
      </c>
      <c r="L56" s="190">
        <v>13600</v>
      </c>
      <c r="M56" s="188">
        <f t="shared" si="1"/>
        <v>19600</v>
      </c>
      <c r="N56" s="188">
        <f>Tableau4[[#This Row],[AF 0 ($)]]/Tableau4[[#This Row],[Nombres appareils installés]]</f>
        <v>2450</v>
      </c>
      <c r="O56" s="191">
        <f>(Tableau4[[#This Row],[AF accordée ($)]])/($J$6*D56)</f>
        <v>0.42463905680171854</v>
      </c>
      <c r="P56" s="191">
        <f>Tableau4[[#This Row],[Couverture 0 (%)]]*Tableau4[[#This Row],[Nombres appareils installés]]</f>
        <v>3.3971124544137483</v>
      </c>
      <c r="Q56" s="188">
        <f>($Q$4+$R$4*(Tableau4[[#This Row],[Capacité (BTU)]]/1000))*Tableau4[[#This Row],[Nombres appareils installés]]</f>
        <v>28400</v>
      </c>
      <c r="R56" s="188">
        <f>Tableau4[[#This Row],[AF 1 ($)]]/Tableau4[[#This Row],[Nombres appareils installés]]</f>
        <v>3550</v>
      </c>
      <c r="S56" s="191">
        <f>Tableau4[[#This Row],[AF 1 ($)]]/(J56*D56)</f>
        <v>0.52318212633006167</v>
      </c>
      <c r="T56" s="191">
        <f>Tableau4[[#This Row],[Couverture 1 (%)]]*Tableau4[[#This Row],[Nombres appareils installés]]</f>
        <v>4.1854570106404934</v>
      </c>
      <c r="U56" s="188">
        <f>($U$4+($V$4*(Tableau4[[#This Row],[Capacité (BTU)]]/1000)))*Tableau4[[#This Row],[Nombres appareils installés]]</f>
        <v>34600</v>
      </c>
      <c r="V56" s="188">
        <f>Tableau4[[#This Row],[AF 2 ($)]]/Tableau4[[#This Row],[Nombres appareils installés]]</f>
        <v>4325</v>
      </c>
      <c r="W56" s="192">
        <f>Tableau4[[#This Row],[AF 2 par appareil ($)]]/Tableau4[[#This Row],[Surcoût par appareil ($)]]</f>
        <v>0.63739794264155392</v>
      </c>
      <c r="X56" s="192">
        <f>Tableau4[[#This Row],[Couverture 2 (%)]]*Tableau4[[#This Row],[Nombres appareils installés]]</f>
        <v>5.0991835411324313</v>
      </c>
      <c r="Y56" s="188">
        <f>($Y$4+$Z$4*(Tableau4[[#This Row],[Capacité (BTU)]]/1000))*Tableau4[[#This Row],[Nombres appareils installés]]</f>
        <v>32400</v>
      </c>
      <c r="Z56" s="188">
        <f>Tableau4[[#This Row],[AF 3 ($)]]/Tableau4[[#This Row],[Nombres appareils installés]]</f>
        <v>4050</v>
      </c>
      <c r="AA56" s="193">
        <f>Tableau4[[#This Row],[AF 3 par appareil ($)]]/Tableau4[[#This Row],[Surcoût par appareil ($)]]</f>
        <v>0.59686974975683083</v>
      </c>
      <c r="AB56" s="193">
        <f>Tableau4[[#This Row],[Couverture 3 (%)]]*Tableau4[[#This Row],[Nombres appareils installés]]</f>
        <v>4.7749579980546466</v>
      </c>
      <c r="AC56" s="188">
        <f>($AC$4+$AD$4*(Tableau4[[#This Row],[Capacité (BTU)]]/1000))*Tableau4[[#This Row],[Nombres appareils installés]]</f>
        <v>27520</v>
      </c>
      <c r="AD56" s="188">
        <f>Tableau4[[#This Row],[AF 4 ($)]]/Tableau4[[#This Row],[Nombres appareils installés]]</f>
        <v>3440</v>
      </c>
      <c r="AE56" s="194">
        <f>Tableau4[[#This Row],[Couverture 4 (%)]]*Tableau4[[#This Row],[Nombres appareils installés]]</f>
        <v>4.0557667934093793</v>
      </c>
      <c r="AF56" s="193">
        <f>Tableau4[[#This Row],[AF 4 par appareil  ($)]]/Tableau4[[#This Row],[Surcoût par appareil ($)]]</f>
        <v>0.50697084917617241</v>
      </c>
    </row>
    <row r="57" spans="2:32" x14ac:dyDescent="0.3">
      <c r="B57" s="195" t="s">
        <v>187</v>
      </c>
      <c r="C57" s="188" t="s">
        <v>188</v>
      </c>
      <c r="D57" s="188">
        <v>1</v>
      </c>
      <c r="E57" s="188">
        <v>55000</v>
      </c>
      <c r="F57" s="196">
        <f>Tableau4[[#This Row],[Economies totales (m3)]]/Tableau4[[#This Row],[Nombres appareils installés]]</f>
        <v>277.75</v>
      </c>
      <c r="G57" s="190">
        <v>277.75</v>
      </c>
      <c r="H57" s="188">
        <f t="shared" si="0"/>
        <v>1618.65</v>
      </c>
      <c r="I57" s="188">
        <v>2400</v>
      </c>
      <c r="J57" s="188">
        <f>Tableau4[[#This Row],[Surcoût moyens de l''équipement ($)]]+Tableau4[[#This Row],[Surcoût moyen de l''installation ($)]]</f>
        <v>4018.65</v>
      </c>
      <c r="K57" s="188">
        <f>Tableau4[[#This Row],[Surcoût par appareil ($)]]*Tableau4[[#This Row],[Nombres appareils installés]]</f>
        <v>4018.65</v>
      </c>
      <c r="L57" s="190">
        <v>1700</v>
      </c>
      <c r="M57" s="188">
        <f t="shared" si="1"/>
        <v>1175</v>
      </c>
      <c r="N57" s="188">
        <f>Tableau4[[#This Row],[AF 0 ($)]]/Tableau4[[#This Row],[Nombres appareils installés]]</f>
        <v>1175</v>
      </c>
      <c r="O57" s="191">
        <f>(Tableau4[[#This Row],[AF accordée ($)]])/($J$6*D57)</f>
        <v>0.42463905680171854</v>
      </c>
      <c r="P57" s="191">
        <f>Tableau4[[#This Row],[Couverture 0 (%)]]*Tableau4[[#This Row],[Nombres appareils installés]]</f>
        <v>0.42463905680171854</v>
      </c>
      <c r="Q57" s="188">
        <f>($Q$4+$R$4*(Tableau4[[#This Row],[Capacité (BTU)]]/1000))*Tableau4[[#This Row],[Nombres appareils installés]]</f>
        <v>2275</v>
      </c>
      <c r="R57" s="188">
        <f>Tableau4[[#This Row],[AF 1 ($)]]/Tableau4[[#This Row],[Nombres appareils installés]]</f>
        <v>2275</v>
      </c>
      <c r="S57" s="191">
        <f>Tableau4[[#This Row],[AF 1 ($)]]/(J57*D57)</f>
        <v>0.56611050974829857</v>
      </c>
      <c r="T57" s="191">
        <f>Tableau4[[#This Row],[Couverture 1 (%)]]*Tableau4[[#This Row],[Nombres appareils installés]]</f>
        <v>0.56611050974829857</v>
      </c>
      <c r="U57" s="188">
        <f>($U$4+($V$4*(Tableau4[[#This Row],[Capacité (BTU)]]/1000)))*Tableau4[[#This Row],[Nombres appareils installés]]</f>
        <v>2412.5</v>
      </c>
      <c r="V57" s="188">
        <f>Tableau4[[#This Row],[AF 2 ($)]]/Tableau4[[#This Row],[Nombres appareils installés]]</f>
        <v>2412.5</v>
      </c>
      <c r="W57" s="192">
        <f>Tableau4[[#This Row],[AF 2 par appareil ($)]]/Tableau4[[#This Row],[Surcoût par appareil ($)]]</f>
        <v>0.60032598011770122</v>
      </c>
      <c r="X57" s="192">
        <f>Tableau4[[#This Row],[Couverture 2 (%)]]*Tableau4[[#This Row],[Nombres appareils installés]]</f>
        <v>0.60032598011770122</v>
      </c>
      <c r="Y57" s="188">
        <f>($Y$4+$Z$4*(Tableau4[[#This Row],[Capacité (BTU)]]/1000))*Tableau4[[#This Row],[Nombres appareils installés]]</f>
        <v>2775</v>
      </c>
      <c r="Z57" s="188">
        <f>Tableau4[[#This Row],[AF 3 ($)]]/Tableau4[[#This Row],[Nombres appareils installés]]</f>
        <v>2775</v>
      </c>
      <c r="AA57" s="193">
        <f>Tableau4[[#This Row],[AF 3 par appareil ($)]]/Tableau4[[#This Row],[Surcoût par appareil ($)]]</f>
        <v>0.69053040200067184</v>
      </c>
      <c r="AB57" s="193">
        <f>Tableau4[[#This Row],[Couverture 3 (%)]]*Tableau4[[#This Row],[Nombres appareils installés]]</f>
        <v>0.69053040200067184</v>
      </c>
      <c r="AC57" s="188">
        <f>($AC$4+$AD$4*(Tableau4[[#This Row],[Capacité (BTU)]]/1000))*Tableau4[[#This Row],[Nombres appareils installés]]</f>
        <v>2420</v>
      </c>
      <c r="AD57" s="188">
        <f>Tableau4[[#This Row],[AF 4 ($)]]/Tableau4[[#This Row],[Nombres appareils installés]]</f>
        <v>2420</v>
      </c>
      <c r="AE57" s="194">
        <f>Tableau4[[#This Row],[Couverture 4 (%)]]*Tableau4[[#This Row],[Nombres appareils installés]]</f>
        <v>0.60219227850148682</v>
      </c>
      <c r="AF57" s="193">
        <f>Tableau4[[#This Row],[AF 4 par appareil  ($)]]/Tableau4[[#This Row],[Surcoût par appareil ($)]]</f>
        <v>0.60219227850148682</v>
      </c>
    </row>
    <row r="58" spans="2:32" x14ac:dyDescent="0.3">
      <c r="B58" s="195" t="s">
        <v>187</v>
      </c>
      <c r="C58" s="188" t="s">
        <v>189</v>
      </c>
      <c r="D58" s="188">
        <v>1</v>
      </c>
      <c r="E58" s="188">
        <v>55000</v>
      </c>
      <c r="F58" s="196">
        <f>Tableau4[[#This Row],[Economies totales (m3)]]/Tableau4[[#This Row],[Nombres appareils installés]]</f>
        <v>277.75</v>
      </c>
      <c r="G58" s="190">
        <v>277.75</v>
      </c>
      <c r="H58" s="188">
        <f t="shared" si="0"/>
        <v>1618.65</v>
      </c>
      <c r="I58" s="188">
        <v>2400</v>
      </c>
      <c r="J58" s="188">
        <f>Tableau4[[#This Row],[Surcoût moyens de l''équipement ($)]]+Tableau4[[#This Row],[Surcoût moyen de l''installation ($)]]</f>
        <v>4018.65</v>
      </c>
      <c r="K58" s="188">
        <f>Tableau4[[#This Row],[Surcoût par appareil ($)]]*Tableau4[[#This Row],[Nombres appareils installés]]</f>
        <v>4018.65</v>
      </c>
      <c r="L58" s="190">
        <v>1700</v>
      </c>
      <c r="M58" s="188">
        <f t="shared" si="1"/>
        <v>1175</v>
      </c>
      <c r="N58" s="188">
        <f>Tableau4[[#This Row],[AF 0 ($)]]/Tableau4[[#This Row],[Nombres appareils installés]]</f>
        <v>1175</v>
      </c>
      <c r="O58" s="191">
        <f>(Tableau4[[#This Row],[AF accordée ($)]])/($J$6*D58)</f>
        <v>0.42463905680171854</v>
      </c>
      <c r="P58" s="191">
        <f>Tableau4[[#This Row],[Couverture 0 (%)]]*Tableau4[[#This Row],[Nombres appareils installés]]</f>
        <v>0.42463905680171854</v>
      </c>
      <c r="Q58" s="188">
        <f>($Q$4+$R$4*(Tableau4[[#This Row],[Capacité (BTU)]]/1000))*Tableau4[[#This Row],[Nombres appareils installés]]</f>
        <v>2275</v>
      </c>
      <c r="R58" s="188">
        <f>Tableau4[[#This Row],[AF 1 ($)]]/Tableau4[[#This Row],[Nombres appareils installés]]</f>
        <v>2275</v>
      </c>
      <c r="S58" s="191">
        <f>Tableau4[[#This Row],[AF 1 ($)]]/(J58*D58)</f>
        <v>0.56611050974829857</v>
      </c>
      <c r="T58" s="191">
        <f>Tableau4[[#This Row],[Couverture 1 (%)]]*Tableau4[[#This Row],[Nombres appareils installés]]</f>
        <v>0.56611050974829857</v>
      </c>
      <c r="U58" s="188">
        <f>($U$4+($V$4*(Tableau4[[#This Row],[Capacité (BTU)]]/1000)))*Tableau4[[#This Row],[Nombres appareils installés]]</f>
        <v>2412.5</v>
      </c>
      <c r="V58" s="188">
        <f>Tableau4[[#This Row],[AF 2 ($)]]/Tableau4[[#This Row],[Nombres appareils installés]]</f>
        <v>2412.5</v>
      </c>
      <c r="W58" s="192">
        <f>Tableau4[[#This Row],[AF 2 par appareil ($)]]/Tableau4[[#This Row],[Surcoût par appareil ($)]]</f>
        <v>0.60032598011770122</v>
      </c>
      <c r="X58" s="192">
        <f>Tableau4[[#This Row],[Couverture 2 (%)]]*Tableau4[[#This Row],[Nombres appareils installés]]</f>
        <v>0.60032598011770122</v>
      </c>
      <c r="Y58" s="188">
        <f>($Y$4+$Z$4*(Tableau4[[#This Row],[Capacité (BTU)]]/1000))*Tableau4[[#This Row],[Nombres appareils installés]]</f>
        <v>2775</v>
      </c>
      <c r="Z58" s="188">
        <f>Tableau4[[#This Row],[AF 3 ($)]]/Tableau4[[#This Row],[Nombres appareils installés]]</f>
        <v>2775</v>
      </c>
      <c r="AA58" s="193">
        <f>Tableau4[[#This Row],[AF 3 par appareil ($)]]/Tableau4[[#This Row],[Surcoût par appareil ($)]]</f>
        <v>0.69053040200067184</v>
      </c>
      <c r="AB58" s="193">
        <f>Tableau4[[#This Row],[Couverture 3 (%)]]*Tableau4[[#This Row],[Nombres appareils installés]]</f>
        <v>0.69053040200067184</v>
      </c>
      <c r="AC58" s="188">
        <f>($AC$4+$AD$4*(Tableau4[[#This Row],[Capacité (BTU)]]/1000))*Tableau4[[#This Row],[Nombres appareils installés]]</f>
        <v>2420</v>
      </c>
      <c r="AD58" s="188">
        <f>Tableau4[[#This Row],[AF 4 ($)]]/Tableau4[[#This Row],[Nombres appareils installés]]</f>
        <v>2420</v>
      </c>
      <c r="AE58" s="194">
        <f>Tableau4[[#This Row],[Couverture 4 (%)]]*Tableau4[[#This Row],[Nombres appareils installés]]</f>
        <v>0.60219227850148682</v>
      </c>
      <c r="AF58" s="193">
        <f>Tableau4[[#This Row],[AF 4 par appareil  ($)]]/Tableau4[[#This Row],[Surcoût par appareil ($)]]</f>
        <v>0.60219227850148682</v>
      </c>
    </row>
    <row r="59" spans="2:32" x14ac:dyDescent="0.3">
      <c r="B59" s="195" t="s">
        <v>187</v>
      </c>
      <c r="C59" s="188" t="s">
        <v>190</v>
      </c>
      <c r="D59" s="188">
        <v>1</v>
      </c>
      <c r="E59" s="188">
        <v>55000</v>
      </c>
      <c r="F59" s="196">
        <f>Tableau4[[#This Row],[Economies totales (m3)]]/Tableau4[[#This Row],[Nombres appareils installés]]</f>
        <v>277.75</v>
      </c>
      <c r="G59" s="190">
        <v>277.75</v>
      </c>
      <c r="H59" s="188">
        <f t="shared" si="0"/>
        <v>1618.65</v>
      </c>
      <c r="I59" s="188">
        <v>2400</v>
      </c>
      <c r="J59" s="188">
        <f>Tableau4[[#This Row],[Surcoût moyens de l''équipement ($)]]+Tableau4[[#This Row],[Surcoût moyen de l''installation ($)]]</f>
        <v>4018.65</v>
      </c>
      <c r="K59" s="188">
        <f>Tableau4[[#This Row],[Surcoût par appareil ($)]]*Tableau4[[#This Row],[Nombres appareils installés]]</f>
        <v>4018.65</v>
      </c>
      <c r="L59" s="190">
        <v>1700</v>
      </c>
      <c r="M59" s="188">
        <f t="shared" si="1"/>
        <v>1175</v>
      </c>
      <c r="N59" s="188">
        <f>Tableau4[[#This Row],[AF 0 ($)]]/Tableau4[[#This Row],[Nombres appareils installés]]</f>
        <v>1175</v>
      </c>
      <c r="O59" s="191">
        <f>(Tableau4[[#This Row],[AF accordée ($)]])/($J$6*D59)</f>
        <v>0.42463905680171854</v>
      </c>
      <c r="P59" s="191">
        <f>Tableau4[[#This Row],[Couverture 0 (%)]]*Tableau4[[#This Row],[Nombres appareils installés]]</f>
        <v>0.42463905680171854</v>
      </c>
      <c r="Q59" s="188">
        <f>($Q$4+$R$4*(Tableau4[[#This Row],[Capacité (BTU)]]/1000))*Tableau4[[#This Row],[Nombres appareils installés]]</f>
        <v>2275</v>
      </c>
      <c r="R59" s="188">
        <f>Tableau4[[#This Row],[AF 1 ($)]]/Tableau4[[#This Row],[Nombres appareils installés]]</f>
        <v>2275</v>
      </c>
      <c r="S59" s="191">
        <f>Tableau4[[#This Row],[AF 1 ($)]]/(J59*D59)</f>
        <v>0.56611050974829857</v>
      </c>
      <c r="T59" s="191">
        <f>Tableau4[[#This Row],[Couverture 1 (%)]]*Tableau4[[#This Row],[Nombres appareils installés]]</f>
        <v>0.56611050974829857</v>
      </c>
      <c r="U59" s="188">
        <f>($U$4+($V$4*(Tableau4[[#This Row],[Capacité (BTU)]]/1000)))*Tableau4[[#This Row],[Nombres appareils installés]]</f>
        <v>2412.5</v>
      </c>
      <c r="V59" s="188">
        <f>Tableau4[[#This Row],[AF 2 ($)]]/Tableau4[[#This Row],[Nombres appareils installés]]</f>
        <v>2412.5</v>
      </c>
      <c r="W59" s="192">
        <f>Tableau4[[#This Row],[AF 2 par appareil ($)]]/Tableau4[[#This Row],[Surcoût par appareil ($)]]</f>
        <v>0.60032598011770122</v>
      </c>
      <c r="X59" s="192">
        <f>Tableau4[[#This Row],[Couverture 2 (%)]]*Tableau4[[#This Row],[Nombres appareils installés]]</f>
        <v>0.60032598011770122</v>
      </c>
      <c r="Y59" s="188">
        <f>($Y$4+$Z$4*(Tableau4[[#This Row],[Capacité (BTU)]]/1000))*Tableau4[[#This Row],[Nombres appareils installés]]</f>
        <v>2775</v>
      </c>
      <c r="Z59" s="188">
        <f>Tableau4[[#This Row],[AF 3 ($)]]/Tableau4[[#This Row],[Nombres appareils installés]]</f>
        <v>2775</v>
      </c>
      <c r="AA59" s="193">
        <f>Tableau4[[#This Row],[AF 3 par appareil ($)]]/Tableau4[[#This Row],[Surcoût par appareil ($)]]</f>
        <v>0.69053040200067184</v>
      </c>
      <c r="AB59" s="193">
        <f>Tableau4[[#This Row],[Couverture 3 (%)]]*Tableau4[[#This Row],[Nombres appareils installés]]</f>
        <v>0.69053040200067184</v>
      </c>
      <c r="AC59" s="188">
        <f>($AC$4+$AD$4*(Tableau4[[#This Row],[Capacité (BTU)]]/1000))*Tableau4[[#This Row],[Nombres appareils installés]]</f>
        <v>2420</v>
      </c>
      <c r="AD59" s="188">
        <f>Tableau4[[#This Row],[AF 4 ($)]]/Tableau4[[#This Row],[Nombres appareils installés]]</f>
        <v>2420</v>
      </c>
      <c r="AE59" s="194">
        <f>Tableau4[[#This Row],[Couverture 4 (%)]]*Tableau4[[#This Row],[Nombres appareils installés]]</f>
        <v>0.60219227850148682</v>
      </c>
      <c r="AF59" s="193">
        <f>Tableau4[[#This Row],[AF 4 par appareil  ($)]]/Tableau4[[#This Row],[Surcoût par appareil ($)]]</f>
        <v>0.60219227850148682</v>
      </c>
    </row>
    <row r="60" spans="2:32" x14ac:dyDescent="0.3">
      <c r="B60" s="195" t="s">
        <v>187</v>
      </c>
      <c r="C60" s="188" t="s">
        <v>191</v>
      </c>
      <c r="D60" s="188">
        <v>4</v>
      </c>
      <c r="E60" s="188">
        <v>55000</v>
      </c>
      <c r="F60" s="196">
        <f>Tableau4[[#This Row],[Economies totales (m3)]]/Tableau4[[#This Row],[Nombres appareils installés]]</f>
        <v>277.75</v>
      </c>
      <c r="G60" s="190">
        <v>1111</v>
      </c>
      <c r="H60" s="188">
        <f t="shared" si="0"/>
        <v>1618.65</v>
      </c>
      <c r="I60" s="188">
        <v>2400</v>
      </c>
      <c r="J60" s="188">
        <f>Tableau4[[#This Row],[Surcoût moyens de l''équipement ($)]]+Tableau4[[#This Row],[Surcoût moyen de l''installation ($)]]</f>
        <v>4018.65</v>
      </c>
      <c r="K60" s="188">
        <f>Tableau4[[#This Row],[Surcoût par appareil ($)]]*Tableau4[[#This Row],[Nombres appareils installés]]</f>
        <v>16074.6</v>
      </c>
      <c r="L60" s="190">
        <v>6800</v>
      </c>
      <c r="M60" s="188">
        <f t="shared" si="1"/>
        <v>4700</v>
      </c>
      <c r="N60" s="188">
        <f>Tableau4[[#This Row],[AF 0 ($)]]/Tableau4[[#This Row],[Nombres appareils installés]]</f>
        <v>1175</v>
      </c>
      <c r="O60" s="191">
        <f>(Tableau4[[#This Row],[AF accordée ($)]])/($J$6*D60)</f>
        <v>0.42463905680171854</v>
      </c>
      <c r="P60" s="191">
        <f>Tableau4[[#This Row],[Couverture 0 (%)]]*Tableau4[[#This Row],[Nombres appareils installés]]</f>
        <v>1.6985562272068742</v>
      </c>
      <c r="Q60" s="188">
        <f>($Q$4+$R$4*(Tableau4[[#This Row],[Capacité (BTU)]]/1000))*Tableau4[[#This Row],[Nombres appareils installés]]</f>
        <v>9100</v>
      </c>
      <c r="R60" s="188">
        <f>Tableau4[[#This Row],[AF 1 ($)]]/Tableau4[[#This Row],[Nombres appareils installés]]</f>
        <v>2275</v>
      </c>
      <c r="S60" s="191">
        <f>Tableau4[[#This Row],[AF 1 ($)]]/(J60*D60)</f>
        <v>0.56611050974829857</v>
      </c>
      <c r="T60" s="191">
        <f>Tableau4[[#This Row],[Couverture 1 (%)]]*Tableau4[[#This Row],[Nombres appareils installés]]</f>
        <v>2.2644420389931943</v>
      </c>
      <c r="U60" s="188">
        <f>($U$4+($V$4*(Tableau4[[#This Row],[Capacité (BTU)]]/1000)))*Tableau4[[#This Row],[Nombres appareils installés]]</f>
        <v>9650</v>
      </c>
      <c r="V60" s="188">
        <f>Tableau4[[#This Row],[AF 2 ($)]]/Tableau4[[#This Row],[Nombres appareils installés]]</f>
        <v>2412.5</v>
      </c>
      <c r="W60" s="192">
        <f>Tableau4[[#This Row],[AF 2 par appareil ($)]]/Tableau4[[#This Row],[Surcoût par appareil ($)]]</f>
        <v>0.60032598011770122</v>
      </c>
      <c r="X60" s="192">
        <f>Tableau4[[#This Row],[Couverture 2 (%)]]*Tableau4[[#This Row],[Nombres appareils installés]]</f>
        <v>2.4013039204708049</v>
      </c>
      <c r="Y60" s="188">
        <f>($Y$4+$Z$4*(Tableau4[[#This Row],[Capacité (BTU)]]/1000))*Tableau4[[#This Row],[Nombres appareils installés]]</f>
        <v>11100</v>
      </c>
      <c r="Z60" s="188">
        <f>Tableau4[[#This Row],[AF 3 ($)]]/Tableau4[[#This Row],[Nombres appareils installés]]</f>
        <v>2775</v>
      </c>
      <c r="AA60" s="193">
        <f>Tableau4[[#This Row],[AF 3 par appareil ($)]]/Tableau4[[#This Row],[Surcoût par appareil ($)]]</f>
        <v>0.69053040200067184</v>
      </c>
      <c r="AB60" s="193">
        <f>Tableau4[[#This Row],[Couverture 3 (%)]]*Tableau4[[#This Row],[Nombres appareils installés]]</f>
        <v>2.7621216080026874</v>
      </c>
      <c r="AC60" s="188">
        <f>($AC$4+$AD$4*(Tableau4[[#This Row],[Capacité (BTU)]]/1000))*Tableau4[[#This Row],[Nombres appareils installés]]</f>
        <v>9680</v>
      </c>
      <c r="AD60" s="188">
        <f>Tableau4[[#This Row],[AF 4 ($)]]/Tableau4[[#This Row],[Nombres appareils installés]]</f>
        <v>2420</v>
      </c>
      <c r="AE60" s="194">
        <f>Tableau4[[#This Row],[Couverture 4 (%)]]*Tableau4[[#This Row],[Nombres appareils installés]]</f>
        <v>2.4087691140059473</v>
      </c>
      <c r="AF60" s="193">
        <f>Tableau4[[#This Row],[AF 4 par appareil  ($)]]/Tableau4[[#This Row],[Surcoût par appareil ($)]]</f>
        <v>0.60219227850148682</v>
      </c>
    </row>
    <row r="61" spans="2:32" x14ac:dyDescent="0.3">
      <c r="B61" s="195" t="s">
        <v>187</v>
      </c>
      <c r="C61" s="188" t="s">
        <v>192</v>
      </c>
      <c r="D61" s="188">
        <v>1</v>
      </c>
      <c r="E61" s="188">
        <v>65000</v>
      </c>
      <c r="F61" s="196">
        <f>Tableau4[[#This Row],[Economies totales (m3)]]/Tableau4[[#This Row],[Nombres appareils installés]]</f>
        <v>328.25</v>
      </c>
      <c r="G61" s="190">
        <v>328.25</v>
      </c>
      <c r="H61" s="188">
        <f t="shared" si="0"/>
        <v>1653.65</v>
      </c>
      <c r="I61" s="188">
        <v>2400</v>
      </c>
      <c r="J61" s="188">
        <f>Tableau4[[#This Row],[Surcoût moyens de l''équipement ($)]]+Tableau4[[#This Row],[Surcoût moyen de l''installation ($)]]</f>
        <v>4053.65</v>
      </c>
      <c r="K61" s="188">
        <f>Tableau4[[#This Row],[Surcoût par appareil ($)]]*Tableau4[[#This Row],[Nombres appareils installés]]</f>
        <v>4053.65</v>
      </c>
      <c r="L61" s="190">
        <v>1700</v>
      </c>
      <c r="M61" s="188">
        <f t="shared" si="1"/>
        <v>1225</v>
      </c>
      <c r="N61" s="188">
        <f>Tableau4[[#This Row],[AF 0 ($)]]/Tableau4[[#This Row],[Nombres appareils installés]]</f>
        <v>1225</v>
      </c>
      <c r="O61" s="191">
        <f>(Tableau4[[#This Row],[AF accordée ($)]])/($J$6*D61)</f>
        <v>0.42463905680171854</v>
      </c>
      <c r="P61" s="191">
        <f>Tableau4[[#This Row],[Couverture 0 (%)]]*Tableau4[[#This Row],[Nombres appareils installés]]</f>
        <v>0.42463905680171854</v>
      </c>
      <c r="Q61" s="188">
        <f>($Q$4+$R$4*(Tableau4[[#This Row],[Capacité (BTU)]]/1000))*Tableau4[[#This Row],[Nombres appareils installés]]</f>
        <v>2325</v>
      </c>
      <c r="R61" s="188">
        <f>Tableau4[[#This Row],[AF 1 ($)]]/Tableau4[[#This Row],[Nombres appareils installés]]</f>
        <v>2325</v>
      </c>
      <c r="S61" s="191">
        <f>Tableau4[[#This Row],[AF 1 ($)]]/(J61*D61)</f>
        <v>0.57355716453073158</v>
      </c>
      <c r="T61" s="191">
        <f>Tableau4[[#This Row],[Couverture 1 (%)]]*Tableau4[[#This Row],[Nombres appareils installés]]</f>
        <v>0.57355716453073158</v>
      </c>
      <c r="U61" s="188">
        <f>($U$4+($V$4*(Tableau4[[#This Row],[Capacité (BTU)]]/1000)))*Tableau4[[#This Row],[Nombres appareils installés]]</f>
        <v>2487.5</v>
      </c>
      <c r="V61" s="188">
        <f>Tableau4[[#This Row],[AF 2 ($)]]/Tableau4[[#This Row],[Nombres appareils installés]]</f>
        <v>2487.5</v>
      </c>
      <c r="W61" s="192">
        <f>Tableau4[[#This Row],[AF 2 par appareil ($)]]/Tableau4[[#This Row],[Surcoût par appareil ($)]]</f>
        <v>0.61364449323449233</v>
      </c>
      <c r="X61" s="192">
        <f>Tableau4[[#This Row],[Couverture 2 (%)]]*Tableau4[[#This Row],[Nombres appareils installés]]</f>
        <v>0.61364449323449233</v>
      </c>
      <c r="Y61" s="188">
        <f>($Y$4+$Z$4*(Tableau4[[#This Row],[Capacité (BTU)]]/1000))*Tableau4[[#This Row],[Nombres appareils installés]]</f>
        <v>2825</v>
      </c>
      <c r="Z61" s="188">
        <f>Tableau4[[#This Row],[AF 3 ($)]]/Tableau4[[#This Row],[Nombres appareils installés]]</f>
        <v>2825</v>
      </c>
      <c r="AA61" s="193">
        <f>Tableau4[[#This Row],[AF 3 par appareil ($)]]/Tableau4[[#This Row],[Surcoût par appareil ($)]]</f>
        <v>0.69690279131153399</v>
      </c>
      <c r="AB61" s="193">
        <f>Tableau4[[#This Row],[Couverture 3 (%)]]*Tableau4[[#This Row],[Nombres appareils installés]]</f>
        <v>0.69690279131153399</v>
      </c>
      <c r="AC61" s="188">
        <f>($AC$4+$AD$4*(Tableau4[[#This Row],[Capacité (BTU)]]/1000))*Tableau4[[#This Row],[Nombres appareils installés]]</f>
        <v>2460</v>
      </c>
      <c r="AD61" s="188">
        <f>Tableau4[[#This Row],[AF 4 ($)]]/Tableau4[[#This Row],[Nombres appareils installés]]</f>
        <v>2460</v>
      </c>
      <c r="AE61" s="194">
        <f>Tableau4[[#This Row],[Couverture 4 (%)]]*Tableau4[[#This Row],[Nombres appareils installés]]</f>
        <v>0.60686048376154822</v>
      </c>
      <c r="AF61" s="193">
        <f>Tableau4[[#This Row],[AF 4 par appareil  ($)]]/Tableau4[[#This Row],[Surcoût par appareil ($)]]</f>
        <v>0.60686048376154822</v>
      </c>
    </row>
    <row r="62" spans="2:32" x14ac:dyDescent="0.3">
      <c r="B62" s="195" t="s">
        <v>187</v>
      </c>
      <c r="C62" s="188" t="s">
        <v>193</v>
      </c>
      <c r="D62" s="188">
        <v>1</v>
      </c>
      <c r="E62" s="188">
        <v>85000</v>
      </c>
      <c r="F62" s="196">
        <f>Tableau4[[#This Row],[Economies totales (m3)]]/Tableau4[[#This Row],[Nombres appareils installés]]</f>
        <v>429.25</v>
      </c>
      <c r="G62" s="190">
        <v>429.25</v>
      </c>
      <c r="H62" s="188">
        <f t="shared" si="0"/>
        <v>1741.65</v>
      </c>
      <c r="I62" s="188">
        <v>2400</v>
      </c>
      <c r="J62" s="188">
        <f>Tableau4[[#This Row],[Surcoût moyens de l''équipement ($)]]+Tableau4[[#This Row],[Surcoût moyen de l''installation ($)]]</f>
        <v>4141.6499999999996</v>
      </c>
      <c r="K62" s="188">
        <f>Tableau4[[#This Row],[Surcoût par appareil ($)]]*Tableau4[[#This Row],[Nombres appareils installés]]</f>
        <v>4141.6499999999996</v>
      </c>
      <c r="L62" s="190">
        <v>1700</v>
      </c>
      <c r="M62" s="188">
        <f t="shared" si="1"/>
        <v>1325</v>
      </c>
      <c r="N62" s="188">
        <f>Tableau4[[#This Row],[AF 0 ($)]]/Tableau4[[#This Row],[Nombres appareils installés]]</f>
        <v>1325</v>
      </c>
      <c r="O62" s="191">
        <f>(Tableau4[[#This Row],[AF accordée ($)]])/($J$6*D62)</f>
        <v>0.42463905680171854</v>
      </c>
      <c r="P62" s="191">
        <f>Tableau4[[#This Row],[Couverture 0 (%)]]*Tableau4[[#This Row],[Nombres appareils installés]]</f>
        <v>0.42463905680171854</v>
      </c>
      <c r="Q62" s="188">
        <f>($Q$4+$R$4*(Tableau4[[#This Row],[Capacité (BTU)]]/1000))*Tableau4[[#This Row],[Nombres appareils installés]]</f>
        <v>2425</v>
      </c>
      <c r="R62" s="188">
        <f>Tableau4[[#This Row],[AF 1 ($)]]/Tableau4[[#This Row],[Nombres appareils installés]]</f>
        <v>2425</v>
      </c>
      <c r="S62" s="191">
        <f>Tableau4[[#This Row],[AF 1 ($)]]/(J62*D62)</f>
        <v>0.58551543466975731</v>
      </c>
      <c r="T62" s="191">
        <f>Tableau4[[#This Row],[Couverture 1 (%)]]*Tableau4[[#This Row],[Nombres appareils installés]]</f>
        <v>0.58551543466975731</v>
      </c>
      <c r="U62" s="188">
        <f>($U$4+($V$4*(Tableau4[[#This Row],[Capacité (BTU)]]/1000)))*Tableau4[[#This Row],[Nombres appareils installés]]</f>
        <v>2637.5</v>
      </c>
      <c r="V62" s="188">
        <f>Tableau4[[#This Row],[AF 2 ($)]]/Tableau4[[#This Row],[Nombres appareils installés]]</f>
        <v>2637.5</v>
      </c>
      <c r="W62" s="192">
        <f>Tableau4[[#This Row],[AF 2 par appareil ($)]]/Tableau4[[#This Row],[Surcoût par appareil ($)]]</f>
        <v>0.63682348822329271</v>
      </c>
      <c r="X62" s="192">
        <f>Tableau4[[#This Row],[Couverture 2 (%)]]*Tableau4[[#This Row],[Nombres appareils installés]]</f>
        <v>0.63682348822329271</v>
      </c>
      <c r="Y62" s="188">
        <f>($Y$4+$Z$4*(Tableau4[[#This Row],[Capacité (BTU)]]/1000))*Tableau4[[#This Row],[Nombres appareils installés]]</f>
        <v>2925</v>
      </c>
      <c r="Z62" s="188">
        <f>Tableau4[[#This Row],[AF 3 ($)]]/Tableau4[[#This Row],[Nombres appareils installés]]</f>
        <v>2925</v>
      </c>
      <c r="AA62" s="193">
        <f>Tableau4[[#This Row],[AF 3 par appareil ($)]]/Tableau4[[#This Row],[Surcoût par appareil ($)]]</f>
        <v>0.70624026656042893</v>
      </c>
      <c r="AB62" s="193">
        <f>Tableau4[[#This Row],[Couverture 3 (%)]]*Tableau4[[#This Row],[Nombres appareils installés]]</f>
        <v>0.70624026656042893</v>
      </c>
      <c r="AC62" s="188">
        <f>($AC$4+$AD$4*(Tableau4[[#This Row],[Capacité (BTU)]]/1000))*Tableau4[[#This Row],[Nombres appareils installés]]</f>
        <v>2540</v>
      </c>
      <c r="AD62" s="188">
        <f>Tableau4[[#This Row],[AF 4 ($)]]/Tableau4[[#This Row],[Nombres appareils installés]]</f>
        <v>2540</v>
      </c>
      <c r="AE62" s="194">
        <f>Tableau4[[#This Row],[Couverture 4 (%)]]*Tableau4[[#This Row],[Nombres appareils installés]]</f>
        <v>0.61328214600461173</v>
      </c>
      <c r="AF62" s="193">
        <f>Tableau4[[#This Row],[AF 4 par appareil  ($)]]/Tableau4[[#This Row],[Surcoût par appareil ($)]]</f>
        <v>0.61328214600461173</v>
      </c>
    </row>
    <row r="63" spans="2:32" x14ac:dyDescent="0.3">
      <c r="B63" s="195" t="s">
        <v>187</v>
      </c>
      <c r="C63" s="188" t="s">
        <v>194</v>
      </c>
      <c r="D63" s="188">
        <v>1</v>
      </c>
      <c r="E63" s="188">
        <v>85000</v>
      </c>
      <c r="F63" s="196">
        <f>Tableau4[[#This Row],[Economies totales (m3)]]/Tableau4[[#This Row],[Nombres appareils installés]]</f>
        <v>429.25</v>
      </c>
      <c r="G63" s="190">
        <v>429.25</v>
      </c>
      <c r="H63" s="188">
        <f t="shared" si="0"/>
        <v>1741.65</v>
      </c>
      <c r="I63" s="188">
        <v>2400</v>
      </c>
      <c r="J63" s="188">
        <f>Tableau4[[#This Row],[Surcoût moyens de l''équipement ($)]]+Tableau4[[#This Row],[Surcoût moyen de l''installation ($)]]</f>
        <v>4141.6499999999996</v>
      </c>
      <c r="K63" s="188">
        <f>Tableau4[[#This Row],[Surcoût par appareil ($)]]*Tableau4[[#This Row],[Nombres appareils installés]]</f>
        <v>4141.6499999999996</v>
      </c>
      <c r="L63" s="190">
        <v>1700</v>
      </c>
      <c r="M63" s="188">
        <f t="shared" si="1"/>
        <v>1325</v>
      </c>
      <c r="N63" s="188">
        <f>Tableau4[[#This Row],[AF 0 ($)]]/Tableau4[[#This Row],[Nombres appareils installés]]</f>
        <v>1325</v>
      </c>
      <c r="O63" s="191">
        <f>(Tableau4[[#This Row],[AF accordée ($)]])/($J$6*D63)</f>
        <v>0.42463905680171854</v>
      </c>
      <c r="P63" s="191">
        <f>Tableau4[[#This Row],[Couverture 0 (%)]]*Tableau4[[#This Row],[Nombres appareils installés]]</f>
        <v>0.42463905680171854</v>
      </c>
      <c r="Q63" s="188">
        <f>($Q$4+$R$4*(Tableau4[[#This Row],[Capacité (BTU)]]/1000))*Tableau4[[#This Row],[Nombres appareils installés]]</f>
        <v>2425</v>
      </c>
      <c r="R63" s="188">
        <f>Tableau4[[#This Row],[AF 1 ($)]]/Tableau4[[#This Row],[Nombres appareils installés]]</f>
        <v>2425</v>
      </c>
      <c r="S63" s="191">
        <f>Tableau4[[#This Row],[AF 1 ($)]]/(J63*D63)</f>
        <v>0.58551543466975731</v>
      </c>
      <c r="T63" s="191">
        <f>Tableau4[[#This Row],[Couverture 1 (%)]]*Tableau4[[#This Row],[Nombres appareils installés]]</f>
        <v>0.58551543466975731</v>
      </c>
      <c r="U63" s="188">
        <f>($U$4+($V$4*(Tableau4[[#This Row],[Capacité (BTU)]]/1000)))*Tableau4[[#This Row],[Nombres appareils installés]]</f>
        <v>2637.5</v>
      </c>
      <c r="V63" s="188">
        <f>Tableau4[[#This Row],[AF 2 ($)]]/Tableau4[[#This Row],[Nombres appareils installés]]</f>
        <v>2637.5</v>
      </c>
      <c r="W63" s="192">
        <f>Tableau4[[#This Row],[AF 2 par appareil ($)]]/Tableau4[[#This Row],[Surcoût par appareil ($)]]</f>
        <v>0.63682348822329271</v>
      </c>
      <c r="X63" s="192">
        <f>Tableau4[[#This Row],[Couverture 2 (%)]]*Tableau4[[#This Row],[Nombres appareils installés]]</f>
        <v>0.63682348822329271</v>
      </c>
      <c r="Y63" s="188">
        <f>($Y$4+$Z$4*(Tableau4[[#This Row],[Capacité (BTU)]]/1000))*Tableau4[[#This Row],[Nombres appareils installés]]</f>
        <v>2925</v>
      </c>
      <c r="Z63" s="188">
        <f>Tableau4[[#This Row],[AF 3 ($)]]/Tableau4[[#This Row],[Nombres appareils installés]]</f>
        <v>2925</v>
      </c>
      <c r="AA63" s="193">
        <f>Tableau4[[#This Row],[AF 3 par appareil ($)]]/Tableau4[[#This Row],[Surcoût par appareil ($)]]</f>
        <v>0.70624026656042893</v>
      </c>
      <c r="AB63" s="193">
        <f>Tableau4[[#This Row],[Couverture 3 (%)]]*Tableau4[[#This Row],[Nombres appareils installés]]</f>
        <v>0.70624026656042893</v>
      </c>
      <c r="AC63" s="188">
        <f>($AC$4+$AD$4*(Tableau4[[#This Row],[Capacité (BTU)]]/1000))*Tableau4[[#This Row],[Nombres appareils installés]]</f>
        <v>2540</v>
      </c>
      <c r="AD63" s="188">
        <f>Tableau4[[#This Row],[AF 4 ($)]]/Tableau4[[#This Row],[Nombres appareils installés]]</f>
        <v>2540</v>
      </c>
      <c r="AE63" s="194">
        <f>Tableau4[[#This Row],[Couverture 4 (%)]]*Tableau4[[#This Row],[Nombres appareils installés]]</f>
        <v>0.61328214600461173</v>
      </c>
      <c r="AF63" s="193">
        <f>Tableau4[[#This Row],[AF 4 par appareil  ($)]]/Tableau4[[#This Row],[Surcoût par appareil ($)]]</f>
        <v>0.61328214600461173</v>
      </c>
    </row>
    <row r="64" spans="2:32" x14ac:dyDescent="0.3">
      <c r="B64" s="195" t="s">
        <v>187</v>
      </c>
      <c r="C64" s="188" t="s">
        <v>195</v>
      </c>
      <c r="D64" s="188">
        <v>1</v>
      </c>
      <c r="E64" s="188">
        <v>85000</v>
      </c>
      <c r="F64" s="196">
        <f>Tableau4[[#This Row],[Economies totales (m3)]]/Tableau4[[#This Row],[Nombres appareils installés]]</f>
        <v>429.25</v>
      </c>
      <c r="G64" s="190">
        <v>429.25</v>
      </c>
      <c r="H64" s="188">
        <f t="shared" si="0"/>
        <v>1741.65</v>
      </c>
      <c r="I64" s="188">
        <v>2400</v>
      </c>
      <c r="J64" s="188">
        <f>Tableau4[[#This Row],[Surcoût moyens de l''équipement ($)]]+Tableau4[[#This Row],[Surcoût moyen de l''installation ($)]]</f>
        <v>4141.6499999999996</v>
      </c>
      <c r="K64" s="188">
        <f>Tableau4[[#This Row],[Surcoût par appareil ($)]]*Tableau4[[#This Row],[Nombres appareils installés]]</f>
        <v>4141.6499999999996</v>
      </c>
      <c r="L64" s="190">
        <v>1700</v>
      </c>
      <c r="M64" s="188">
        <f t="shared" si="1"/>
        <v>1325</v>
      </c>
      <c r="N64" s="188">
        <f>Tableau4[[#This Row],[AF 0 ($)]]/Tableau4[[#This Row],[Nombres appareils installés]]</f>
        <v>1325</v>
      </c>
      <c r="O64" s="191">
        <f>(Tableau4[[#This Row],[AF accordée ($)]])/($J$6*D64)</f>
        <v>0.42463905680171854</v>
      </c>
      <c r="P64" s="191">
        <f>Tableau4[[#This Row],[Couverture 0 (%)]]*Tableau4[[#This Row],[Nombres appareils installés]]</f>
        <v>0.42463905680171854</v>
      </c>
      <c r="Q64" s="188">
        <f>($Q$4+$R$4*(Tableau4[[#This Row],[Capacité (BTU)]]/1000))*Tableau4[[#This Row],[Nombres appareils installés]]</f>
        <v>2425</v>
      </c>
      <c r="R64" s="188">
        <f>Tableau4[[#This Row],[AF 1 ($)]]/Tableau4[[#This Row],[Nombres appareils installés]]</f>
        <v>2425</v>
      </c>
      <c r="S64" s="191">
        <f>Tableau4[[#This Row],[AF 1 ($)]]/(J64*D64)</f>
        <v>0.58551543466975731</v>
      </c>
      <c r="T64" s="191">
        <f>Tableau4[[#This Row],[Couverture 1 (%)]]*Tableau4[[#This Row],[Nombres appareils installés]]</f>
        <v>0.58551543466975731</v>
      </c>
      <c r="U64" s="188">
        <f>($U$4+($V$4*(Tableau4[[#This Row],[Capacité (BTU)]]/1000)))*Tableau4[[#This Row],[Nombres appareils installés]]</f>
        <v>2637.5</v>
      </c>
      <c r="V64" s="188">
        <f>Tableau4[[#This Row],[AF 2 ($)]]/Tableau4[[#This Row],[Nombres appareils installés]]</f>
        <v>2637.5</v>
      </c>
      <c r="W64" s="192">
        <f>Tableau4[[#This Row],[AF 2 par appareil ($)]]/Tableau4[[#This Row],[Surcoût par appareil ($)]]</f>
        <v>0.63682348822329271</v>
      </c>
      <c r="X64" s="192">
        <f>Tableau4[[#This Row],[Couverture 2 (%)]]*Tableau4[[#This Row],[Nombres appareils installés]]</f>
        <v>0.63682348822329271</v>
      </c>
      <c r="Y64" s="188">
        <f>($Y$4+$Z$4*(Tableau4[[#This Row],[Capacité (BTU)]]/1000))*Tableau4[[#This Row],[Nombres appareils installés]]</f>
        <v>2925</v>
      </c>
      <c r="Z64" s="188">
        <f>Tableau4[[#This Row],[AF 3 ($)]]/Tableau4[[#This Row],[Nombres appareils installés]]</f>
        <v>2925</v>
      </c>
      <c r="AA64" s="193">
        <f>Tableau4[[#This Row],[AF 3 par appareil ($)]]/Tableau4[[#This Row],[Surcoût par appareil ($)]]</f>
        <v>0.70624026656042893</v>
      </c>
      <c r="AB64" s="193">
        <f>Tableau4[[#This Row],[Couverture 3 (%)]]*Tableau4[[#This Row],[Nombres appareils installés]]</f>
        <v>0.70624026656042893</v>
      </c>
      <c r="AC64" s="188">
        <f>($AC$4+$AD$4*(Tableau4[[#This Row],[Capacité (BTU)]]/1000))*Tableau4[[#This Row],[Nombres appareils installés]]</f>
        <v>2540</v>
      </c>
      <c r="AD64" s="188">
        <f>Tableau4[[#This Row],[AF 4 ($)]]/Tableau4[[#This Row],[Nombres appareils installés]]</f>
        <v>2540</v>
      </c>
      <c r="AE64" s="194">
        <f>Tableau4[[#This Row],[Couverture 4 (%)]]*Tableau4[[#This Row],[Nombres appareils installés]]</f>
        <v>0.61328214600461173</v>
      </c>
      <c r="AF64" s="193">
        <f>Tableau4[[#This Row],[AF 4 par appareil  ($)]]/Tableau4[[#This Row],[Surcoût par appareil ($)]]</f>
        <v>0.61328214600461173</v>
      </c>
    </row>
    <row r="65" spans="2:32" x14ac:dyDescent="0.3">
      <c r="B65" s="195" t="s">
        <v>187</v>
      </c>
      <c r="C65" s="188" t="s">
        <v>196</v>
      </c>
      <c r="D65" s="188">
        <v>1</v>
      </c>
      <c r="E65" s="188">
        <v>85000</v>
      </c>
      <c r="F65" s="196">
        <f>Tableau4[[#This Row],[Economies totales (m3)]]/Tableau4[[#This Row],[Nombres appareils installés]]</f>
        <v>429.25</v>
      </c>
      <c r="G65" s="190">
        <v>429.25</v>
      </c>
      <c r="H65" s="188">
        <f t="shared" si="0"/>
        <v>1741.65</v>
      </c>
      <c r="I65" s="188">
        <v>2400</v>
      </c>
      <c r="J65" s="188">
        <f>Tableau4[[#This Row],[Surcoût moyens de l''équipement ($)]]+Tableau4[[#This Row],[Surcoût moyen de l''installation ($)]]</f>
        <v>4141.6499999999996</v>
      </c>
      <c r="K65" s="188">
        <f>Tableau4[[#This Row],[Surcoût par appareil ($)]]*Tableau4[[#This Row],[Nombres appareils installés]]</f>
        <v>4141.6499999999996</v>
      </c>
      <c r="L65" s="190">
        <v>1700</v>
      </c>
      <c r="M65" s="188">
        <f t="shared" si="1"/>
        <v>1325</v>
      </c>
      <c r="N65" s="188">
        <f>Tableau4[[#This Row],[AF 0 ($)]]/Tableau4[[#This Row],[Nombres appareils installés]]</f>
        <v>1325</v>
      </c>
      <c r="O65" s="191">
        <f>(Tableau4[[#This Row],[AF accordée ($)]])/($J$6*D65)</f>
        <v>0.42463905680171854</v>
      </c>
      <c r="P65" s="191">
        <f>Tableau4[[#This Row],[Couverture 0 (%)]]*Tableau4[[#This Row],[Nombres appareils installés]]</f>
        <v>0.42463905680171854</v>
      </c>
      <c r="Q65" s="188">
        <f>($Q$4+$R$4*(Tableau4[[#This Row],[Capacité (BTU)]]/1000))*Tableau4[[#This Row],[Nombres appareils installés]]</f>
        <v>2425</v>
      </c>
      <c r="R65" s="188">
        <f>Tableau4[[#This Row],[AF 1 ($)]]/Tableau4[[#This Row],[Nombres appareils installés]]</f>
        <v>2425</v>
      </c>
      <c r="S65" s="191">
        <f>Tableau4[[#This Row],[AF 1 ($)]]/(J65*D65)</f>
        <v>0.58551543466975731</v>
      </c>
      <c r="T65" s="191">
        <f>Tableau4[[#This Row],[Couverture 1 (%)]]*Tableau4[[#This Row],[Nombres appareils installés]]</f>
        <v>0.58551543466975731</v>
      </c>
      <c r="U65" s="188">
        <f>($U$4+($V$4*(Tableau4[[#This Row],[Capacité (BTU)]]/1000)))*Tableau4[[#This Row],[Nombres appareils installés]]</f>
        <v>2637.5</v>
      </c>
      <c r="V65" s="188">
        <f>Tableau4[[#This Row],[AF 2 ($)]]/Tableau4[[#This Row],[Nombres appareils installés]]</f>
        <v>2637.5</v>
      </c>
      <c r="W65" s="192">
        <f>Tableau4[[#This Row],[AF 2 par appareil ($)]]/Tableau4[[#This Row],[Surcoût par appareil ($)]]</f>
        <v>0.63682348822329271</v>
      </c>
      <c r="X65" s="192">
        <f>Tableau4[[#This Row],[Couverture 2 (%)]]*Tableau4[[#This Row],[Nombres appareils installés]]</f>
        <v>0.63682348822329271</v>
      </c>
      <c r="Y65" s="188">
        <f>($Y$4+$Z$4*(Tableau4[[#This Row],[Capacité (BTU)]]/1000))*Tableau4[[#This Row],[Nombres appareils installés]]</f>
        <v>2925</v>
      </c>
      <c r="Z65" s="188">
        <f>Tableau4[[#This Row],[AF 3 ($)]]/Tableau4[[#This Row],[Nombres appareils installés]]</f>
        <v>2925</v>
      </c>
      <c r="AA65" s="193">
        <f>Tableau4[[#This Row],[AF 3 par appareil ($)]]/Tableau4[[#This Row],[Surcoût par appareil ($)]]</f>
        <v>0.70624026656042893</v>
      </c>
      <c r="AB65" s="193">
        <f>Tableau4[[#This Row],[Couverture 3 (%)]]*Tableau4[[#This Row],[Nombres appareils installés]]</f>
        <v>0.70624026656042893</v>
      </c>
      <c r="AC65" s="188">
        <f>($AC$4+$AD$4*(Tableau4[[#This Row],[Capacité (BTU)]]/1000))*Tableau4[[#This Row],[Nombres appareils installés]]</f>
        <v>2540</v>
      </c>
      <c r="AD65" s="188">
        <f>Tableau4[[#This Row],[AF 4 ($)]]/Tableau4[[#This Row],[Nombres appareils installés]]</f>
        <v>2540</v>
      </c>
      <c r="AE65" s="194">
        <f>Tableau4[[#This Row],[Couverture 4 (%)]]*Tableau4[[#This Row],[Nombres appareils installés]]</f>
        <v>0.61328214600461173</v>
      </c>
      <c r="AF65" s="193">
        <f>Tableau4[[#This Row],[AF 4 par appareil  ($)]]/Tableau4[[#This Row],[Surcoût par appareil ($)]]</f>
        <v>0.61328214600461173</v>
      </c>
    </row>
    <row r="66" spans="2:32" x14ac:dyDescent="0.3">
      <c r="B66" s="195" t="s">
        <v>187</v>
      </c>
      <c r="C66" s="188" t="s">
        <v>191</v>
      </c>
      <c r="D66" s="188">
        <v>2</v>
      </c>
      <c r="E66" s="188">
        <v>110000</v>
      </c>
      <c r="F66" s="196">
        <f>Tableau4[[#This Row],[Economies totales (m3)]]/Tableau4[[#This Row],[Nombres appareils installés]]</f>
        <v>555.5</v>
      </c>
      <c r="G66" s="190">
        <v>1111</v>
      </c>
      <c r="H66" s="188">
        <f t="shared" si="0"/>
        <v>1885.4</v>
      </c>
      <c r="I66" s="188">
        <v>2400</v>
      </c>
      <c r="J66" s="188">
        <f>Tableau4[[#This Row],[Surcoût moyens de l''équipement ($)]]+Tableau4[[#This Row],[Surcoût moyen de l''installation ($)]]</f>
        <v>4285.3999999999996</v>
      </c>
      <c r="K66" s="188">
        <f>Tableau4[[#This Row],[Surcoût par appareil ($)]]*Tableau4[[#This Row],[Nombres appareils installés]]</f>
        <v>8570.7999999999993</v>
      </c>
      <c r="L66" s="190">
        <v>3400</v>
      </c>
      <c r="M66" s="188">
        <f t="shared" si="1"/>
        <v>2900</v>
      </c>
      <c r="N66" s="188">
        <f>Tableau4[[#This Row],[AF 0 ($)]]/Tableau4[[#This Row],[Nombres appareils installés]]</f>
        <v>1450</v>
      </c>
      <c r="O66" s="191">
        <f>(Tableau4[[#This Row],[AF accordée ($)]])/($J$6*D66)</f>
        <v>0.42463905680171854</v>
      </c>
      <c r="P66" s="191">
        <f>Tableau4[[#This Row],[Couverture 0 (%)]]*Tableau4[[#This Row],[Nombres appareils installés]]</f>
        <v>0.84927811360343708</v>
      </c>
      <c r="Q66" s="188">
        <f>($Q$4+$R$4*(Tableau4[[#This Row],[Capacité (BTU)]]/1000))*Tableau4[[#This Row],[Nombres appareils installés]]</f>
        <v>5100</v>
      </c>
      <c r="R66" s="188">
        <f>Tableau4[[#This Row],[AF 1 ($)]]/Tableau4[[#This Row],[Nombres appareils installés]]</f>
        <v>2550</v>
      </c>
      <c r="S66" s="191">
        <f>Tableau4[[#This Row],[AF 1 ($)]]/(J66*D66)</f>
        <v>0.5950436365333458</v>
      </c>
      <c r="T66" s="191">
        <f>Tableau4[[#This Row],[Couverture 1 (%)]]*Tableau4[[#This Row],[Nombres appareils installés]]</f>
        <v>1.1900872730666916</v>
      </c>
      <c r="U66" s="188">
        <f>($U$4+($V$4*(Tableau4[[#This Row],[Capacité (BTU)]]/1000)))*Tableau4[[#This Row],[Nombres appareils installés]]</f>
        <v>5650</v>
      </c>
      <c r="V66" s="188">
        <f>Tableau4[[#This Row],[AF 2 ($)]]/Tableau4[[#This Row],[Nombres appareils installés]]</f>
        <v>2825</v>
      </c>
      <c r="W66" s="192">
        <f>Tableau4[[#This Row],[AF 2 par appareil ($)]]/Tableau4[[#This Row],[Surcoût par appareil ($)]]</f>
        <v>0.65921500910066744</v>
      </c>
      <c r="X66" s="192">
        <f>Tableau4[[#This Row],[Couverture 2 (%)]]*Tableau4[[#This Row],[Nombres appareils installés]]</f>
        <v>1.3184300182013349</v>
      </c>
      <c r="Y66" s="188">
        <f>($Y$4+$Z$4*(Tableau4[[#This Row],[Capacité (BTU)]]/1000))*Tableau4[[#This Row],[Nombres appareils installés]]</f>
        <v>6100</v>
      </c>
      <c r="Z66" s="188">
        <f>Tableau4[[#This Row],[AF 3 ($)]]/Tableau4[[#This Row],[Nombres appareils installés]]</f>
        <v>3050</v>
      </c>
      <c r="AA66" s="193">
        <f>Tableau4[[#This Row],[AF 3 par appareil ($)]]/Tableau4[[#This Row],[Surcoût par appareil ($)]]</f>
        <v>0.71171885938302148</v>
      </c>
      <c r="AB66" s="193">
        <f>Tableau4[[#This Row],[Couverture 3 (%)]]*Tableau4[[#This Row],[Nombres appareils installés]]</f>
        <v>1.423437718766043</v>
      </c>
      <c r="AC66" s="188">
        <f>($AC$4+$AD$4*(Tableau4[[#This Row],[Capacité (BTU)]]/1000))*Tableau4[[#This Row],[Nombres appareils installés]]</f>
        <v>5280</v>
      </c>
      <c r="AD66" s="188">
        <f>Tableau4[[#This Row],[AF 4 ($)]]/Tableau4[[#This Row],[Nombres appareils installés]]</f>
        <v>2640</v>
      </c>
      <c r="AE66" s="194">
        <f>Tableau4[[#This Row],[Couverture 4 (%)]]*Tableau4[[#This Row],[Nombres appareils installés]]</f>
        <v>1.2320903532925749</v>
      </c>
      <c r="AF66" s="193">
        <f>Tableau4[[#This Row],[AF 4 par appareil  ($)]]/Tableau4[[#This Row],[Surcoût par appareil ($)]]</f>
        <v>0.61604517664628744</v>
      </c>
    </row>
    <row r="67" spans="2:32" x14ac:dyDescent="0.3">
      <c r="B67" s="195" t="s">
        <v>187</v>
      </c>
      <c r="C67" s="188" t="s">
        <v>197</v>
      </c>
      <c r="D67" s="188">
        <v>2</v>
      </c>
      <c r="E67" s="188">
        <v>110000</v>
      </c>
      <c r="F67" s="196">
        <f>Tableau4[[#This Row],[Economies totales (m3)]]/Tableau4[[#This Row],[Nombres appareils installés]]</f>
        <v>555.5</v>
      </c>
      <c r="G67" s="190">
        <v>1111</v>
      </c>
      <c r="H67" s="188">
        <f t="shared" si="0"/>
        <v>1885.4</v>
      </c>
      <c r="I67" s="188">
        <v>2400</v>
      </c>
      <c r="J67" s="188">
        <f>Tableau4[[#This Row],[Surcoût moyens de l''équipement ($)]]+Tableau4[[#This Row],[Surcoût moyen de l''installation ($)]]</f>
        <v>4285.3999999999996</v>
      </c>
      <c r="K67" s="188">
        <f>Tableau4[[#This Row],[Surcoût par appareil ($)]]*Tableau4[[#This Row],[Nombres appareils installés]]</f>
        <v>8570.7999999999993</v>
      </c>
      <c r="L67" s="190">
        <v>3400</v>
      </c>
      <c r="M67" s="188">
        <f t="shared" si="1"/>
        <v>2900</v>
      </c>
      <c r="N67" s="188">
        <f>Tableau4[[#This Row],[AF 0 ($)]]/Tableau4[[#This Row],[Nombres appareils installés]]</f>
        <v>1450</v>
      </c>
      <c r="O67" s="191">
        <f>(Tableau4[[#This Row],[AF accordée ($)]])/($J$6*D67)</f>
        <v>0.42463905680171854</v>
      </c>
      <c r="P67" s="191">
        <f>Tableau4[[#This Row],[Couverture 0 (%)]]*Tableau4[[#This Row],[Nombres appareils installés]]</f>
        <v>0.84927811360343708</v>
      </c>
      <c r="Q67" s="188">
        <f>($Q$4+$R$4*(Tableau4[[#This Row],[Capacité (BTU)]]/1000))*Tableau4[[#This Row],[Nombres appareils installés]]</f>
        <v>5100</v>
      </c>
      <c r="R67" s="188">
        <f>Tableau4[[#This Row],[AF 1 ($)]]/Tableau4[[#This Row],[Nombres appareils installés]]</f>
        <v>2550</v>
      </c>
      <c r="S67" s="191">
        <f>Tableau4[[#This Row],[AF 1 ($)]]/(J67*D67)</f>
        <v>0.5950436365333458</v>
      </c>
      <c r="T67" s="191">
        <f>Tableau4[[#This Row],[Couverture 1 (%)]]*Tableau4[[#This Row],[Nombres appareils installés]]</f>
        <v>1.1900872730666916</v>
      </c>
      <c r="U67" s="188">
        <f>($U$4+($V$4*(Tableau4[[#This Row],[Capacité (BTU)]]/1000)))*Tableau4[[#This Row],[Nombres appareils installés]]</f>
        <v>5650</v>
      </c>
      <c r="V67" s="188">
        <f>Tableau4[[#This Row],[AF 2 ($)]]/Tableau4[[#This Row],[Nombres appareils installés]]</f>
        <v>2825</v>
      </c>
      <c r="W67" s="192">
        <f>Tableau4[[#This Row],[AF 2 par appareil ($)]]/Tableau4[[#This Row],[Surcoût par appareil ($)]]</f>
        <v>0.65921500910066744</v>
      </c>
      <c r="X67" s="192">
        <f>Tableau4[[#This Row],[Couverture 2 (%)]]*Tableau4[[#This Row],[Nombres appareils installés]]</f>
        <v>1.3184300182013349</v>
      </c>
      <c r="Y67" s="188">
        <f>($Y$4+$Z$4*(Tableau4[[#This Row],[Capacité (BTU)]]/1000))*Tableau4[[#This Row],[Nombres appareils installés]]</f>
        <v>6100</v>
      </c>
      <c r="Z67" s="188">
        <f>Tableau4[[#This Row],[AF 3 ($)]]/Tableau4[[#This Row],[Nombres appareils installés]]</f>
        <v>3050</v>
      </c>
      <c r="AA67" s="193">
        <f>Tableau4[[#This Row],[AF 3 par appareil ($)]]/Tableau4[[#This Row],[Surcoût par appareil ($)]]</f>
        <v>0.71171885938302148</v>
      </c>
      <c r="AB67" s="193">
        <f>Tableau4[[#This Row],[Couverture 3 (%)]]*Tableau4[[#This Row],[Nombres appareils installés]]</f>
        <v>1.423437718766043</v>
      </c>
      <c r="AC67" s="188">
        <f>($AC$4+$AD$4*(Tableau4[[#This Row],[Capacité (BTU)]]/1000))*Tableau4[[#This Row],[Nombres appareils installés]]</f>
        <v>5280</v>
      </c>
      <c r="AD67" s="188">
        <f>Tableau4[[#This Row],[AF 4 ($)]]/Tableau4[[#This Row],[Nombres appareils installés]]</f>
        <v>2640</v>
      </c>
      <c r="AE67" s="194">
        <f>Tableau4[[#This Row],[Couverture 4 (%)]]*Tableau4[[#This Row],[Nombres appareils installés]]</f>
        <v>1.2320903532925749</v>
      </c>
      <c r="AF67" s="193">
        <f>Tableau4[[#This Row],[AF 4 par appareil  ($)]]/Tableau4[[#This Row],[Surcoût par appareil ($)]]</f>
        <v>0.61604517664628744</v>
      </c>
    </row>
    <row r="68" spans="2:32" x14ac:dyDescent="0.3">
      <c r="B68" s="195" t="s">
        <v>187</v>
      </c>
      <c r="C68" s="188" t="s">
        <v>198</v>
      </c>
      <c r="D68" s="188">
        <v>2</v>
      </c>
      <c r="E68" s="188">
        <v>110000</v>
      </c>
      <c r="F68" s="196">
        <f>Tableau4[[#This Row],[Economies totales (m3)]]/Tableau4[[#This Row],[Nombres appareils installés]]</f>
        <v>555.5</v>
      </c>
      <c r="G68" s="190">
        <v>1111</v>
      </c>
      <c r="H68" s="188">
        <f t="shared" si="0"/>
        <v>1885.4</v>
      </c>
      <c r="I68" s="188">
        <v>2400</v>
      </c>
      <c r="J68" s="188">
        <f>Tableau4[[#This Row],[Surcoût moyens de l''équipement ($)]]+Tableau4[[#This Row],[Surcoût moyen de l''installation ($)]]</f>
        <v>4285.3999999999996</v>
      </c>
      <c r="K68" s="188">
        <f>Tableau4[[#This Row],[Surcoût par appareil ($)]]*Tableau4[[#This Row],[Nombres appareils installés]]</f>
        <v>8570.7999999999993</v>
      </c>
      <c r="L68" s="190">
        <v>3400</v>
      </c>
      <c r="M68" s="188">
        <f t="shared" si="1"/>
        <v>2900</v>
      </c>
      <c r="N68" s="188">
        <f>Tableau4[[#This Row],[AF 0 ($)]]/Tableau4[[#This Row],[Nombres appareils installés]]</f>
        <v>1450</v>
      </c>
      <c r="O68" s="191">
        <f>(Tableau4[[#This Row],[AF accordée ($)]])/($J$6*D68)</f>
        <v>0.42463905680171854</v>
      </c>
      <c r="P68" s="191">
        <f>Tableau4[[#This Row],[Couverture 0 (%)]]*Tableau4[[#This Row],[Nombres appareils installés]]</f>
        <v>0.84927811360343708</v>
      </c>
      <c r="Q68" s="188">
        <f>($Q$4+$R$4*(Tableau4[[#This Row],[Capacité (BTU)]]/1000))*Tableau4[[#This Row],[Nombres appareils installés]]</f>
        <v>5100</v>
      </c>
      <c r="R68" s="188">
        <f>Tableau4[[#This Row],[AF 1 ($)]]/Tableau4[[#This Row],[Nombres appareils installés]]</f>
        <v>2550</v>
      </c>
      <c r="S68" s="191">
        <f>Tableau4[[#This Row],[AF 1 ($)]]/(J68*D68)</f>
        <v>0.5950436365333458</v>
      </c>
      <c r="T68" s="191">
        <f>Tableau4[[#This Row],[Couverture 1 (%)]]*Tableau4[[#This Row],[Nombres appareils installés]]</f>
        <v>1.1900872730666916</v>
      </c>
      <c r="U68" s="188">
        <f>($U$4+($V$4*(Tableau4[[#This Row],[Capacité (BTU)]]/1000)))*Tableau4[[#This Row],[Nombres appareils installés]]</f>
        <v>5650</v>
      </c>
      <c r="V68" s="188">
        <f>Tableau4[[#This Row],[AF 2 ($)]]/Tableau4[[#This Row],[Nombres appareils installés]]</f>
        <v>2825</v>
      </c>
      <c r="W68" s="192">
        <f>Tableau4[[#This Row],[AF 2 par appareil ($)]]/Tableau4[[#This Row],[Surcoût par appareil ($)]]</f>
        <v>0.65921500910066744</v>
      </c>
      <c r="X68" s="192">
        <f>Tableau4[[#This Row],[Couverture 2 (%)]]*Tableau4[[#This Row],[Nombres appareils installés]]</f>
        <v>1.3184300182013349</v>
      </c>
      <c r="Y68" s="188">
        <f>($Y$4+$Z$4*(Tableau4[[#This Row],[Capacité (BTU)]]/1000))*Tableau4[[#This Row],[Nombres appareils installés]]</f>
        <v>6100</v>
      </c>
      <c r="Z68" s="188">
        <f>Tableau4[[#This Row],[AF 3 ($)]]/Tableau4[[#This Row],[Nombres appareils installés]]</f>
        <v>3050</v>
      </c>
      <c r="AA68" s="193">
        <f>Tableau4[[#This Row],[AF 3 par appareil ($)]]/Tableau4[[#This Row],[Surcoût par appareil ($)]]</f>
        <v>0.71171885938302148</v>
      </c>
      <c r="AB68" s="193">
        <f>Tableau4[[#This Row],[Couverture 3 (%)]]*Tableau4[[#This Row],[Nombres appareils installés]]</f>
        <v>1.423437718766043</v>
      </c>
      <c r="AC68" s="188">
        <f>($AC$4+$AD$4*(Tableau4[[#This Row],[Capacité (BTU)]]/1000))*Tableau4[[#This Row],[Nombres appareils installés]]</f>
        <v>5280</v>
      </c>
      <c r="AD68" s="188">
        <f>Tableau4[[#This Row],[AF 4 ($)]]/Tableau4[[#This Row],[Nombres appareils installés]]</f>
        <v>2640</v>
      </c>
      <c r="AE68" s="194">
        <f>Tableau4[[#This Row],[Couverture 4 (%)]]*Tableau4[[#This Row],[Nombres appareils installés]]</f>
        <v>1.2320903532925749</v>
      </c>
      <c r="AF68" s="193">
        <f>Tableau4[[#This Row],[AF 4 par appareil  ($)]]/Tableau4[[#This Row],[Surcoût par appareil ($)]]</f>
        <v>0.61604517664628744</v>
      </c>
    </row>
    <row r="69" spans="2:32" x14ac:dyDescent="0.3">
      <c r="B69" s="195" t="s">
        <v>187</v>
      </c>
      <c r="C69" s="188" t="s">
        <v>168</v>
      </c>
      <c r="D69" s="188">
        <v>2</v>
      </c>
      <c r="E69" s="188">
        <v>110000</v>
      </c>
      <c r="F69" s="196">
        <f>Tableau4[[#This Row],[Economies totales (m3)]]/Tableau4[[#This Row],[Nombres appareils installés]]</f>
        <v>555.5</v>
      </c>
      <c r="G69" s="190">
        <v>1111</v>
      </c>
      <c r="H69" s="188">
        <f t="shared" si="0"/>
        <v>1885.4</v>
      </c>
      <c r="I69" s="188">
        <v>2400</v>
      </c>
      <c r="J69" s="188">
        <f>Tableau4[[#This Row],[Surcoût moyens de l''équipement ($)]]+Tableau4[[#This Row],[Surcoût moyen de l''installation ($)]]</f>
        <v>4285.3999999999996</v>
      </c>
      <c r="K69" s="188">
        <f>Tableau4[[#This Row],[Surcoût par appareil ($)]]*Tableau4[[#This Row],[Nombres appareils installés]]</f>
        <v>8570.7999999999993</v>
      </c>
      <c r="L69" s="190">
        <v>3400</v>
      </c>
      <c r="M69" s="188">
        <f t="shared" si="1"/>
        <v>2900</v>
      </c>
      <c r="N69" s="188">
        <f>Tableau4[[#This Row],[AF 0 ($)]]/Tableau4[[#This Row],[Nombres appareils installés]]</f>
        <v>1450</v>
      </c>
      <c r="O69" s="191">
        <f>(Tableau4[[#This Row],[AF accordée ($)]])/($J$6*D69)</f>
        <v>0.42463905680171854</v>
      </c>
      <c r="P69" s="191">
        <f>Tableau4[[#This Row],[Couverture 0 (%)]]*Tableau4[[#This Row],[Nombres appareils installés]]</f>
        <v>0.84927811360343708</v>
      </c>
      <c r="Q69" s="188">
        <f>($Q$4+$R$4*(Tableau4[[#This Row],[Capacité (BTU)]]/1000))*Tableau4[[#This Row],[Nombres appareils installés]]</f>
        <v>5100</v>
      </c>
      <c r="R69" s="188">
        <f>Tableau4[[#This Row],[AF 1 ($)]]/Tableau4[[#This Row],[Nombres appareils installés]]</f>
        <v>2550</v>
      </c>
      <c r="S69" s="191">
        <f>Tableau4[[#This Row],[AF 1 ($)]]/(J69*D69)</f>
        <v>0.5950436365333458</v>
      </c>
      <c r="T69" s="191">
        <f>Tableau4[[#This Row],[Couverture 1 (%)]]*Tableau4[[#This Row],[Nombres appareils installés]]</f>
        <v>1.1900872730666916</v>
      </c>
      <c r="U69" s="188">
        <f>($U$4+($V$4*(Tableau4[[#This Row],[Capacité (BTU)]]/1000)))*Tableau4[[#This Row],[Nombres appareils installés]]</f>
        <v>5650</v>
      </c>
      <c r="V69" s="188">
        <f>Tableau4[[#This Row],[AF 2 ($)]]/Tableau4[[#This Row],[Nombres appareils installés]]</f>
        <v>2825</v>
      </c>
      <c r="W69" s="192">
        <f>Tableau4[[#This Row],[AF 2 par appareil ($)]]/Tableau4[[#This Row],[Surcoût par appareil ($)]]</f>
        <v>0.65921500910066744</v>
      </c>
      <c r="X69" s="192">
        <f>Tableau4[[#This Row],[Couverture 2 (%)]]*Tableau4[[#This Row],[Nombres appareils installés]]</f>
        <v>1.3184300182013349</v>
      </c>
      <c r="Y69" s="188">
        <f>($Y$4+$Z$4*(Tableau4[[#This Row],[Capacité (BTU)]]/1000))*Tableau4[[#This Row],[Nombres appareils installés]]</f>
        <v>6100</v>
      </c>
      <c r="Z69" s="188">
        <f>Tableau4[[#This Row],[AF 3 ($)]]/Tableau4[[#This Row],[Nombres appareils installés]]</f>
        <v>3050</v>
      </c>
      <c r="AA69" s="193">
        <f>Tableau4[[#This Row],[AF 3 par appareil ($)]]/Tableau4[[#This Row],[Surcoût par appareil ($)]]</f>
        <v>0.71171885938302148</v>
      </c>
      <c r="AB69" s="193">
        <f>Tableau4[[#This Row],[Couverture 3 (%)]]*Tableau4[[#This Row],[Nombres appareils installés]]</f>
        <v>1.423437718766043</v>
      </c>
      <c r="AC69" s="188">
        <f>($AC$4+$AD$4*(Tableau4[[#This Row],[Capacité (BTU)]]/1000))*Tableau4[[#This Row],[Nombres appareils installés]]</f>
        <v>5280</v>
      </c>
      <c r="AD69" s="188">
        <f>Tableau4[[#This Row],[AF 4 ($)]]/Tableau4[[#This Row],[Nombres appareils installés]]</f>
        <v>2640</v>
      </c>
      <c r="AE69" s="194">
        <f>Tableau4[[#This Row],[Couverture 4 (%)]]*Tableau4[[#This Row],[Nombres appareils installés]]</f>
        <v>1.2320903532925749</v>
      </c>
      <c r="AF69" s="193">
        <f>Tableau4[[#This Row],[AF 4 par appareil  ($)]]/Tableau4[[#This Row],[Surcoût par appareil ($)]]</f>
        <v>0.61604517664628744</v>
      </c>
    </row>
    <row r="70" spans="2:32" x14ac:dyDescent="0.3">
      <c r="B70" s="195" t="s">
        <v>187</v>
      </c>
      <c r="C70" s="188" t="s">
        <v>199</v>
      </c>
      <c r="D70" s="188">
        <v>1</v>
      </c>
      <c r="E70" s="188">
        <v>130000</v>
      </c>
      <c r="F70" s="196">
        <f>Tableau4[[#This Row],[Economies totales (m3)]]/Tableau4[[#This Row],[Nombres appareils installés]]</f>
        <v>656.5</v>
      </c>
      <c r="G70" s="190">
        <v>656.5</v>
      </c>
      <c r="H70" s="188">
        <f t="shared" ref="H70:H133" si="2">(0.00000003*E70^2 - 0.0001*E70 + 1533.4)</f>
        <v>2027.4</v>
      </c>
      <c r="I70" s="188">
        <v>2400</v>
      </c>
      <c r="J70" s="188">
        <f>Tableau4[[#This Row],[Surcoût moyens de l''équipement ($)]]+Tableau4[[#This Row],[Surcoût moyen de l''installation ($)]]</f>
        <v>4427.3999999999996</v>
      </c>
      <c r="K70" s="188">
        <f>Tableau4[[#This Row],[Surcoût par appareil ($)]]*Tableau4[[#This Row],[Nombres appareils installés]]</f>
        <v>4427.3999999999996</v>
      </c>
      <c r="L70" s="190">
        <v>1700</v>
      </c>
      <c r="M70" s="188">
        <f t="shared" ref="M70:M133" si="3">($M$4+$N$4*(E70/1000))*D70</f>
        <v>1550</v>
      </c>
      <c r="N70" s="188">
        <f>Tableau4[[#This Row],[AF 0 ($)]]/Tableau4[[#This Row],[Nombres appareils installés]]</f>
        <v>1550</v>
      </c>
      <c r="O70" s="191">
        <f>(Tableau4[[#This Row],[AF accordée ($)]])/($J$6*D70)</f>
        <v>0.42463905680171854</v>
      </c>
      <c r="P70" s="191">
        <f>Tableau4[[#This Row],[Couverture 0 (%)]]*Tableau4[[#This Row],[Nombres appareils installés]]</f>
        <v>0.42463905680171854</v>
      </c>
      <c r="Q70" s="188">
        <f>($Q$4+$R$4*(Tableau4[[#This Row],[Capacité (BTU)]]/1000))*Tableau4[[#This Row],[Nombres appareils installés]]</f>
        <v>2650</v>
      </c>
      <c r="R70" s="188">
        <f>Tableau4[[#This Row],[AF 1 ($)]]/Tableau4[[#This Row],[Nombres appareils installés]]</f>
        <v>2650</v>
      </c>
      <c r="S70" s="191">
        <f>Tableau4[[#This Row],[AF 1 ($)]]/(J70*D70)</f>
        <v>0.59854542169218961</v>
      </c>
      <c r="T70" s="191">
        <f>Tableau4[[#This Row],[Couverture 1 (%)]]*Tableau4[[#This Row],[Nombres appareils installés]]</f>
        <v>0.59854542169218961</v>
      </c>
      <c r="U70" s="188">
        <f>($U$4+($V$4*(Tableau4[[#This Row],[Capacité (BTU)]]/1000)))*Tableau4[[#This Row],[Nombres appareils installés]]</f>
        <v>2975</v>
      </c>
      <c r="V70" s="188">
        <f>Tableau4[[#This Row],[AF 2 ($)]]/Tableau4[[#This Row],[Nombres appareils installés]]</f>
        <v>2975</v>
      </c>
      <c r="W70" s="192">
        <f>Tableau4[[#This Row],[AF 2 par appareil ($)]]/Tableau4[[#This Row],[Surcoût par appareil ($)]]</f>
        <v>0.67195193567330724</v>
      </c>
      <c r="X70" s="192">
        <f>Tableau4[[#This Row],[Couverture 2 (%)]]*Tableau4[[#This Row],[Nombres appareils installés]]</f>
        <v>0.67195193567330724</v>
      </c>
      <c r="Y70" s="188">
        <f>($Y$4+$Z$4*(Tableau4[[#This Row],[Capacité (BTU)]]/1000))*Tableau4[[#This Row],[Nombres appareils installés]]</f>
        <v>3150</v>
      </c>
      <c r="Z70" s="188">
        <f>Tableau4[[#This Row],[AF 3 ($)]]/Tableau4[[#This Row],[Nombres appareils installés]]</f>
        <v>3150</v>
      </c>
      <c r="AA70" s="193">
        <f>Tableau4[[#This Row],[AF 3 par appareil ($)]]/Tableau4[[#This Row],[Surcoût par appareil ($)]]</f>
        <v>0.71147852012467816</v>
      </c>
      <c r="AB70" s="193">
        <f>Tableau4[[#This Row],[Couverture 3 (%)]]*Tableau4[[#This Row],[Nombres appareils installés]]</f>
        <v>0.71147852012467816</v>
      </c>
      <c r="AC70" s="188">
        <f>($AC$4+$AD$4*(Tableau4[[#This Row],[Capacité (BTU)]]/1000))*Tableau4[[#This Row],[Nombres appareils installés]]</f>
        <v>2720</v>
      </c>
      <c r="AD70" s="188">
        <f>Tableau4[[#This Row],[AF 4 ($)]]/Tableau4[[#This Row],[Nombres appareils installés]]</f>
        <v>2720</v>
      </c>
      <c r="AE70" s="194">
        <f>Tableau4[[#This Row],[Couverture 4 (%)]]*Tableau4[[#This Row],[Nombres appareils installés]]</f>
        <v>0.61435605547273797</v>
      </c>
      <c r="AF70" s="193">
        <f>Tableau4[[#This Row],[AF 4 par appareil  ($)]]/Tableau4[[#This Row],[Surcoût par appareil ($)]]</f>
        <v>0.61435605547273797</v>
      </c>
    </row>
    <row r="71" spans="2:32" x14ac:dyDescent="0.3">
      <c r="B71" s="195" t="s">
        <v>187</v>
      </c>
      <c r="C71" s="188" t="s">
        <v>200</v>
      </c>
      <c r="D71" s="188">
        <v>1</v>
      </c>
      <c r="E71" s="188">
        <v>130000</v>
      </c>
      <c r="F71" s="196">
        <f>Tableau4[[#This Row],[Economies totales (m3)]]/Tableau4[[#This Row],[Nombres appareils installés]]</f>
        <v>656.5</v>
      </c>
      <c r="G71" s="190">
        <v>656.5</v>
      </c>
      <c r="H71" s="188">
        <f t="shared" si="2"/>
        <v>2027.4</v>
      </c>
      <c r="I71" s="188">
        <v>2400</v>
      </c>
      <c r="J71" s="188">
        <f>Tableau4[[#This Row],[Surcoût moyens de l''équipement ($)]]+Tableau4[[#This Row],[Surcoût moyen de l''installation ($)]]</f>
        <v>4427.3999999999996</v>
      </c>
      <c r="K71" s="188">
        <f>Tableau4[[#This Row],[Surcoût par appareil ($)]]*Tableau4[[#This Row],[Nombres appareils installés]]</f>
        <v>4427.3999999999996</v>
      </c>
      <c r="L71" s="190">
        <v>1700</v>
      </c>
      <c r="M71" s="188">
        <f t="shared" si="3"/>
        <v>1550</v>
      </c>
      <c r="N71" s="188">
        <f>Tableau4[[#This Row],[AF 0 ($)]]/Tableau4[[#This Row],[Nombres appareils installés]]</f>
        <v>1550</v>
      </c>
      <c r="O71" s="191">
        <f>(Tableau4[[#This Row],[AF accordée ($)]])/($J$6*D71)</f>
        <v>0.42463905680171854</v>
      </c>
      <c r="P71" s="191">
        <f>Tableau4[[#This Row],[Couverture 0 (%)]]*Tableau4[[#This Row],[Nombres appareils installés]]</f>
        <v>0.42463905680171854</v>
      </c>
      <c r="Q71" s="188">
        <f>($Q$4+$R$4*(Tableau4[[#This Row],[Capacité (BTU)]]/1000))*Tableau4[[#This Row],[Nombres appareils installés]]</f>
        <v>2650</v>
      </c>
      <c r="R71" s="188">
        <f>Tableau4[[#This Row],[AF 1 ($)]]/Tableau4[[#This Row],[Nombres appareils installés]]</f>
        <v>2650</v>
      </c>
      <c r="S71" s="191">
        <f>Tableau4[[#This Row],[AF 1 ($)]]/(J71*D71)</f>
        <v>0.59854542169218961</v>
      </c>
      <c r="T71" s="191">
        <f>Tableau4[[#This Row],[Couverture 1 (%)]]*Tableau4[[#This Row],[Nombres appareils installés]]</f>
        <v>0.59854542169218961</v>
      </c>
      <c r="U71" s="188">
        <f>($U$4+($V$4*(Tableau4[[#This Row],[Capacité (BTU)]]/1000)))*Tableau4[[#This Row],[Nombres appareils installés]]</f>
        <v>2975</v>
      </c>
      <c r="V71" s="188">
        <f>Tableau4[[#This Row],[AF 2 ($)]]/Tableau4[[#This Row],[Nombres appareils installés]]</f>
        <v>2975</v>
      </c>
      <c r="W71" s="192">
        <f>Tableau4[[#This Row],[AF 2 par appareil ($)]]/Tableau4[[#This Row],[Surcoût par appareil ($)]]</f>
        <v>0.67195193567330724</v>
      </c>
      <c r="X71" s="192">
        <f>Tableau4[[#This Row],[Couverture 2 (%)]]*Tableau4[[#This Row],[Nombres appareils installés]]</f>
        <v>0.67195193567330724</v>
      </c>
      <c r="Y71" s="188">
        <f>($Y$4+$Z$4*(Tableau4[[#This Row],[Capacité (BTU)]]/1000))*Tableau4[[#This Row],[Nombres appareils installés]]</f>
        <v>3150</v>
      </c>
      <c r="Z71" s="188">
        <f>Tableau4[[#This Row],[AF 3 ($)]]/Tableau4[[#This Row],[Nombres appareils installés]]</f>
        <v>3150</v>
      </c>
      <c r="AA71" s="193">
        <f>Tableau4[[#This Row],[AF 3 par appareil ($)]]/Tableau4[[#This Row],[Surcoût par appareil ($)]]</f>
        <v>0.71147852012467816</v>
      </c>
      <c r="AB71" s="193">
        <f>Tableau4[[#This Row],[Couverture 3 (%)]]*Tableau4[[#This Row],[Nombres appareils installés]]</f>
        <v>0.71147852012467816</v>
      </c>
      <c r="AC71" s="188">
        <f>($AC$4+$AD$4*(Tableau4[[#This Row],[Capacité (BTU)]]/1000))*Tableau4[[#This Row],[Nombres appareils installés]]</f>
        <v>2720</v>
      </c>
      <c r="AD71" s="188">
        <f>Tableau4[[#This Row],[AF 4 ($)]]/Tableau4[[#This Row],[Nombres appareils installés]]</f>
        <v>2720</v>
      </c>
      <c r="AE71" s="194">
        <f>Tableau4[[#This Row],[Couverture 4 (%)]]*Tableau4[[#This Row],[Nombres appareils installés]]</f>
        <v>0.61435605547273797</v>
      </c>
      <c r="AF71" s="193">
        <f>Tableau4[[#This Row],[AF 4 par appareil  ($)]]/Tableau4[[#This Row],[Surcoût par appareil ($)]]</f>
        <v>0.61435605547273797</v>
      </c>
    </row>
    <row r="72" spans="2:32" x14ac:dyDescent="0.3">
      <c r="B72" s="195" t="s">
        <v>187</v>
      </c>
      <c r="C72" s="188" t="s">
        <v>201</v>
      </c>
      <c r="D72" s="188">
        <v>1</v>
      </c>
      <c r="E72" s="188">
        <v>130000</v>
      </c>
      <c r="F72" s="196">
        <f>Tableau4[[#This Row],[Economies totales (m3)]]/Tableau4[[#This Row],[Nombres appareils installés]]</f>
        <v>656.5</v>
      </c>
      <c r="G72" s="190">
        <v>656.5</v>
      </c>
      <c r="H72" s="188">
        <f t="shared" si="2"/>
        <v>2027.4</v>
      </c>
      <c r="I72" s="188">
        <v>2400</v>
      </c>
      <c r="J72" s="188">
        <f>Tableau4[[#This Row],[Surcoût moyens de l''équipement ($)]]+Tableau4[[#This Row],[Surcoût moyen de l''installation ($)]]</f>
        <v>4427.3999999999996</v>
      </c>
      <c r="K72" s="188">
        <f>Tableau4[[#This Row],[Surcoût par appareil ($)]]*Tableau4[[#This Row],[Nombres appareils installés]]</f>
        <v>4427.3999999999996</v>
      </c>
      <c r="L72" s="190">
        <v>1700</v>
      </c>
      <c r="M72" s="188">
        <f t="shared" si="3"/>
        <v>1550</v>
      </c>
      <c r="N72" s="188">
        <f>Tableau4[[#This Row],[AF 0 ($)]]/Tableau4[[#This Row],[Nombres appareils installés]]</f>
        <v>1550</v>
      </c>
      <c r="O72" s="191">
        <f>(Tableau4[[#This Row],[AF accordée ($)]])/($J$6*D72)</f>
        <v>0.42463905680171854</v>
      </c>
      <c r="P72" s="191">
        <f>Tableau4[[#This Row],[Couverture 0 (%)]]*Tableau4[[#This Row],[Nombres appareils installés]]</f>
        <v>0.42463905680171854</v>
      </c>
      <c r="Q72" s="188">
        <f>($Q$4+$R$4*(Tableau4[[#This Row],[Capacité (BTU)]]/1000))*Tableau4[[#This Row],[Nombres appareils installés]]</f>
        <v>2650</v>
      </c>
      <c r="R72" s="188">
        <f>Tableau4[[#This Row],[AF 1 ($)]]/Tableau4[[#This Row],[Nombres appareils installés]]</f>
        <v>2650</v>
      </c>
      <c r="S72" s="191">
        <f>Tableau4[[#This Row],[AF 1 ($)]]/(J72*D72)</f>
        <v>0.59854542169218961</v>
      </c>
      <c r="T72" s="191">
        <f>Tableau4[[#This Row],[Couverture 1 (%)]]*Tableau4[[#This Row],[Nombres appareils installés]]</f>
        <v>0.59854542169218961</v>
      </c>
      <c r="U72" s="188">
        <f>($U$4+($V$4*(Tableau4[[#This Row],[Capacité (BTU)]]/1000)))*Tableau4[[#This Row],[Nombres appareils installés]]</f>
        <v>2975</v>
      </c>
      <c r="V72" s="188">
        <f>Tableau4[[#This Row],[AF 2 ($)]]/Tableau4[[#This Row],[Nombres appareils installés]]</f>
        <v>2975</v>
      </c>
      <c r="W72" s="192">
        <f>Tableau4[[#This Row],[AF 2 par appareil ($)]]/Tableau4[[#This Row],[Surcoût par appareil ($)]]</f>
        <v>0.67195193567330724</v>
      </c>
      <c r="X72" s="192">
        <f>Tableau4[[#This Row],[Couverture 2 (%)]]*Tableau4[[#This Row],[Nombres appareils installés]]</f>
        <v>0.67195193567330724</v>
      </c>
      <c r="Y72" s="188">
        <f>($Y$4+$Z$4*(Tableau4[[#This Row],[Capacité (BTU)]]/1000))*Tableau4[[#This Row],[Nombres appareils installés]]</f>
        <v>3150</v>
      </c>
      <c r="Z72" s="188">
        <f>Tableau4[[#This Row],[AF 3 ($)]]/Tableau4[[#This Row],[Nombres appareils installés]]</f>
        <v>3150</v>
      </c>
      <c r="AA72" s="193">
        <f>Tableau4[[#This Row],[AF 3 par appareil ($)]]/Tableau4[[#This Row],[Surcoût par appareil ($)]]</f>
        <v>0.71147852012467816</v>
      </c>
      <c r="AB72" s="193">
        <f>Tableau4[[#This Row],[Couverture 3 (%)]]*Tableau4[[#This Row],[Nombres appareils installés]]</f>
        <v>0.71147852012467816</v>
      </c>
      <c r="AC72" s="188">
        <f>($AC$4+$AD$4*(Tableau4[[#This Row],[Capacité (BTU)]]/1000))*Tableau4[[#This Row],[Nombres appareils installés]]</f>
        <v>2720</v>
      </c>
      <c r="AD72" s="188">
        <f>Tableau4[[#This Row],[AF 4 ($)]]/Tableau4[[#This Row],[Nombres appareils installés]]</f>
        <v>2720</v>
      </c>
      <c r="AE72" s="194">
        <f>Tableau4[[#This Row],[Couverture 4 (%)]]*Tableau4[[#This Row],[Nombres appareils installés]]</f>
        <v>0.61435605547273797</v>
      </c>
      <c r="AF72" s="193">
        <f>Tableau4[[#This Row],[AF 4 par appareil  ($)]]/Tableau4[[#This Row],[Surcoût par appareil ($)]]</f>
        <v>0.61435605547273797</v>
      </c>
    </row>
    <row r="73" spans="2:32" x14ac:dyDescent="0.3">
      <c r="B73" s="195" t="s">
        <v>187</v>
      </c>
      <c r="C73" s="188" t="s">
        <v>202</v>
      </c>
      <c r="D73" s="188">
        <v>1</v>
      </c>
      <c r="E73" s="188">
        <v>135000</v>
      </c>
      <c r="F73" s="196">
        <f>Tableau4[[#This Row],[Economies totales (m3)]]/Tableau4[[#This Row],[Nombres appareils installés]]</f>
        <v>681.75</v>
      </c>
      <c r="G73" s="190">
        <v>681.75</v>
      </c>
      <c r="H73" s="188">
        <f t="shared" si="2"/>
        <v>2066.65</v>
      </c>
      <c r="I73" s="188">
        <v>2400</v>
      </c>
      <c r="J73" s="188">
        <f>Tableau4[[#This Row],[Surcoût moyens de l''équipement ($)]]+Tableau4[[#This Row],[Surcoût moyen de l''installation ($)]]</f>
        <v>4466.6499999999996</v>
      </c>
      <c r="K73" s="188">
        <f>Tableau4[[#This Row],[Surcoût par appareil ($)]]*Tableau4[[#This Row],[Nombres appareils installés]]</f>
        <v>4466.6499999999996</v>
      </c>
      <c r="L73" s="190">
        <v>1700</v>
      </c>
      <c r="M73" s="188">
        <f t="shared" si="3"/>
        <v>1575</v>
      </c>
      <c r="N73" s="188">
        <f>Tableau4[[#This Row],[AF 0 ($)]]/Tableau4[[#This Row],[Nombres appareils installés]]</f>
        <v>1575</v>
      </c>
      <c r="O73" s="191">
        <f>(Tableau4[[#This Row],[AF accordée ($)]])/($J$6*D73)</f>
        <v>0.42463905680171854</v>
      </c>
      <c r="P73" s="191">
        <f>Tableau4[[#This Row],[Couverture 0 (%)]]*Tableau4[[#This Row],[Nombres appareils installés]]</f>
        <v>0.42463905680171854</v>
      </c>
      <c r="Q73" s="188">
        <f>($Q$4+$R$4*(Tableau4[[#This Row],[Capacité (BTU)]]/1000))*Tableau4[[#This Row],[Nombres appareils installés]]</f>
        <v>2675</v>
      </c>
      <c r="R73" s="188">
        <f>Tableau4[[#This Row],[AF 1 ($)]]/Tableau4[[#This Row],[Nombres appareils installés]]</f>
        <v>2675</v>
      </c>
      <c r="S73" s="191">
        <f>Tableau4[[#This Row],[AF 1 ($)]]/(J73*D73)</f>
        <v>0.59888283165235701</v>
      </c>
      <c r="T73" s="191">
        <f>Tableau4[[#This Row],[Couverture 1 (%)]]*Tableau4[[#This Row],[Nombres appareils installés]]</f>
        <v>0.59888283165235701</v>
      </c>
      <c r="U73" s="188">
        <f>($U$4+($V$4*(Tableau4[[#This Row],[Capacité (BTU)]]/1000)))*Tableau4[[#This Row],[Nombres appareils installés]]</f>
        <v>3012.5</v>
      </c>
      <c r="V73" s="188">
        <f>Tableau4[[#This Row],[AF 2 ($)]]/Tableau4[[#This Row],[Nombres appareils installés]]</f>
        <v>3012.5</v>
      </c>
      <c r="W73" s="192">
        <f>Tableau4[[#This Row],[AF 2 par appareil ($)]]/Tableau4[[#This Row],[Surcoût par appareil ($)]]</f>
        <v>0.67444281508513093</v>
      </c>
      <c r="X73" s="192">
        <f>Tableau4[[#This Row],[Couverture 2 (%)]]*Tableau4[[#This Row],[Nombres appareils installés]]</f>
        <v>0.67444281508513093</v>
      </c>
      <c r="Y73" s="188">
        <f>($Y$4+$Z$4*(Tableau4[[#This Row],[Capacité (BTU)]]/1000))*Tableau4[[#This Row],[Nombres appareils installés]]</f>
        <v>3175</v>
      </c>
      <c r="Z73" s="188">
        <f>Tableau4[[#This Row],[AF 3 ($)]]/Tableau4[[#This Row],[Nombres appareils installés]]</f>
        <v>3175</v>
      </c>
      <c r="AA73" s="193">
        <f>Tableau4[[#This Row],[AF 3 par appareil ($)]]/Tableau4[[#This Row],[Surcoût par appareil ($)]]</f>
        <v>0.71082354784905921</v>
      </c>
      <c r="AB73" s="193">
        <f>Tableau4[[#This Row],[Couverture 3 (%)]]*Tableau4[[#This Row],[Nombres appareils installés]]</f>
        <v>0.71082354784905921</v>
      </c>
      <c r="AC73" s="188">
        <f>($AC$4+$AD$4*(Tableau4[[#This Row],[Capacité (BTU)]]/1000))*Tableau4[[#This Row],[Nombres appareils installés]]</f>
        <v>2740</v>
      </c>
      <c r="AD73" s="188">
        <f>Tableau4[[#This Row],[AF 4 ($)]]/Tableau4[[#This Row],[Nombres appareils installés]]</f>
        <v>2740</v>
      </c>
      <c r="AE73" s="194">
        <f>Tableau4[[#This Row],[Couverture 4 (%)]]*Tableau4[[#This Row],[Nombres appareils installés]]</f>
        <v>0.61343512475792827</v>
      </c>
      <c r="AF73" s="193">
        <f>Tableau4[[#This Row],[AF 4 par appareil  ($)]]/Tableau4[[#This Row],[Surcoût par appareil ($)]]</f>
        <v>0.61343512475792827</v>
      </c>
    </row>
    <row r="74" spans="2:32" x14ac:dyDescent="0.3">
      <c r="B74" s="195" t="s">
        <v>187</v>
      </c>
      <c r="C74" s="188" t="s">
        <v>203</v>
      </c>
      <c r="D74" s="188">
        <v>2</v>
      </c>
      <c r="E74" s="188">
        <v>135000</v>
      </c>
      <c r="F74" s="196">
        <f>Tableau4[[#This Row],[Economies totales (m3)]]/Tableau4[[#This Row],[Nombres appareils installés]]</f>
        <v>681.75</v>
      </c>
      <c r="G74" s="190">
        <v>1363.5</v>
      </c>
      <c r="H74" s="188">
        <f t="shared" si="2"/>
        <v>2066.65</v>
      </c>
      <c r="I74" s="188">
        <v>2400</v>
      </c>
      <c r="J74" s="188">
        <f>Tableau4[[#This Row],[Surcoût moyens de l''équipement ($)]]+Tableau4[[#This Row],[Surcoût moyen de l''installation ($)]]</f>
        <v>4466.6499999999996</v>
      </c>
      <c r="K74" s="188">
        <f>Tableau4[[#This Row],[Surcoût par appareil ($)]]*Tableau4[[#This Row],[Nombres appareils installés]]</f>
        <v>8933.2999999999993</v>
      </c>
      <c r="L74" s="190">
        <v>3400</v>
      </c>
      <c r="M74" s="188">
        <f t="shared" si="3"/>
        <v>3150</v>
      </c>
      <c r="N74" s="188">
        <f>Tableau4[[#This Row],[AF 0 ($)]]/Tableau4[[#This Row],[Nombres appareils installés]]</f>
        <v>1575</v>
      </c>
      <c r="O74" s="191">
        <f>(Tableau4[[#This Row],[AF accordée ($)]])/($J$6*D74)</f>
        <v>0.42463905680171854</v>
      </c>
      <c r="P74" s="191">
        <f>Tableau4[[#This Row],[Couverture 0 (%)]]*Tableau4[[#This Row],[Nombres appareils installés]]</f>
        <v>0.84927811360343708</v>
      </c>
      <c r="Q74" s="188">
        <f>($Q$4+$R$4*(Tableau4[[#This Row],[Capacité (BTU)]]/1000))*Tableau4[[#This Row],[Nombres appareils installés]]</f>
        <v>5350</v>
      </c>
      <c r="R74" s="188">
        <f>Tableau4[[#This Row],[AF 1 ($)]]/Tableau4[[#This Row],[Nombres appareils installés]]</f>
        <v>2675</v>
      </c>
      <c r="S74" s="191">
        <f>Tableau4[[#This Row],[AF 1 ($)]]/(J74*D74)</f>
        <v>0.59888283165235701</v>
      </c>
      <c r="T74" s="191">
        <f>Tableau4[[#This Row],[Couverture 1 (%)]]*Tableau4[[#This Row],[Nombres appareils installés]]</f>
        <v>1.197765663304714</v>
      </c>
      <c r="U74" s="188">
        <f>($U$4+($V$4*(Tableau4[[#This Row],[Capacité (BTU)]]/1000)))*Tableau4[[#This Row],[Nombres appareils installés]]</f>
        <v>6025</v>
      </c>
      <c r="V74" s="188">
        <f>Tableau4[[#This Row],[AF 2 ($)]]/Tableau4[[#This Row],[Nombres appareils installés]]</f>
        <v>3012.5</v>
      </c>
      <c r="W74" s="192">
        <f>Tableau4[[#This Row],[AF 2 par appareil ($)]]/Tableau4[[#This Row],[Surcoût par appareil ($)]]</f>
        <v>0.67444281508513093</v>
      </c>
      <c r="X74" s="192">
        <f>Tableau4[[#This Row],[Couverture 2 (%)]]*Tableau4[[#This Row],[Nombres appareils installés]]</f>
        <v>1.3488856301702619</v>
      </c>
      <c r="Y74" s="188">
        <f>($Y$4+$Z$4*(Tableau4[[#This Row],[Capacité (BTU)]]/1000))*Tableau4[[#This Row],[Nombres appareils installés]]</f>
        <v>6350</v>
      </c>
      <c r="Z74" s="188">
        <f>Tableau4[[#This Row],[AF 3 ($)]]/Tableau4[[#This Row],[Nombres appareils installés]]</f>
        <v>3175</v>
      </c>
      <c r="AA74" s="193">
        <f>Tableau4[[#This Row],[AF 3 par appareil ($)]]/Tableau4[[#This Row],[Surcoût par appareil ($)]]</f>
        <v>0.71082354784905921</v>
      </c>
      <c r="AB74" s="193">
        <f>Tableau4[[#This Row],[Couverture 3 (%)]]*Tableau4[[#This Row],[Nombres appareils installés]]</f>
        <v>1.4216470956981184</v>
      </c>
      <c r="AC74" s="188">
        <f>($AC$4+$AD$4*(Tableau4[[#This Row],[Capacité (BTU)]]/1000))*Tableau4[[#This Row],[Nombres appareils installés]]</f>
        <v>5480</v>
      </c>
      <c r="AD74" s="188">
        <f>Tableau4[[#This Row],[AF 4 ($)]]/Tableau4[[#This Row],[Nombres appareils installés]]</f>
        <v>2740</v>
      </c>
      <c r="AE74" s="194">
        <f>Tableau4[[#This Row],[Couverture 4 (%)]]*Tableau4[[#This Row],[Nombres appareils installés]]</f>
        <v>1.2268702495158565</v>
      </c>
      <c r="AF74" s="193">
        <f>Tableau4[[#This Row],[AF 4 par appareil  ($)]]/Tableau4[[#This Row],[Surcoût par appareil ($)]]</f>
        <v>0.61343512475792827</v>
      </c>
    </row>
    <row r="75" spans="2:32" x14ac:dyDescent="0.3">
      <c r="B75" s="195" t="s">
        <v>187</v>
      </c>
      <c r="C75" s="188" t="s">
        <v>204</v>
      </c>
      <c r="D75" s="188">
        <v>2</v>
      </c>
      <c r="E75" s="188">
        <v>135000</v>
      </c>
      <c r="F75" s="196">
        <f>Tableau4[[#This Row],[Economies totales (m3)]]/Tableau4[[#This Row],[Nombres appareils installés]]</f>
        <v>681.75</v>
      </c>
      <c r="G75" s="190">
        <v>1363.5</v>
      </c>
      <c r="H75" s="188">
        <f t="shared" si="2"/>
        <v>2066.65</v>
      </c>
      <c r="I75" s="188">
        <v>2400</v>
      </c>
      <c r="J75" s="188">
        <f>Tableau4[[#This Row],[Surcoût moyens de l''équipement ($)]]+Tableau4[[#This Row],[Surcoût moyen de l''installation ($)]]</f>
        <v>4466.6499999999996</v>
      </c>
      <c r="K75" s="188">
        <f>Tableau4[[#This Row],[Surcoût par appareil ($)]]*Tableau4[[#This Row],[Nombres appareils installés]]</f>
        <v>8933.2999999999993</v>
      </c>
      <c r="L75" s="190">
        <v>3400</v>
      </c>
      <c r="M75" s="188">
        <f t="shared" si="3"/>
        <v>3150</v>
      </c>
      <c r="N75" s="188">
        <f>Tableau4[[#This Row],[AF 0 ($)]]/Tableau4[[#This Row],[Nombres appareils installés]]</f>
        <v>1575</v>
      </c>
      <c r="O75" s="191">
        <f>(Tableau4[[#This Row],[AF accordée ($)]])/($J$6*D75)</f>
        <v>0.42463905680171854</v>
      </c>
      <c r="P75" s="191">
        <f>Tableau4[[#This Row],[Couverture 0 (%)]]*Tableau4[[#This Row],[Nombres appareils installés]]</f>
        <v>0.84927811360343708</v>
      </c>
      <c r="Q75" s="188">
        <f>($Q$4+$R$4*(Tableau4[[#This Row],[Capacité (BTU)]]/1000))*Tableau4[[#This Row],[Nombres appareils installés]]</f>
        <v>5350</v>
      </c>
      <c r="R75" s="188">
        <f>Tableau4[[#This Row],[AF 1 ($)]]/Tableau4[[#This Row],[Nombres appareils installés]]</f>
        <v>2675</v>
      </c>
      <c r="S75" s="191">
        <f>Tableau4[[#This Row],[AF 1 ($)]]/(J75*D75)</f>
        <v>0.59888283165235701</v>
      </c>
      <c r="T75" s="191">
        <f>Tableau4[[#This Row],[Couverture 1 (%)]]*Tableau4[[#This Row],[Nombres appareils installés]]</f>
        <v>1.197765663304714</v>
      </c>
      <c r="U75" s="188">
        <f>($U$4+($V$4*(Tableau4[[#This Row],[Capacité (BTU)]]/1000)))*Tableau4[[#This Row],[Nombres appareils installés]]</f>
        <v>6025</v>
      </c>
      <c r="V75" s="188">
        <f>Tableau4[[#This Row],[AF 2 ($)]]/Tableau4[[#This Row],[Nombres appareils installés]]</f>
        <v>3012.5</v>
      </c>
      <c r="W75" s="192">
        <f>Tableau4[[#This Row],[AF 2 par appareil ($)]]/Tableau4[[#This Row],[Surcoût par appareil ($)]]</f>
        <v>0.67444281508513093</v>
      </c>
      <c r="X75" s="192">
        <f>Tableau4[[#This Row],[Couverture 2 (%)]]*Tableau4[[#This Row],[Nombres appareils installés]]</f>
        <v>1.3488856301702619</v>
      </c>
      <c r="Y75" s="188">
        <f>($Y$4+$Z$4*(Tableau4[[#This Row],[Capacité (BTU)]]/1000))*Tableau4[[#This Row],[Nombres appareils installés]]</f>
        <v>6350</v>
      </c>
      <c r="Z75" s="188">
        <f>Tableau4[[#This Row],[AF 3 ($)]]/Tableau4[[#This Row],[Nombres appareils installés]]</f>
        <v>3175</v>
      </c>
      <c r="AA75" s="193">
        <f>Tableau4[[#This Row],[AF 3 par appareil ($)]]/Tableau4[[#This Row],[Surcoût par appareil ($)]]</f>
        <v>0.71082354784905921</v>
      </c>
      <c r="AB75" s="193">
        <f>Tableau4[[#This Row],[Couverture 3 (%)]]*Tableau4[[#This Row],[Nombres appareils installés]]</f>
        <v>1.4216470956981184</v>
      </c>
      <c r="AC75" s="188">
        <f>($AC$4+$AD$4*(Tableau4[[#This Row],[Capacité (BTU)]]/1000))*Tableau4[[#This Row],[Nombres appareils installés]]</f>
        <v>5480</v>
      </c>
      <c r="AD75" s="188">
        <f>Tableau4[[#This Row],[AF 4 ($)]]/Tableau4[[#This Row],[Nombres appareils installés]]</f>
        <v>2740</v>
      </c>
      <c r="AE75" s="194">
        <f>Tableau4[[#This Row],[Couverture 4 (%)]]*Tableau4[[#This Row],[Nombres appareils installés]]</f>
        <v>1.2268702495158565</v>
      </c>
      <c r="AF75" s="193">
        <f>Tableau4[[#This Row],[AF 4 par appareil  ($)]]/Tableau4[[#This Row],[Surcoût par appareil ($)]]</f>
        <v>0.61343512475792827</v>
      </c>
    </row>
    <row r="76" spans="2:32" x14ac:dyDescent="0.3">
      <c r="B76" s="195" t="s">
        <v>187</v>
      </c>
      <c r="C76" s="188" t="s">
        <v>168</v>
      </c>
      <c r="D76" s="188">
        <v>1</v>
      </c>
      <c r="E76" s="188">
        <v>150000</v>
      </c>
      <c r="F76" s="196">
        <f>Tableau4[[#This Row],[Economies totales (m3)]]/Tableau4[[#This Row],[Nombres appareils installés]]</f>
        <v>757.5</v>
      </c>
      <c r="G76" s="190">
        <v>757.5</v>
      </c>
      <c r="H76" s="188">
        <f t="shared" si="2"/>
        <v>2193.4</v>
      </c>
      <c r="I76" s="188">
        <v>2400</v>
      </c>
      <c r="J76" s="188">
        <f>Tableau4[[#This Row],[Surcoût moyens de l''équipement ($)]]+Tableau4[[#This Row],[Surcoût moyen de l''installation ($)]]</f>
        <v>4593.3999999999996</v>
      </c>
      <c r="K76" s="188">
        <f>Tableau4[[#This Row],[Surcoût par appareil ($)]]*Tableau4[[#This Row],[Nombres appareils installés]]</f>
        <v>4593.3999999999996</v>
      </c>
      <c r="L76" s="190">
        <v>1700</v>
      </c>
      <c r="M76" s="188">
        <f t="shared" si="3"/>
        <v>1650</v>
      </c>
      <c r="N76" s="188">
        <f>Tableau4[[#This Row],[AF 0 ($)]]/Tableau4[[#This Row],[Nombres appareils installés]]</f>
        <v>1650</v>
      </c>
      <c r="O76" s="191">
        <f>(Tableau4[[#This Row],[AF accordée ($)]])/($J$6*D76)</f>
        <v>0.42463905680171854</v>
      </c>
      <c r="P76" s="191">
        <f>Tableau4[[#This Row],[Couverture 0 (%)]]*Tableau4[[#This Row],[Nombres appareils installés]]</f>
        <v>0.42463905680171854</v>
      </c>
      <c r="Q76" s="188">
        <f>($Q$4+$R$4*(Tableau4[[#This Row],[Capacité (BTU)]]/1000))*Tableau4[[#This Row],[Nombres appareils installés]]</f>
        <v>2750</v>
      </c>
      <c r="R76" s="188">
        <f>Tableau4[[#This Row],[AF 1 ($)]]/Tableau4[[#This Row],[Nombres appareils installés]]</f>
        <v>2750</v>
      </c>
      <c r="S76" s="191">
        <f>Tableau4[[#This Row],[AF 1 ($)]]/(J76*D76)</f>
        <v>0.59868506988287551</v>
      </c>
      <c r="T76" s="191">
        <f>Tableau4[[#This Row],[Couverture 1 (%)]]*Tableau4[[#This Row],[Nombres appareils installés]]</f>
        <v>0.59868506988287551</v>
      </c>
      <c r="U76" s="188">
        <f>($U$4+($V$4*(Tableau4[[#This Row],[Capacité (BTU)]]/1000)))*Tableau4[[#This Row],[Nombres appareils installés]]</f>
        <v>3125</v>
      </c>
      <c r="V76" s="188">
        <f>Tableau4[[#This Row],[AF 2 ($)]]/Tableau4[[#This Row],[Nombres appareils installés]]</f>
        <v>3125</v>
      </c>
      <c r="W76" s="192">
        <f>Tableau4[[#This Row],[AF 2 par appareil ($)]]/Tableau4[[#This Row],[Surcoût par appareil ($)]]</f>
        <v>0.68032394304872212</v>
      </c>
      <c r="X76" s="192">
        <f>Tableau4[[#This Row],[Couverture 2 (%)]]*Tableau4[[#This Row],[Nombres appareils installés]]</f>
        <v>0.68032394304872212</v>
      </c>
      <c r="Y76" s="188">
        <f>($Y$4+$Z$4*(Tableau4[[#This Row],[Capacité (BTU)]]/1000))*Tableau4[[#This Row],[Nombres appareils installés]]</f>
        <v>3250</v>
      </c>
      <c r="Z76" s="188">
        <f>Tableau4[[#This Row],[AF 3 ($)]]/Tableau4[[#This Row],[Nombres appareils installés]]</f>
        <v>3250</v>
      </c>
      <c r="AA76" s="193">
        <f>Tableau4[[#This Row],[AF 3 par appareil ($)]]/Tableau4[[#This Row],[Surcoût par appareil ($)]]</f>
        <v>0.707536900770671</v>
      </c>
      <c r="AB76" s="193">
        <f>Tableau4[[#This Row],[Couverture 3 (%)]]*Tableau4[[#This Row],[Nombres appareils installés]]</f>
        <v>0.707536900770671</v>
      </c>
      <c r="AC76" s="188">
        <f>($AC$4+$AD$4*(Tableau4[[#This Row],[Capacité (BTU)]]/1000))*Tableau4[[#This Row],[Nombres appareils installés]]</f>
        <v>2800</v>
      </c>
      <c r="AD76" s="188">
        <f>Tableau4[[#This Row],[AF 4 ($)]]/Tableau4[[#This Row],[Nombres appareils installés]]</f>
        <v>2800</v>
      </c>
      <c r="AE76" s="194">
        <f>Tableau4[[#This Row],[Couverture 4 (%)]]*Tableau4[[#This Row],[Nombres appareils installés]]</f>
        <v>0.60957025297165501</v>
      </c>
      <c r="AF76" s="193">
        <f>Tableau4[[#This Row],[AF 4 par appareil  ($)]]/Tableau4[[#This Row],[Surcoût par appareil ($)]]</f>
        <v>0.60957025297165501</v>
      </c>
    </row>
    <row r="77" spans="2:32" x14ac:dyDescent="0.3">
      <c r="B77" s="195" t="s">
        <v>187</v>
      </c>
      <c r="C77" s="188" t="s">
        <v>205</v>
      </c>
      <c r="D77" s="188">
        <v>6</v>
      </c>
      <c r="E77" s="188">
        <v>150000</v>
      </c>
      <c r="F77" s="196">
        <f>Tableau4[[#This Row],[Economies totales (m3)]]/Tableau4[[#This Row],[Nombres appareils installés]]</f>
        <v>757.5</v>
      </c>
      <c r="G77" s="190">
        <v>4545</v>
      </c>
      <c r="H77" s="188">
        <f t="shared" si="2"/>
        <v>2193.4</v>
      </c>
      <c r="I77" s="188">
        <v>2400</v>
      </c>
      <c r="J77" s="188">
        <f>Tableau4[[#This Row],[Surcoût moyens de l''équipement ($)]]+Tableau4[[#This Row],[Surcoût moyen de l''installation ($)]]</f>
        <v>4593.3999999999996</v>
      </c>
      <c r="K77" s="188">
        <f>Tableau4[[#This Row],[Surcoût par appareil ($)]]*Tableau4[[#This Row],[Nombres appareils installés]]</f>
        <v>27560.399999999998</v>
      </c>
      <c r="L77" s="190">
        <v>10200</v>
      </c>
      <c r="M77" s="188">
        <f t="shared" si="3"/>
        <v>9900</v>
      </c>
      <c r="N77" s="188">
        <f>Tableau4[[#This Row],[AF 0 ($)]]/Tableau4[[#This Row],[Nombres appareils installés]]</f>
        <v>1650</v>
      </c>
      <c r="O77" s="191">
        <f>(Tableau4[[#This Row],[AF accordée ($)]])/($J$6*D77)</f>
        <v>0.42463905680171854</v>
      </c>
      <c r="P77" s="191">
        <f>Tableau4[[#This Row],[Couverture 0 (%)]]*Tableau4[[#This Row],[Nombres appareils installés]]</f>
        <v>2.5478343408103115</v>
      </c>
      <c r="Q77" s="188">
        <f>($Q$4+$R$4*(Tableau4[[#This Row],[Capacité (BTU)]]/1000))*Tableau4[[#This Row],[Nombres appareils installés]]</f>
        <v>16500</v>
      </c>
      <c r="R77" s="188">
        <f>Tableau4[[#This Row],[AF 1 ($)]]/Tableau4[[#This Row],[Nombres appareils installés]]</f>
        <v>2750</v>
      </c>
      <c r="S77" s="191">
        <f>Tableau4[[#This Row],[AF 1 ($)]]/(J77*D77)</f>
        <v>0.59868506988287551</v>
      </c>
      <c r="T77" s="191">
        <f>Tableau4[[#This Row],[Couverture 1 (%)]]*Tableau4[[#This Row],[Nombres appareils installés]]</f>
        <v>3.5921104192972528</v>
      </c>
      <c r="U77" s="188">
        <f>($U$4+($V$4*(Tableau4[[#This Row],[Capacité (BTU)]]/1000)))*Tableau4[[#This Row],[Nombres appareils installés]]</f>
        <v>18750</v>
      </c>
      <c r="V77" s="188">
        <f>Tableau4[[#This Row],[AF 2 ($)]]/Tableau4[[#This Row],[Nombres appareils installés]]</f>
        <v>3125</v>
      </c>
      <c r="W77" s="192">
        <f>Tableau4[[#This Row],[AF 2 par appareil ($)]]/Tableau4[[#This Row],[Surcoût par appareil ($)]]</f>
        <v>0.68032394304872212</v>
      </c>
      <c r="X77" s="192">
        <f>Tableau4[[#This Row],[Couverture 2 (%)]]*Tableau4[[#This Row],[Nombres appareils installés]]</f>
        <v>4.0819436582923325</v>
      </c>
      <c r="Y77" s="188">
        <f>($Y$4+$Z$4*(Tableau4[[#This Row],[Capacité (BTU)]]/1000))*Tableau4[[#This Row],[Nombres appareils installés]]</f>
        <v>19500</v>
      </c>
      <c r="Z77" s="188">
        <f>Tableau4[[#This Row],[AF 3 ($)]]/Tableau4[[#This Row],[Nombres appareils installés]]</f>
        <v>3250</v>
      </c>
      <c r="AA77" s="193">
        <f>Tableau4[[#This Row],[AF 3 par appareil ($)]]/Tableau4[[#This Row],[Surcoût par appareil ($)]]</f>
        <v>0.707536900770671</v>
      </c>
      <c r="AB77" s="193">
        <f>Tableau4[[#This Row],[Couverture 3 (%)]]*Tableau4[[#This Row],[Nombres appareils installés]]</f>
        <v>4.2452214046240258</v>
      </c>
      <c r="AC77" s="188">
        <f>($AC$4+$AD$4*(Tableau4[[#This Row],[Capacité (BTU)]]/1000))*Tableau4[[#This Row],[Nombres appareils installés]]</f>
        <v>16800</v>
      </c>
      <c r="AD77" s="188">
        <f>Tableau4[[#This Row],[AF 4 ($)]]/Tableau4[[#This Row],[Nombres appareils installés]]</f>
        <v>2800</v>
      </c>
      <c r="AE77" s="194">
        <f>Tableau4[[#This Row],[Couverture 4 (%)]]*Tableau4[[#This Row],[Nombres appareils installés]]</f>
        <v>3.6574215178299303</v>
      </c>
      <c r="AF77" s="193">
        <f>Tableau4[[#This Row],[AF 4 par appareil  ($)]]/Tableau4[[#This Row],[Surcoût par appareil ($)]]</f>
        <v>0.60957025297165501</v>
      </c>
    </row>
    <row r="78" spans="2:32" x14ac:dyDescent="0.3">
      <c r="B78" s="195" t="s">
        <v>187</v>
      </c>
      <c r="C78" s="188" t="s">
        <v>206</v>
      </c>
      <c r="D78" s="188">
        <v>1</v>
      </c>
      <c r="E78" s="188">
        <v>180000</v>
      </c>
      <c r="F78" s="196">
        <f>Tableau4[[#This Row],[Economies totales (m3)]]/Tableau4[[#This Row],[Nombres appareils installés]]</f>
        <v>909</v>
      </c>
      <c r="G78" s="190">
        <v>909</v>
      </c>
      <c r="H78" s="188">
        <f t="shared" si="2"/>
        <v>2487.4</v>
      </c>
      <c r="I78" s="188">
        <v>2400</v>
      </c>
      <c r="J78" s="188">
        <f>Tableau4[[#This Row],[Surcoût moyens de l''équipement ($)]]+Tableau4[[#This Row],[Surcoût moyen de l''installation ($)]]</f>
        <v>4887.3999999999996</v>
      </c>
      <c r="K78" s="188">
        <f>Tableau4[[#This Row],[Surcoût par appareil ($)]]*Tableau4[[#This Row],[Nombres appareils installés]]</f>
        <v>4887.3999999999996</v>
      </c>
      <c r="L78" s="190">
        <v>1700</v>
      </c>
      <c r="M78" s="188">
        <f t="shared" si="3"/>
        <v>1800</v>
      </c>
      <c r="N78" s="188">
        <f>Tableau4[[#This Row],[AF 0 ($)]]/Tableau4[[#This Row],[Nombres appareils installés]]</f>
        <v>1800</v>
      </c>
      <c r="O78" s="191">
        <f>(Tableau4[[#This Row],[AF accordée ($)]])/($J$6*D78)</f>
        <v>0.42463905680171854</v>
      </c>
      <c r="P78" s="191">
        <f>Tableau4[[#This Row],[Couverture 0 (%)]]*Tableau4[[#This Row],[Nombres appareils installés]]</f>
        <v>0.42463905680171854</v>
      </c>
      <c r="Q78" s="188">
        <f>($Q$4+$R$4*(Tableau4[[#This Row],[Capacité (BTU)]]/1000))*Tableau4[[#This Row],[Nombres appareils installés]]</f>
        <v>2900</v>
      </c>
      <c r="R78" s="188">
        <f>Tableau4[[#This Row],[AF 1 ($)]]/Tableau4[[#This Row],[Nombres appareils installés]]</f>
        <v>2900</v>
      </c>
      <c r="S78" s="191">
        <f>Tableau4[[#This Row],[AF 1 ($)]]/(J78*D78)</f>
        <v>0.59336252404141265</v>
      </c>
      <c r="T78" s="191">
        <f>Tableau4[[#This Row],[Couverture 1 (%)]]*Tableau4[[#This Row],[Nombres appareils installés]]</f>
        <v>0.59336252404141265</v>
      </c>
      <c r="U78" s="188">
        <f>($U$4+($V$4*(Tableau4[[#This Row],[Capacité (BTU)]]/1000)))*Tableau4[[#This Row],[Nombres appareils installés]]</f>
        <v>3350</v>
      </c>
      <c r="V78" s="188">
        <f>Tableau4[[#This Row],[AF 2 ($)]]/Tableau4[[#This Row],[Nombres appareils installés]]</f>
        <v>3350</v>
      </c>
      <c r="W78" s="192">
        <f>Tableau4[[#This Row],[AF 2 par appareil ($)]]/Tableau4[[#This Row],[Surcoût par appareil ($)]]</f>
        <v>0.68543601915128705</v>
      </c>
      <c r="X78" s="192">
        <f>Tableau4[[#This Row],[Couverture 2 (%)]]*Tableau4[[#This Row],[Nombres appareils installés]]</f>
        <v>0.68543601915128705</v>
      </c>
      <c r="Y78" s="188">
        <f>($Y$4+$Z$4*(Tableau4[[#This Row],[Capacité (BTU)]]/1000))*Tableau4[[#This Row],[Nombres appareils installés]]</f>
        <v>3400</v>
      </c>
      <c r="Z78" s="188">
        <f>Tableau4[[#This Row],[AF 3 ($)]]/Tableau4[[#This Row],[Nombres appareils installés]]</f>
        <v>3400</v>
      </c>
      <c r="AA78" s="193">
        <f>Tableau4[[#This Row],[AF 3 par appareil ($)]]/Tableau4[[#This Row],[Surcoût par appareil ($)]]</f>
        <v>0.69566640749682862</v>
      </c>
      <c r="AB78" s="193">
        <f>Tableau4[[#This Row],[Couverture 3 (%)]]*Tableau4[[#This Row],[Nombres appareils installés]]</f>
        <v>0.69566640749682862</v>
      </c>
      <c r="AC78" s="188">
        <f>($AC$4+$AD$4*(Tableau4[[#This Row],[Capacité (BTU)]]/1000))*Tableau4[[#This Row],[Nombres appareils installés]]</f>
        <v>2920</v>
      </c>
      <c r="AD78" s="188">
        <f>Tableau4[[#This Row],[AF 4 ($)]]/Tableau4[[#This Row],[Nombres appareils installés]]</f>
        <v>2920</v>
      </c>
      <c r="AE78" s="194">
        <f>Tableau4[[#This Row],[Couverture 4 (%)]]*Tableau4[[#This Row],[Nombres appareils installés]]</f>
        <v>0.59745467937962926</v>
      </c>
      <c r="AF78" s="193">
        <f>Tableau4[[#This Row],[AF 4 par appareil  ($)]]/Tableau4[[#This Row],[Surcoût par appareil ($)]]</f>
        <v>0.59745467937962926</v>
      </c>
    </row>
    <row r="79" spans="2:32" x14ac:dyDescent="0.3">
      <c r="B79" s="195" t="s">
        <v>187</v>
      </c>
      <c r="C79" s="188" t="s">
        <v>207</v>
      </c>
      <c r="D79" s="188">
        <v>1</v>
      </c>
      <c r="E79" s="188">
        <v>180000</v>
      </c>
      <c r="F79" s="196">
        <f>Tableau4[[#This Row],[Economies totales (m3)]]/Tableau4[[#This Row],[Nombres appareils installés]]</f>
        <v>909</v>
      </c>
      <c r="G79" s="190">
        <v>909</v>
      </c>
      <c r="H79" s="188">
        <f t="shared" si="2"/>
        <v>2487.4</v>
      </c>
      <c r="I79" s="188">
        <v>2400</v>
      </c>
      <c r="J79" s="188">
        <f>Tableau4[[#This Row],[Surcoût moyens de l''équipement ($)]]+Tableau4[[#This Row],[Surcoût moyen de l''installation ($)]]</f>
        <v>4887.3999999999996</v>
      </c>
      <c r="K79" s="188">
        <f>Tableau4[[#This Row],[Surcoût par appareil ($)]]*Tableau4[[#This Row],[Nombres appareils installés]]</f>
        <v>4887.3999999999996</v>
      </c>
      <c r="L79" s="190">
        <v>1700</v>
      </c>
      <c r="M79" s="188">
        <f t="shared" si="3"/>
        <v>1800</v>
      </c>
      <c r="N79" s="188">
        <f>Tableau4[[#This Row],[AF 0 ($)]]/Tableau4[[#This Row],[Nombres appareils installés]]</f>
        <v>1800</v>
      </c>
      <c r="O79" s="191">
        <f>(Tableau4[[#This Row],[AF accordée ($)]])/($J$6*D79)</f>
        <v>0.42463905680171854</v>
      </c>
      <c r="P79" s="191">
        <f>Tableau4[[#This Row],[Couverture 0 (%)]]*Tableau4[[#This Row],[Nombres appareils installés]]</f>
        <v>0.42463905680171854</v>
      </c>
      <c r="Q79" s="188">
        <f>($Q$4+$R$4*(Tableau4[[#This Row],[Capacité (BTU)]]/1000))*Tableau4[[#This Row],[Nombres appareils installés]]</f>
        <v>2900</v>
      </c>
      <c r="R79" s="188">
        <f>Tableau4[[#This Row],[AF 1 ($)]]/Tableau4[[#This Row],[Nombres appareils installés]]</f>
        <v>2900</v>
      </c>
      <c r="S79" s="191">
        <f>Tableau4[[#This Row],[AF 1 ($)]]/(J79*D79)</f>
        <v>0.59336252404141265</v>
      </c>
      <c r="T79" s="191">
        <f>Tableau4[[#This Row],[Couverture 1 (%)]]*Tableau4[[#This Row],[Nombres appareils installés]]</f>
        <v>0.59336252404141265</v>
      </c>
      <c r="U79" s="188">
        <f>($U$4+($V$4*(Tableau4[[#This Row],[Capacité (BTU)]]/1000)))*Tableau4[[#This Row],[Nombres appareils installés]]</f>
        <v>3350</v>
      </c>
      <c r="V79" s="188">
        <f>Tableau4[[#This Row],[AF 2 ($)]]/Tableau4[[#This Row],[Nombres appareils installés]]</f>
        <v>3350</v>
      </c>
      <c r="W79" s="192">
        <f>Tableau4[[#This Row],[AF 2 par appareil ($)]]/Tableau4[[#This Row],[Surcoût par appareil ($)]]</f>
        <v>0.68543601915128705</v>
      </c>
      <c r="X79" s="192">
        <f>Tableau4[[#This Row],[Couverture 2 (%)]]*Tableau4[[#This Row],[Nombres appareils installés]]</f>
        <v>0.68543601915128705</v>
      </c>
      <c r="Y79" s="188">
        <f>($Y$4+$Z$4*(Tableau4[[#This Row],[Capacité (BTU)]]/1000))*Tableau4[[#This Row],[Nombres appareils installés]]</f>
        <v>3400</v>
      </c>
      <c r="Z79" s="188">
        <f>Tableau4[[#This Row],[AF 3 ($)]]/Tableau4[[#This Row],[Nombres appareils installés]]</f>
        <v>3400</v>
      </c>
      <c r="AA79" s="193">
        <f>Tableau4[[#This Row],[AF 3 par appareil ($)]]/Tableau4[[#This Row],[Surcoût par appareil ($)]]</f>
        <v>0.69566640749682862</v>
      </c>
      <c r="AB79" s="193">
        <f>Tableau4[[#This Row],[Couverture 3 (%)]]*Tableau4[[#This Row],[Nombres appareils installés]]</f>
        <v>0.69566640749682862</v>
      </c>
      <c r="AC79" s="188">
        <f>($AC$4+$AD$4*(Tableau4[[#This Row],[Capacité (BTU)]]/1000))*Tableau4[[#This Row],[Nombres appareils installés]]</f>
        <v>2920</v>
      </c>
      <c r="AD79" s="188">
        <f>Tableau4[[#This Row],[AF 4 ($)]]/Tableau4[[#This Row],[Nombres appareils installés]]</f>
        <v>2920</v>
      </c>
      <c r="AE79" s="194">
        <f>Tableau4[[#This Row],[Couverture 4 (%)]]*Tableau4[[#This Row],[Nombres appareils installés]]</f>
        <v>0.59745467937962926</v>
      </c>
      <c r="AF79" s="193">
        <f>Tableau4[[#This Row],[AF 4 par appareil  ($)]]/Tableau4[[#This Row],[Surcoût par appareil ($)]]</f>
        <v>0.59745467937962926</v>
      </c>
    </row>
    <row r="80" spans="2:32" x14ac:dyDescent="0.3">
      <c r="B80" s="195" t="s">
        <v>187</v>
      </c>
      <c r="C80" s="188" t="s">
        <v>208</v>
      </c>
      <c r="D80" s="188">
        <v>1</v>
      </c>
      <c r="E80" s="188">
        <v>180000</v>
      </c>
      <c r="F80" s="196">
        <f>Tableau4[[#This Row],[Economies totales (m3)]]/Tableau4[[#This Row],[Nombres appareils installés]]</f>
        <v>909</v>
      </c>
      <c r="G80" s="190">
        <v>909</v>
      </c>
      <c r="H80" s="188">
        <f t="shared" si="2"/>
        <v>2487.4</v>
      </c>
      <c r="I80" s="188">
        <v>2400</v>
      </c>
      <c r="J80" s="188">
        <f>Tableau4[[#This Row],[Surcoût moyens de l''équipement ($)]]+Tableau4[[#This Row],[Surcoût moyen de l''installation ($)]]</f>
        <v>4887.3999999999996</v>
      </c>
      <c r="K80" s="188">
        <f>Tableau4[[#This Row],[Surcoût par appareil ($)]]*Tableau4[[#This Row],[Nombres appareils installés]]</f>
        <v>4887.3999999999996</v>
      </c>
      <c r="L80" s="190">
        <v>1700</v>
      </c>
      <c r="M80" s="188">
        <f t="shared" si="3"/>
        <v>1800</v>
      </c>
      <c r="N80" s="188">
        <f>Tableau4[[#This Row],[AF 0 ($)]]/Tableau4[[#This Row],[Nombres appareils installés]]</f>
        <v>1800</v>
      </c>
      <c r="O80" s="191">
        <f>(Tableau4[[#This Row],[AF accordée ($)]])/($J$6*D80)</f>
        <v>0.42463905680171854</v>
      </c>
      <c r="P80" s="191">
        <f>Tableau4[[#This Row],[Couverture 0 (%)]]*Tableau4[[#This Row],[Nombres appareils installés]]</f>
        <v>0.42463905680171854</v>
      </c>
      <c r="Q80" s="188">
        <f>($Q$4+$R$4*(Tableau4[[#This Row],[Capacité (BTU)]]/1000))*Tableau4[[#This Row],[Nombres appareils installés]]</f>
        <v>2900</v>
      </c>
      <c r="R80" s="188">
        <f>Tableau4[[#This Row],[AF 1 ($)]]/Tableau4[[#This Row],[Nombres appareils installés]]</f>
        <v>2900</v>
      </c>
      <c r="S80" s="191">
        <f>Tableau4[[#This Row],[AF 1 ($)]]/(J80*D80)</f>
        <v>0.59336252404141265</v>
      </c>
      <c r="T80" s="191">
        <f>Tableau4[[#This Row],[Couverture 1 (%)]]*Tableau4[[#This Row],[Nombres appareils installés]]</f>
        <v>0.59336252404141265</v>
      </c>
      <c r="U80" s="188">
        <f>($U$4+($V$4*(Tableau4[[#This Row],[Capacité (BTU)]]/1000)))*Tableau4[[#This Row],[Nombres appareils installés]]</f>
        <v>3350</v>
      </c>
      <c r="V80" s="188">
        <f>Tableau4[[#This Row],[AF 2 ($)]]/Tableau4[[#This Row],[Nombres appareils installés]]</f>
        <v>3350</v>
      </c>
      <c r="W80" s="192">
        <f>Tableau4[[#This Row],[AF 2 par appareil ($)]]/Tableau4[[#This Row],[Surcoût par appareil ($)]]</f>
        <v>0.68543601915128705</v>
      </c>
      <c r="X80" s="192">
        <f>Tableau4[[#This Row],[Couverture 2 (%)]]*Tableau4[[#This Row],[Nombres appareils installés]]</f>
        <v>0.68543601915128705</v>
      </c>
      <c r="Y80" s="188">
        <f>($Y$4+$Z$4*(Tableau4[[#This Row],[Capacité (BTU)]]/1000))*Tableau4[[#This Row],[Nombres appareils installés]]</f>
        <v>3400</v>
      </c>
      <c r="Z80" s="188">
        <f>Tableau4[[#This Row],[AF 3 ($)]]/Tableau4[[#This Row],[Nombres appareils installés]]</f>
        <v>3400</v>
      </c>
      <c r="AA80" s="193">
        <f>Tableau4[[#This Row],[AF 3 par appareil ($)]]/Tableau4[[#This Row],[Surcoût par appareil ($)]]</f>
        <v>0.69566640749682862</v>
      </c>
      <c r="AB80" s="193">
        <f>Tableau4[[#This Row],[Couverture 3 (%)]]*Tableau4[[#This Row],[Nombres appareils installés]]</f>
        <v>0.69566640749682862</v>
      </c>
      <c r="AC80" s="188">
        <f>($AC$4+$AD$4*(Tableau4[[#This Row],[Capacité (BTU)]]/1000))*Tableau4[[#This Row],[Nombres appareils installés]]</f>
        <v>2920</v>
      </c>
      <c r="AD80" s="188">
        <f>Tableau4[[#This Row],[AF 4 ($)]]/Tableau4[[#This Row],[Nombres appareils installés]]</f>
        <v>2920</v>
      </c>
      <c r="AE80" s="194">
        <f>Tableau4[[#This Row],[Couverture 4 (%)]]*Tableau4[[#This Row],[Nombres appareils installés]]</f>
        <v>0.59745467937962926</v>
      </c>
      <c r="AF80" s="193">
        <f>Tableau4[[#This Row],[AF 4 par appareil  ($)]]/Tableau4[[#This Row],[Surcoût par appareil ($)]]</f>
        <v>0.59745467937962926</v>
      </c>
    </row>
    <row r="81" spans="2:32" x14ac:dyDescent="0.3">
      <c r="B81" s="195" t="s">
        <v>187</v>
      </c>
      <c r="C81" s="188" t="s">
        <v>209</v>
      </c>
      <c r="D81" s="188">
        <v>1</v>
      </c>
      <c r="E81" s="188">
        <v>180000</v>
      </c>
      <c r="F81" s="196">
        <f>Tableau4[[#This Row],[Economies totales (m3)]]/Tableau4[[#This Row],[Nombres appareils installés]]</f>
        <v>909</v>
      </c>
      <c r="G81" s="190">
        <v>909</v>
      </c>
      <c r="H81" s="188">
        <f t="shared" si="2"/>
        <v>2487.4</v>
      </c>
      <c r="I81" s="188">
        <v>2400</v>
      </c>
      <c r="J81" s="188">
        <f>Tableau4[[#This Row],[Surcoût moyens de l''équipement ($)]]+Tableau4[[#This Row],[Surcoût moyen de l''installation ($)]]</f>
        <v>4887.3999999999996</v>
      </c>
      <c r="K81" s="188">
        <f>Tableau4[[#This Row],[Surcoût par appareil ($)]]*Tableau4[[#This Row],[Nombres appareils installés]]</f>
        <v>4887.3999999999996</v>
      </c>
      <c r="L81" s="190">
        <v>1700</v>
      </c>
      <c r="M81" s="188">
        <f t="shared" si="3"/>
        <v>1800</v>
      </c>
      <c r="N81" s="188">
        <f>Tableau4[[#This Row],[AF 0 ($)]]/Tableau4[[#This Row],[Nombres appareils installés]]</f>
        <v>1800</v>
      </c>
      <c r="O81" s="191">
        <f>(Tableau4[[#This Row],[AF accordée ($)]])/($J$6*D81)</f>
        <v>0.42463905680171854</v>
      </c>
      <c r="P81" s="191">
        <f>Tableau4[[#This Row],[Couverture 0 (%)]]*Tableau4[[#This Row],[Nombres appareils installés]]</f>
        <v>0.42463905680171854</v>
      </c>
      <c r="Q81" s="188">
        <f>($Q$4+$R$4*(Tableau4[[#This Row],[Capacité (BTU)]]/1000))*Tableau4[[#This Row],[Nombres appareils installés]]</f>
        <v>2900</v>
      </c>
      <c r="R81" s="188">
        <f>Tableau4[[#This Row],[AF 1 ($)]]/Tableau4[[#This Row],[Nombres appareils installés]]</f>
        <v>2900</v>
      </c>
      <c r="S81" s="191">
        <f>Tableau4[[#This Row],[AF 1 ($)]]/(J81*D81)</f>
        <v>0.59336252404141265</v>
      </c>
      <c r="T81" s="191">
        <f>Tableau4[[#This Row],[Couverture 1 (%)]]*Tableau4[[#This Row],[Nombres appareils installés]]</f>
        <v>0.59336252404141265</v>
      </c>
      <c r="U81" s="188">
        <f>($U$4+($V$4*(Tableau4[[#This Row],[Capacité (BTU)]]/1000)))*Tableau4[[#This Row],[Nombres appareils installés]]</f>
        <v>3350</v>
      </c>
      <c r="V81" s="188">
        <f>Tableau4[[#This Row],[AF 2 ($)]]/Tableau4[[#This Row],[Nombres appareils installés]]</f>
        <v>3350</v>
      </c>
      <c r="W81" s="192">
        <f>Tableau4[[#This Row],[AF 2 par appareil ($)]]/Tableau4[[#This Row],[Surcoût par appareil ($)]]</f>
        <v>0.68543601915128705</v>
      </c>
      <c r="X81" s="192">
        <f>Tableau4[[#This Row],[Couverture 2 (%)]]*Tableau4[[#This Row],[Nombres appareils installés]]</f>
        <v>0.68543601915128705</v>
      </c>
      <c r="Y81" s="188">
        <f>($Y$4+$Z$4*(Tableau4[[#This Row],[Capacité (BTU)]]/1000))*Tableau4[[#This Row],[Nombres appareils installés]]</f>
        <v>3400</v>
      </c>
      <c r="Z81" s="188">
        <f>Tableau4[[#This Row],[AF 3 ($)]]/Tableau4[[#This Row],[Nombres appareils installés]]</f>
        <v>3400</v>
      </c>
      <c r="AA81" s="193">
        <f>Tableau4[[#This Row],[AF 3 par appareil ($)]]/Tableau4[[#This Row],[Surcoût par appareil ($)]]</f>
        <v>0.69566640749682862</v>
      </c>
      <c r="AB81" s="193">
        <f>Tableau4[[#This Row],[Couverture 3 (%)]]*Tableau4[[#This Row],[Nombres appareils installés]]</f>
        <v>0.69566640749682862</v>
      </c>
      <c r="AC81" s="188">
        <f>($AC$4+$AD$4*(Tableau4[[#This Row],[Capacité (BTU)]]/1000))*Tableau4[[#This Row],[Nombres appareils installés]]</f>
        <v>2920</v>
      </c>
      <c r="AD81" s="188">
        <f>Tableau4[[#This Row],[AF 4 ($)]]/Tableau4[[#This Row],[Nombres appareils installés]]</f>
        <v>2920</v>
      </c>
      <c r="AE81" s="194">
        <f>Tableau4[[#This Row],[Couverture 4 (%)]]*Tableau4[[#This Row],[Nombres appareils installés]]</f>
        <v>0.59745467937962926</v>
      </c>
      <c r="AF81" s="193">
        <f>Tableau4[[#This Row],[AF 4 par appareil  ($)]]/Tableau4[[#This Row],[Surcoût par appareil ($)]]</f>
        <v>0.59745467937962926</v>
      </c>
    </row>
    <row r="82" spans="2:32" x14ac:dyDescent="0.3">
      <c r="B82" s="195" t="s">
        <v>187</v>
      </c>
      <c r="C82" s="188" t="s">
        <v>210</v>
      </c>
      <c r="D82" s="188">
        <v>1</v>
      </c>
      <c r="E82" s="188">
        <v>180000</v>
      </c>
      <c r="F82" s="196">
        <f>Tableau4[[#This Row],[Economies totales (m3)]]/Tableau4[[#This Row],[Nombres appareils installés]]</f>
        <v>909</v>
      </c>
      <c r="G82" s="190">
        <v>909</v>
      </c>
      <c r="H82" s="188">
        <f t="shared" si="2"/>
        <v>2487.4</v>
      </c>
      <c r="I82" s="188">
        <v>2400</v>
      </c>
      <c r="J82" s="188">
        <f>Tableau4[[#This Row],[Surcoût moyens de l''équipement ($)]]+Tableau4[[#This Row],[Surcoût moyen de l''installation ($)]]</f>
        <v>4887.3999999999996</v>
      </c>
      <c r="K82" s="188">
        <f>Tableau4[[#This Row],[Surcoût par appareil ($)]]*Tableau4[[#This Row],[Nombres appareils installés]]</f>
        <v>4887.3999999999996</v>
      </c>
      <c r="L82" s="190">
        <v>1700</v>
      </c>
      <c r="M82" s="188">
        <f t="shared" si="3"/>
        <v>1800</v>
      </c>
      <c r="N82" s="188">
        <f>Tableau4[[#This Row],[AF 0 ($)]]/Tableau4[[#This Row],[Nombres appareils installés]]</f>
        <v>1800</v>
      </c>
      <c r="O82" s="191">
        <f>(Tableau4[[#This Row],[AF accordée ($)]])/($J$6*D82)</f>
        <v>0.42463905680171854</v>
      </c>
      <c r="P82" s="191">
        <f>Tableau4[[#This Row],[Couverture 0 (%)]]*Tableau4[[#This Row],[Nombres appareils installés]]</f>
        <v>0.42463905680171854</v>
      </c>
      <c r="Q82" s="188">
        <f>($Q$4+$R$4*(Tableau4[[#This Row],[Capacité (BTU)]]/1000))*Tableau4[[#This Row],[Nombres appareils installés]]</f>
        <v>2900</v>
      </c>
      <c r="R82" s="188">
        <f>Tableau4[[#This Row],[AF 1 ($)]]/Tableau4[[#This Row],[Nombres appareils installés]]</f>
        <v>2900</v>
      </c>
      <c r="S82" s="191">
        <f>Tableau4[[#This Row],[AF 1 ($)]]/(J82*D82)</f>
        <v>0.59336252404141265</v>
      </c>
      <c r="T82" s="191">
        <f>Tableau4[[#This Row],[Couverture 1 (%)]]*Tableau4[[#This Row],[Nombres appareils installés]]</f>
        <v>0.59336252404141265</v>
      </c>
      <c r="U82" s="188">
        <f>($U$4+($V$4*(Tableau4[[#This Row],[Capacité (BTU)]]/1000)))*Tableau4[[#This Row],[Nombres appareils installés]]</f>
        <v>3350</v>
      </c>
      <c r="V82" s="188">
        <f>Tableau4[[#This Row],[AF 2 ($)]]/Tableau4[[#This Row],[Nombres appareils installés]]</f>
        <v>3350</v>
      </c>
      <c r="W82" s="192">
        <f>Tableau4[[#This Row],[AF 2 par appareil ($)]]/Tableau4[[#This Row],[Surcoût par appareil ($)]]</f>
        <v>0.68543601915128705</v>
      </c>
      <c r="X82" s="192">
        <f>Tableau4[[#This Row],[Couverture 2 (%)]]*Tableau4[[#This Row],[Nombres appareils installés]]</f>
        <v>0.68543601915128705</v>
      </c>
      <c r="Y82" s="188">
        <f>($Y$4+$Z$4*(Tableau4[[#This Row],[Capacité (BTU)]]/1000))*Tableau4[[#This Row],[Nombres appareils installés]]</f>
        <v>3400</v>
      </c>
      <c r="Z82" s="188">
        <f>Tableau4[[#This Row],[AF 3 ($)]]/Tableau4[[#This Row],[Nombres appareils installés]]</f>
        <v>3400</v>
      </c>
      <c r="AA82" s="193">
        <f>Tableau4[[#This Row],[AF 3 par appareil ($)]]/Tableau4[[#This Row],[Surcoût par appareil ($)]]</f>
        <v>0.69566640749682862</v>
      </c>
      <c r="AB82" s="193">
        <f>Tableau4[[#This Row],[Couverture 3 (%)]]*Tableau4[[#This Row],[Nombres appareils installés]]</f>
        <v>0.69566640749682862</v>
      </c>
      <c r="AC82" s="188">
        <f>($AC$4+$AD$4*(Tableau4[[#This Row],[Capacité (BTU)]]/1000))*Tableau4[[#This Row],[Nombres appareils installés]]</f>
        <v>2920</v>
      </c>
      <c r="AD82" s="188">
        <f>Tableau4[[#This Row],[AF 4 ($)]]/Tableau4[[#This Row],[Nombres appareils installés]]</f>
        <v>2920</v>
      </c>
      <c r="AE82" s="194">
        <f>Tableau4[[#This Row],[Couverture 4 (%)]]*Tableau4[[#This Row],[Nombres appareils installés]]</f>
        <v>0.59745467937962926</v>
      </c>
      <c r="AF82" s="193">
        <f>Tableau4[[#This Row],[AF 4 par appareil  ($)]]/Tableau4[[#This Row],[Surcoût par appareil ($)]]</f>
        <v>0.59745467937962926</v>
      </c>
    </row>
    <row r="83" spans="2:32" x14ac:dyDescent="0.3">
      <c r="B83" s="195" t="s">
        <v>187</v>
      </c>
      <c r="C83" s="188" t="s">
        <v>168</v>
      </c>
      <c r="D83" s="188">
        <v>1</v>
      </c>
      <c r="E83" s="188">
        <v>180000</v>
      </c>
      <c r="F83" s="196">
        <f>Tableau4[[#This Row],[Economies totales (m3)]]/Tableau4[[#This Row],[Nombres appareils installés]]</f>
        <v>909</v>
      </c>
      <c r="G83" s="190">
        <v>909</v>
      </c>
      <c r="H83" s="188">
        <f t="shared" si="2"/>
        <v>2487.4</v>
      </c>
      <c r="I83" s="188">
        <v>2400</v>
      </c>
      <c r="J83" s="188">
        <f>Tableau4[[#This Row],[Surcoût moyens de l''équipement ($)]]+Tableau4[[#This Row],[Surcoût moyen de l''installation ($)]]</f>
        <v>4887.3999999999996</v>
      </c>
      <c r="K83" s="188">
        <f>Tableau4[[#This Row],[Surcoût par appareil ($)]]*Tableau4[[#This Row],[Nombres appareils installés]]</f>
        <v>4887.3999999999996</v>
      </c>
      <c r="L83" s="190">
        <v>1700</v>
      </c>
      <c r="M83" s="188">
        <f t="shared" si="3"/>
        <v>1800</v>
      </c>
      <c r="N83" s="188">
        <f>Tableau4[[#This Row],[AF 0 ($)]]/Tableau4[[#This Row],[Nombres appareils installés]]</f>
        <v>1800</v>
      </c>
      <c r="O83" s="191">
        <f>(Tableau4[[#This Row],[AF accordée ($)]])/($J$6*D83)</f>
        <v>0.42463905680171854</v>
      </c>
      <c r="P83" s="191">
        <f>Tableau4[[#This Row],[Couverture 0 (%)]]*Tableau4[[#This Row],[Nombres appareils installés]]</f>
        <v>0.42463905680171854</v>
      </c>
      <c r="Q83" s="188">
        <f>($Q$4+$R$4*(Tableau4[[#This Row],[Capacité (BTU)]]/1000))*Tableau4[[#This Row],[Nombres appareils installés]]</f>
        <v>2900</v>
      </c>
      <c r="R83" s="188">
        <f>Tableau4[[#This Row],[AF 1 ($)]]/Tableau4[[#This Row],[Nombres appareils installés]]</f>
        <v>2900</v>
      </c>
      <c r="S83" s="191">
        <f>Tableau4[[#This Row],[AF 1 ($)]]/(J83*D83)</f>
        <v>0.59336252404141265</v>
      </c>
      <c r="T83" s="191">
        <f>Tableau4[[#This Row],[Couverture 1 (%)]]*Tableau4[[#This Row],[Nombres appareils installés]]</f>
        <v>0.59336252404141265</v>
      </c>
      <c r="U83" s="188">
        <f>($U$4+($V$4*(Tableau4[[#This Row],[Capacité (BTU)]]/1000)))*Tableau4[[#This Row],[Nombres appareils installés]]</f>
        <v>3350</v>
      </c>
      <c r="V83" s="188">
        <f>Tableau4[[#This Row],[AF 2 ($)]]/Tableau4[[#This Row],[Nombres appareils installés]]</f>
        <v>3350</v>
      </c>
      <c r="W83" s="192">
        <f>Tableau4[[#This Row],[AF 2 par appareil ($)]]/Tableau4[[#This Row],[Surcoût par appareil ($)]]</f>
        <v>0.68543601915128705</v>
      </c>
      <c r="X83" s="192">
        <f>Tableau4[[#This Row],[Couverture 2 (%)]]*Tableau4[[#This Row],[Nombres appareils installés]]</f>
        <v>0.68543601915128705</v>
      </c>
      <c r="Y83" s="188">
        <f>($Y$4+$Z$4*(Tableau4[[#This Row],[Capacité (BTU)]]/1000))*Tableau4[[#This Row],[Nombres appareils installés]]</f>
        <v>3400</v>
      </c>
      <c r="Z83" s="188">
        <f>Tableau4[[#This Row],[AF 3 ($)]]/Tableau4[[#This Row],[Nombres appareils installés]]</f>
        <v>3400</v>
      </c>
      <c r="AA83" s="193">
        <f>Tableau4[[#This Row],[AF 3 par appareil ($)]]/Tableau4[[#This Row],[Surcoût par appareil ($)]]</f>
        <v>0.69566640749682862</v>
      </c>
      <c r="AB83" s="193">
        <f>Tableau4[[#This Row],[Couverture 3 (%)]]*Tableau4[[#This Row],[Nombres appareils installés]]</f>
        <v>0.69566640749682862</v>
      </c>
      <c r="AC83" s="188">
        <f>($AC$4+$AD$4*(Tableau4[[#This Row],[Capacité (BTU)]]/1000))*Tableau4[[#This Row],[Nombres appareils installés]]</f>
        <v>2920</v>
      </c>
      <c r="AD83" s="188">
        <f>Tableau4[[#This Row],[AF 4 ($)]]/Tableau4[[#This Row],[Nombres appareils installés]]</f>
        <v>2920</v>
      </c>
      <c r="AE83" s="194">
        <f>Tableau4[[#This Row],[Couverture 4 (%)]]*Tableau4[[#This Row],[Nombres appareils installés]]</f>
        <v>0.59745467937962926</v>
      </c>
      <c r="AF83" s="193">
        <f>Tableau4[[#This Row],[AF 4 par appareil  ($)]]/Tableau4[[#This Row],[Surcoût par appareil ($)]]</f>
        <v>0.59745467937962926</v>
      </c>
    </row>
    <row r="84" spans="2:32" x14ac:dyDescent="0.3">
      <c r="B84" s="195" t="s">
        <v>187</v>
      </c>
      <c r="C84" s="188" t="s">
        <v>211</v>
      </c>
      <c r="D84" s="188">
        <v>1</v>
      </c>
      <c r="E84" s="188">
        <v>180000</v>
      </c>
      <c r="F84" s="196">
        <f>Tableau4[[#This Row],[Economies totales (m3)]]/Tableau4[[#This Row],[Nombres appareils installés]]</f>
        <v>909</v>
      </c>
      <c r="G84" s="190">
        <v>909</v>
      </c>
      <c r="H84" s="188">
        <f t="shared" si="2"/>
        <v>2487.4</v>
      </c>
      <c r="I84" s="188">
        <v>2400</v>
      </c>
      <c r="J84" s="188">
        <f>Tableau4[[#This Row],[Surcoût moyens de l''équipement ($)]]+Tableau4[[#This Row],[Surcoût moyen de l''installation ($)]]</f>
        <v>4887.3999999999996</v>
      </c>
      <c r="K84" s="188">
        <f>Tableau4[[#This Row],[Surcoût par appareil ($)]]*Tableau4[[#This Row],[Nombres appareils installés]]</f>
        <v>4887.3999999999996</v>
      </c>
      <c r="L84" s="190">
        <v>1700</v>
      </c>
      <c r="M84" s="188">
        <f t="shared" si="3"/>
        <v>1800</v>
      </c>
      <c r="N84" s="188">
        <f>Tableau4[[#This Row],[AF 0 ($)]]/Tableau4[[#This Row],[Nombres appareils installés]]</f>
        <v>1800</v>
      </c>
      <c r="O84" s="191">
        <f>(Tableau4[[#This Row],[AF accordée ($)]])/($J$6*D84)</f>
        <v>0.42463905680171854</v>
      </c>
      <c r="P84" s="191">
        <f>Tableau4[[#This Row],[Couverture 0 (%)]]*Tableau4[[#This Row],[Nombres appareils installés]]</f>
        <v>0.42463905680171854</v>
      </c>
      <c r="Q84" s="188">
        <f>($Q$4+$R$4*(Tableau4[[#This Row],[Capacité (BTU)]]/1000))*Tableau4[[#This Row],[Nombres appareils installés]]</f>
        <v>2900</v>
      </c>
      <c r="R84" s="188">
        <f>Tableau4[[#This Row],[AF 1 ($)]]/Tableau4[[#This Row],[Nombres appareils installés]]</f>
        <v>2900</v>
      </c>
      <c r="S84" s="191">
        <f>Tableau4[[#This Row],[AF 1 ($)]]/(J84*D84)</f>
        <v>0.59336252404141265</v>
      </c>
      <c r="T84" s="191">
        <f>Tableau4[[#This Row],[Couverture 1 (%)]]*Tableau4[[#This Row],[Nombres appareils installés]]</f>
        <v>0.59336252404141265</v>
      </c>
      <c r="U84" s="188">
        <f>($U$4+($V$4*(Tableau4[[#This Row],[Capacité (BTU)]]/1000)))*Tableau4[[#This Row],[Nombres appareils installés]]</f>
        <v>3350</v>
      </c>
      <c r="V84" s="188">
        <f>Tableau4[[#This Row],[AF 2 ($)]]/Tableau4[[#This Row],[Nombres appareils installés]]</f>
        <v>3350</v>
      </c>
      <c r="W84" s="192">
        <f>Tableau4[[#This Row],[AF 2 par appareil ($)]]/Tableau4[[#This Row],[Surcoût par appareil ($)]]</f>
        <v>0.68543601915128705</v>
      </c>
      <c r="X84" s="192">
        <f>Tableau4[[#This Row],[Couverture 2 (%)]]*Tableau4[[#This Row],[Nombres appareils installés]]</f>
        <v>0.68543601915128705</v>
      </c>
      <c r="Y84" s="188">
        <f>($Y$4+$Z$4*(Tableau4[[#This Row],[Capacité (BTU)]]/1000))*Tableau4[[#This Row],[Nombres appareils installés]]</f>
        <v>3400</v>
      </c>
      <c r="Z84" s="188">
        <f>Tableau4[[#This Row],[AF 3 ($)]]/Tableau4[[#This Row],[Nombres appareils installés]]</f>
        <v>3400</v>
      </c>
      <c r="AA84" s="193">
        <f>Tableau4[[#This Row],[AF 3 par appareil ($)]]/Tableau4[[#This Row],[Surcoût par appareil ($)]]</f>
        <v>0.69566640749682862</v>
      </c>
      <c r="AB84" s="193">
        <f>Tableau4[[#This Row],[Couverture 3 (%)]]*Tableau4[[#This Row],[Nombres appareils installés]]</f>
        <v>0.69566640749682862</v>
      </c>
      <c r="AC84" s="188">
        <f>($AC$4+$AD$4*(Tableau4[[#This Row],[Capacité (BTU)]]/1000))*Tableau4[[#This Row],[Nombres appareils installés]]</f>
        <v>2920</v>
      </c>
      <c r="AD84" s="188">
        <f>Tableau4[[#This Row],[AF 4 ($)]]/Tableau4[[#This Row],[Nombres appareils installés]]</f>
        <v>2920</v>
      </c>
      <c r="AE84" s="194">
        <f>Tableau4[[#This Row],[Couverture 4 (%)]]*Tableau4[[#This Row],[Nombres appareils installés]]</f>
        <v>0.59745467937962926</v>
      </c>
      <c r="AF84" s="193">
        <f>Tableau4[[#This Row],[AF 4 par appareil  ($)]]/Tableau4[[#This Row],[Surcoût par appareil ($)]]</f>
        <v>0.59745467937962926</v>
      </c>
    </row>
    <row r="85" spans="2:32" x14ac:dyDescent="0.3">
      <c r="B85" s="195" t="s">
        <v>187</v>
      </c>
      <c r="C85" s="188" t="s">
        <v>212</v>
      </c>
      <c r="D85" s="188">
        <v>2</v>
      </c>
      <c r="E85" s="188">
        <v>180000</v>
      </c>
      <c r="F85" s="196">
        <f>Tableau4[[#This Row],[Economies totales (m3)]]/Tableau4[[#This Row],[Nombres appareils installés]]</f>
        <v>909</v>
      </c>
      <c r="G85" s="190">
        <v>1818</v>
      </c>
      <c r="H85" s="188">
        <f t="shared" si="2"/>
        <v>2487.4</v>
      </c>
      <c r="I85" s="188">
        <v>2400</v>
      </c>
      <c r="J85" s="188">
        <f>Tableau4[[#This Row],[Surcoût moyens de l''équipement ($)]]+Tableau4[[#This Row],[Surcoût moyen de l''installation ($)]]</f>
        <v>4887.3999999999996</v>
      </c>
      <c r="K85" s="188">
        <f>Tableau4[[#This Row],[Surcoût par appareil ($)]]*Tableau4[[#This Row],[Nombres appareils installés]]</f>
        <v>9774.7999999999993</v>
      </c>
      <c r="L85" s="190">
        <v>3400</v>
      </c>
      <c r="M85" s="188">
        <f t="shared" si="3"/>
        <v>3600</v>
      </c>
      <c r="N85" s="188">
        <f>Tableau4[[#This Row],[AF 0 ($)]]/Tableau4[[#This Row],[Nombres appareils installés]]</f>
        <v>1800</v>
      </c>
      <c r="O85" s="191">
        <f>(Tableau4[[#This Row],[AF accordée ($)]])/($J$6*D85)</f>
        <v>0.42463905680171854</v>
      </c>
      <c r="P85" s="191">
        <f>Tableau4[[#This Row],[Couverture 0 (%)]]*Tableau4[[#This Row],[Nombres appareils installés]]</f>
        <v>0.84927811360343708</v>
      </c>
      <c r="Q85" s="188">
        <f>($Q$4+$R$4*(Tableau4[[#This Row],[Capacité (BTU)]]/1000))*Tableau4[[#This Row],[Nombres appareils installés]]</f>
        <v>5800</v>
      </c>
      <c r="R85" s="188">
        <f>Tableau4[[#This Row],[AF 1 ($)]]/Tableau4[[#This Row],[Nombres appareils installés]]</f>
        <v>2900</v>
      </c>
      <c r="S85" s="191">
        <f>Tableau4[[#This Row],[AF 1 ($)]]/(J85*D85)</f>
        <v>0.59336252404141265</v>
      </c>
      <c r="T85" s="191">
        <f>Tableau4[[#This Row],[Couverture 1 (%)]]*Tableau4[[#This Row],[Nombres appareils installés]]</f>
        <v>1.1867250480828253</v>
      </c>
      <c r="U85" s="188">
        <f>($U$4+($V$4*(Tableau4[[#This Row],[Capacité (BTU)]]/1000)))*Tableau4[[#This Row],[Nombres appareils installés]]</f>
        <v>6700</v>
      </c>
      <c r="V85" s="188">
        <f>Tableau4[[#This Row],[AF 2 ($)]]/Tableau4[[#This Row],[Nombres appareils installés]]</f>
        <v>3350</v>
      </c>
      <c r="W85" s="192">
        <f>Tableau4[[#This Row],[AF 2 par appareil ($)]]/Tableau4[[#This Row],[Surcoût par appareil ($)]]</f>
        <v>0.68543601915128705</v>
      </c>
      <c r="X85" s="192">
        <f>Tableau4[[#This Row],[Couverture 2 (%)]]*Tableau4[[#This Row],[Nombres appareils installés]]</f>
        <v>1.3708720383025741</v>
      </c>
      <c r="Y85" s="188">
        <f>($Y$4+$Z$4*(Tableau4[[#This Row],[Capacité (BTU)]]/1000))*Tableau4[[#This Row],[Nombres appareils installés]]</f>
        <v>6800</v>
      </c>
      <c r="Z85" s="188">
        <f>Tableau4[[#This Row],[AF 3 ($)]]/Tableau4[[#This Row],[Nombres appareils installés]]</f>
        <v>3400</v>
      </c>
      <c r="AA85" s="193">
        <f>Tableau4[[#This Row],[AF 3 par appareil ($)]]/Tableau4[[#This Row],[Surcoût par appareil ($)]]</f>
        <v>0.69566640749682862</v>
      </c>
      <c r="AB85" s="193">
        <f>Tableau4[[#This Row],[Couverture 3 (%)]]*Tableau4[[#This Row],[Nombres appareils installés]]</f>
        <v>1.3913328149936572</v>
      </c>
      <c r="AC85" s="188">
        <f>($AC$4+$AD$4*(Tableau4[[#This Row],[Capacité (BTU)]]/1000))*Tableau4[[#This Row],[Nombres appareils installés]]</f>
        <v>5840</v>
      </c>
      <c r="AD85" s="188">
        <f>Tableau4[[#This Row],[AF 4 ($)]]/Tableau4[[#This Row],[Nombres appareils installés]]</f>
        <v>2920</v>
      </c>
      <c r="AE85" s="194">
        <f>Tableau4[[#This Row],[Couverture 4 (%)]]*Tableau4[[#This Row],[Nombres appareils installés]]</f>
        <v>1.1949093587592585</v>
      </c>
      <c r="AF85" s="193">
        <f>Tableau4[[#This Row],[AF 4 par appareil  ($)]]/Tableau4[[#This Row],[Surcoût par appareil ($)]]</f>
        <v>0.59745467937962926</v>
      </c>
    </row>
    <row r="86" spans="2:32" x14ac:dyDescent="0.3">
      <c r="B86" s="195" t="s">
        <v>187</v>
      </c>
      <c r="C86" s="188" t="s">
        <v>213</v>
      </c>
      <c r="D86" s="188">
        <v>2</v>
      </c>
      <c r="E86" s="188">
        <v>180000</v>
      </c>
      <c r="F86" s="196">
        <f>Tableau4[[#This Row],[Economies totales (m3)]]/Tableau4[[#This Row],[Nombres appareils installés]]</f>
        <v>909</v>
      </c>
      <c r="G86" s="190">
        <v>1818</v>
      </c>
      <c r="H86" s="188">
        <f t="shared" si="2"/>
        <v>2487.4</v>
      </c>
      <c r="I86" s="188">
        <v>2400</v>
      </c>
      <c r="J86" s="188">
        <f>Tableau4[[#This Row],[Surcoût moyens de l''équipement ($)]]+Tableau4[[#This Row],[Surcoût moyen de l''installation ($)]]</f>
        <v>4887.3999999999996</v>
      </c>
      <c r="K86" s="188">
        <f>Tableau4[[#This Row],[Surcoût par appareil ($)]]*Tableau4[[#This Row],[Nombres appareils installés]]</f>
        <v>9774.7999999999993</v>
      </c>
      <c r="L86" s="190">
        <v>3400</v>
      </c>
      <c r="M86" s="188">
        <f t="shared" si="3"/>
        <v>3600</v>
      </c>
      <c r="N86" s="188">
        <f>Tableau4[[#This Row],[AF 0 ($)]]/Tableau4[[#This Row],[Nombres appareils installés]]</f>
        <v>1800</v>
      </c>
      <c r="O86" s="191">
        <f>(Tableau4[[#This Row],[AF accordée ($)]])/($J$6*D86)</f>
        <v>0.42463905680171854</v>
      </c>
      <c r="P86" s="191">
        <f>Tableau4[[#This Row],[Couverture 0 (%)]]*Tableau4[[#This Row],[Nombres appareils installés]]</f>
        <v>0.84927811360343708</v>
      </c>
      <c r="Q86" s="188">
        <f>($Q$4+$R$4*(Tableau4[[#This Row],[Capacité (BTU)]]/1000))*Tableau4[[#This Row],[Nombres appareils installés]]</f>
        <v>5800</v>
      </c>
      <c r="R86" s="188">
        <f>Tableau4[[#This Row],[AF 1 ($)]]/Tableau4[[#This Row],[Nombres appareils installés]]</f>
        <v>2900</v>
      </c>
      <c r="S86" s="191">
        <f>Tableau4[[#This Row],[AF 1 ($)]]/(J86*D86)</f>
        <v>0.59336252404141265</v>
      </c>
      <c r="T86" s="191">
        <f>Tableau4[[#This Row],[Couverture 1 (%)]]*Tableau4[[#This Row],[Nombres appareils installés]]</f>
        <v>1.1867250480828253</v>
      </c>
      <c r="U86" s="188">
        <f>($U$4+($V$4*(Tableau4[[#This Row],[Capacité (BTU)]]/1000)))*Tableau4[[#This Row],[Nombres appareils installés]]</f>
        <v>6700</v>
      </c>
      <c r="V86" s="188">
        <f>Tableau4[[#This Row],[AF 2 ($)]]/Tableau4[[#This Row],[Nombres appareils installés]]</f>
        <v>3350</v>
      </c>
      <c r="W86" s="192">
        <f>Tableau4[[#This Row],[AF 2 par appareil ($)]]/Tableau4[[#This Row],[Surcoût par appareil ($)]]</f>
        <v>0.68543601915128705</v>
      </c>
      <c r="X86" s="192">
        <f>Tableau4[[#This Row],[Couverture 2 (%)]]*Tableau4[[#This Row],[Nombres appareils installés]]</f>
        <v>1.3708720383025741</v>
      </c>
      <c r="Y86" s="188">
        <f>($Y$4+$Z$4*(Tableau4[[#This Row],[Capacité (BTU)]]/1000))*Tableau4[[#This Row],[Nombres appareils installés]]</f>
        <v>6800</v>
      </c>
      <c r="Z86" s="188">
        <f>Tableau4[[#This Row],[AF 3 ($)]]/Tableau4[[#This Row],[Nombres appareils installés]]</f>
        <v>3400</v>
      </c>
      <c r="AA86" s="193">
        <f>Tableau4[[#This Row],[AF 3 par appareil ($)]]/Tableau4[[#This Row],[Surcoût par appareil ($)]]</f>
        <v>0.69566640749682862</v>
      </c>
      <c r="AB86" s="193">
        <f>Tableau4[[#This Row],[Couverture 3 (%)]]*Tableau4[[#This Row],[Nombres appareils installés]]</f>
        <v>1.3913328149936572</v>
      </c>
      <c r="AC86" s="188">
        <f>($AC$4+$AD$4*(Tableau4[[#This Row],[Capacité (BTU)]]/1000))*Tableau4[[#This Row],[Nombres appareils installés]]</f>
        <v>5840</v>
      </c>
      <c r="AD86" s="188">
        <f>Tableau4[[#This Row],[AF 4 ($)]]/Tableau4[[#This Row],[Nombres appareils installés]]</f>
        <v>2920</v>
      </c>
      <c r="AE86" s="194">
        <f>Tableau4[[#This Row],[Couverture 4 (%)]]*Tableau4[[#This Row],[Nombres appareils installés]]</f>
        <v>1.1949093587592585</v>
      </c>
      <c r="AF86" s="193">
        <f>Tableau4[[#This Row],[AF 4 par appareil  ($)]]/Tableau4[[#This Row],[Surcoût par appareil ($)]]</f>
        <v>0.59745467937962926</v>
      </c>
    </row>
    <row r="87" spans="2:32" x14ac:dyDescent="0.3">
      <c r="B87" s="195" t="s">
        <v>187</v>
      </c>
      <c r="C87" s="188" t="s">
        <v>214</v>
      </c>
      <c r="D87" s="188">
        <v>2</v>
      </c>
      <c r="E87" s="188">
        <v>180000</v>
      </c>
      <c r="F87" s="196">
        <f>Tableau4[[#This Row],[Economies totales (m3)]]/Tableau4[[#This Row],[Nombres appareils installés]]</f>
        <v>909</v>
      </c>
      <c r="G87" s="190">
        <v>1818</v>
      </c>
      <c r="H87" s="188">
        <f t="shared" si="2"/>
        <v>2487.4</v>
      </c>
      <c r="I87" s="188">
        <v>2400</v>
      </c>
      <c r="J87" s="188">
        <f>Tableau4[[#This Row],[Surcoût moyens de l''équipement ($)]]+Tableau4[[#This Row],[Surcoût moyen de l''installation ($)]]</f>
        <v>4887.3999999999996</v>
      </c>
      <c r="K87" s="188">
        <f>Tableau4[[#This Row],[Surcoût par appareil ($)]]*Tableau4[[#This Row],[Nombres appareils installés]]</f>
        <v>9774.7999999999993</v>
      </c>
      <c r="L87" s="190">
        <v>3400</v>
      </c>
      <c r="M87" s="188">
        <f t="shared" si="3"/>
        <v>3600</v>
      </c>
      <c r="N87" s="188">
        <f>Tableau4[[#This Row],[AF 0 ($)]]/Tableau4[[#This Row],[Nombres appareils installés]]</f>
        <v>1800</v>
      </c>
      <c r="O87" s="191">
        <f>(Tableau4[[#This Row],[AF accordée ($)]])/($J$6*D87)</f>
        <v>0.42463905680171854</v>
      </c>
      <c r="P87" s="191">
        <f>Tableau4[[#This Row],[Couverture 0 (%)]]*Tableau4[[#This Row],[Nombres appareils installés]]</f>
        <v>0.84927811360343708</v>
      </c>
      <c r="Q87" s="188">
        <f>($Q$4+$R$4*(Tableau4[[#This Row],[Capacité (BTU)]]/1000))*Tableau4[[#This Row],[Nombres appareils installés]]</f>
        <v>5800</v>
      </c>
      <c r="R87" s="188">
        <f>Tableau4[[#This Row],[AF 1 ($)]]/Tableau4[[#This Row],[Nombres appareils installés]]</f>
        <v>2900</v>
      </c>
      <c r="S87" s="191">
        <f>Tableau4[[#This Row],[AF 1 ($)]]/(J87*D87)</f>
        <v>0.59336252404141265</v>
      </c>
      <c r="T87" s="191">
        <f>Tableau4[[#This Row],[Couverture 1 (%)]]*Tableau4[[#This Row],[Nombres appareils installés]]</f>
        <v>1.1867250480828253</v>
      </c>
      <c r="U87" s="188">
        <f>($U$4+($V$4*(Tableau4[[#This Row],[Capacité (BTU)]]/1000)))*Tableau4[[#This Row],[Nombres appareils installés]]</f>
        <v>6700</v>
      </c>
      <c r="V87" s="188">
        <f>Tableau4[[#This Row],[AF 2 ($)]]/Tableau4[[#This Row],[Nombres appareils installés]]</f>
        <v>3350</v>
      </c>
      <c r="W87" s="192">
        <f>Tableau4[[#This Row],[AF 2 par appareil ($)]]/Tableau4[[#This Row],[Surcoût par appareil ($)]]</f>
        <v>0.68543601915128705</v>
      </c>
      <c r="X87" s="192">
        <f>Tableau4[[#This Row],[Couverture 2 (%)]]*Tableau4[[#This Row],[Nombres appareils installés]]</f>
        <v>1.3708720383025741</v>
      </c>
      <c r="Y87" s="188">
        <f>($Y$4+$Z$4*(Tableau4[[#This Row],[Capacité (BTU)]]/1000))*Tableau4[[#This Row],[Nombres appareils installés]]</f>
        <v>6800</v>
      </c>
      <c r="Z87" s="188">
        <f>Tableau4[[#This Row],[AF 3 ($)]]/Tableau4[[#This Row],[Nombres appareils installés]]</f>
        <v>3400</v>
      </c>
      <c r="AA87" s="193">
        <f>Tableau4[[#This Row],[AF 3 par appareil ($)]]/Tableau4[[#This Row],[Surcoût par appareil ($)]]</f>
        <v>0.69566640749682862</v>
      </c>
      <c r="AB87" s="193">
        <f>Tableau4[[#This Row],[Couverture 3 (%)]]*Tableau4[[#This Row],[Nombres appareils installés]]</f>
        <v>1.3913328149936572</v>
      </c>
      <c r="AC87" s="188">
        <f>($AC$4+$AD$4*(Tableau4[[#This Row],[Capacité (BTU)]]/1000))*Tableau4[[#This Row],[Nombres appareils installés]]</f>
        <v>5840</v>
      </c>
      <c r="AD87" s="188">
        <f>Tableau4[[#This Row],[AF 4 ($)]]/Tableau4[[#This Row],[Nombres appareils installés]]</f>
        <v>2920</v>
      </c>
      <c r="AE87" s="194">
        <f>Tableau4[[#This Row],[Couverture 4 (%)]]*Tableau4[[#This Row],[Nombres appareils installés]]</f>
        <v>1.1949093587592585</v>
      </c>
      <c r="AF87" s="193">
        <f>Tableau4[[#This Row],[AF 4 par appareil  ($)]]/Tableau4[[#This Row],[Surcoût par appareil ($)]]</f>
        <v>0.59745467937962926</v>
      </c>
    </row>
    <row r="88" spans="2:32" x14ac:dyDescent="0.3">
      <c r="B88" s="195" t="s">
        <v>187</v>
      </c>
      <c r="C88" s="188" t="s">
        <v>200</v>
      </c>
      <c r="D88" s="188">
        <v>2</v>
      </c>
      <c r="E88" s="188">
        <v>180000</v>
      </c>
      <c r="F88" s="196">
        <f>Tableau4[[#This Row],[Economies totales (m3)]]/Tableau4[[#This Row],[Nombres appareils installés]]</f>
        <v>909</v>
      </c>
      <c r="G88" s="190">
        <v>1818</v>
      </c>
      <c r="H88" s="188">
        <f t="shared" si="2"/>
        <v>2487.4</v>
      </c>
      <c r="I88" s="188">
        <v>2400</v>
      </c>
      <c r="J88" s="188">
        <f>Tableau4[[#This Row],[Surcoût moyens de l''équipement ($)]]+Tableau4[[#This Row],[Surcoût moyen de l''installation ($)]]</f>
        <v>4887.3999999999996</v>
      </c>
      <c r="K88" s="188">
        <f>Tableau4[[#This Row],[Surcoût par appareil ($)]]*Tableau4[[#This Row],[Nombres appareils installés]]</f>
        <v>9774.7999999999993</v>
      </c>
      <c r="L88" s="190">
        <v>3400</v>
      </c>
      <c r="M88" s="188">
        <f t="shared" si="3"/>
        <v>3600</v>
      </c>
      <c r="N88" s="188">
        <f>Tableau4[[#This Row],[AF 0 ($)]]/Tableau4[[#This Row],[Nombres appareils installés]]</f>
        <v>1800</v>
      </c>
      <c r="O88" s="191">
        <f>(Tableau4[[#This Row],[AF accordée ($)]])/($J$6*D88)</f>
        <v>0.42463905680171854</v>
      </c>
      <c r="P88" s="191">
        <f>Tableau4[[#This Row],[Couverture 0 (%)]]*Tableau4[[#This Row],[Nombres appareils installés]]</f>
        <v>0.84927811360343708</v>
      </c>
      <c r="Q88" s="188">
        <f>($Q$4+$R$4*(Tableau4[[#This Row],[Capacité (BTU)]]/1000))*Tableau4[[#This Row],[Nombres appareils installés]]</f>
        <v>5800</v>
      </c>
      <c r="R88" s="188">
        <f>Tableau4[[#This Row],[AF 1 ($)]]/Tableau4[[#This Row],[Nombres appareils installés]]</f>
        <v>2900</v>
      </c>
      <c r="S88" s="191">
        <f>Tableau4[[#This Row],[AF 1 ($)]]/(J88*D88)</f>
        <v>0.59336252404141265</v>
      </c>
      <c r="T88" s="191">
        <f>Tableau4[[#This Row],[Couverture 1 (%)]]*Tableau4[[#This Row],[Nombres appareils installés]]</f>
        <v>1.1867250480828253</v>
      </c>
      <c r="U88" s="188">
        <f>($U$4+($V$4*(Tableau4[[#This Row],[Capacité (BTU)]]/1000)))*Tableau4[[#This Row],[Nombres appareils installés]]</f>
        <v>6700</v>
      </c>
      <c r="V88" s="188">
        <f>Tableau4[[#This Row],[AF 2 ($)]]/Tableau4[[#This Row],[Nombres appareils installés]]</f>
        <v>3350</v>
      </c>
      <c r="W88" s="192">
        <f>Tableau4[[#This Row],[AF 2 par appareil ($)]]/Tableau4[[#This Row],[Surcoût par appareil ($)]]</f>
        <v>0.68543601915128705</v>
      </c>
      <c r="X88" s="192">
        <f>Tableau4[[#This Row],[Couverture 2 (%)]]*Tableau4[[#This Row],[Nombres appareils installés]]</f>
        <v>1.3708720383025741</v>
      </c>
      <c r="Y88" s="188">
        <f>($Y$4+$Z$4*(Tableau4[[#This Row],[Capacité (BTU)]]/1000))*Tableau4[[#This Row],[Nombres appareils installés]]</f>
        <v>6800</v>
      </c>
      <c r="Z88" s="188">
        <f>Tableau4[[#This Row],[AF 3 ($)]]/Tableau4[[#This Row],[Nombres appareils installés]]</f>
        <v>3400</v>
      </c>
      <c r="AA88" s="193">
        <f>Tableau4[[#This Row],[AF 3 par appareil ($)]]/Tableau4[[#This Row],[Surcoût par appareil ($)]]</f>
        <v>0.69566640749682862</v>
      </c>
      <c r="AB88" s="193">
        <f>Tableau4[[#This Row],[Couverture 3 (%)]]*Tableau4[[#This Row],[Nombres appareils installés]]</f>
        <v>1.3913328149936572</v>
      </c>
      <c r="AC88" s="188">
        <f>($AC$4+$AD$4*(Tableau4[[#This Row],[Capacité (BTU)]]/1000))*Tableau4[[#This Row],[Nombres appareils installés]]</f>
        <v>5840</v>
      </c>
      <c r="AD88" s="188">
        <f>Tableau4[[#This Row],[AF 4 ($)]]/Tableau4[[#This Row],[Nombres appareils installés]]</f>
        <v>2920</v>
      </c>
      <c r="AE88" s="194">
        <f>Tableau4[[#This Row],[Couverture 4 (%)]]*Tableau4[[#This Row],[Nombres appareils installés]]</f>
        <v>1.1949093587592585</v>
      </c>
      <c r="AF88" s="193">
        <f>Tableau4[[#This Row],[AF 4 par appareil  ($)]]/Tableau4[[#This Row],[Surcoût par appareil ($)]]</f>
        <v>0.59745467937962926</v>
      </c>
    </row>
    <row r="89" spans="2:32" x14ac:dyDescent="0.3">
      <c r="B89" s="195" t="s">
        <v>187</v>
      </c>
      <c r="C89" s="188" t="s">
        <v>202</v>
      </c>
      <c r="D89" s="188">
        <v>2</v>
      </c>
      <c r="E89" s="188">
        <v>180000</v>
      </c>
      <c r="F89" s="196">
        <f>Tableau4[[#This Row],[Economies totales (m3)]]/Tableau4[[#This Row],[Nombres appareils installés]]</f>
        <v>909</v>
      </c>
      <c r="G89" s="190">
        <v>1818</v>
      </c>
      <c r="H89" s="188">
        <f t="shared" si="2"/>
        <v>2487.4</v>
      </c>
      <c r="I89" s="188">
        <v>2400</v>
      </c>
      <c r="J89" s="188">
        <f>Tableau4[[#This Row],[Surcoût moyens de l''équipement ($)]]+Tableau4[[#This Row],[Surcoût moyen de l''installation ($)]]</f>
        <v>4887.3999999999996</v>
      </c>
      <c r="K89" s="188">
        <f>Tableau4[[#This Row],[Surcoût par appareil ($)]]*Tableau4[[#This Row],[Nombres appareils installés]]</f>
        <v>9774.7999999999993</v>
      </c>
      <c r="L89" s="190">
        <v>3400</v>
      </c>
      <c r="M89" s="188">
        <f t="shared" si="3"/>
        <v>3600</v>
      </c>
      <c r="N89" s="188">
        <f>Tableau4[[#This Row],[AF 0 ($)]]/Tableau4[[#This Row],[Nombres appareils installés]]</f>
        <v>1800</v>
      </c>
      <c r="O89" s="191">
        <f>(Tableau4[[#This Row],[AF accordée ($)]])/($J$6*D89)</f>
        <v>0.42463905680171854</v>
      </c>
      <c r="P89" s="191">
        <f>Tableau4[[#This Row],[Couverture 0 (%)]]*Tableau4[[#This Row],[Nombres appareils installés]]</f>
        <v>0.84927811360343708</v>
      </c>
      <c r="Q89" s="188">
        <f>($Q$4+$R$4*(Tableau4[[#This Row],[Capacité (BTU)]]/1000))*Tableau4[[#This Row],[Nombres appareils installés]]</f>
        <v>5800</v>
      </c>
      <c r="R89" s="188">
        <f>Tableau4[[#This Row],[AF 1 ($)]]/Tableau4[[#This Row],[Nombres appareils installés]]</f>
        <v>2900</v>
      </c>
      <c r="S89" s="191">
        <f>Tableau4[[#This Row],[AF 1 ($)]]/(J89*D89)</f>
        <v>0.59336252404141265</v>
      </c>
      <c r="T89" s="191">
        <f>Tableau4[[#This Row],[Couverture 1 (%)]]*Tableau4[[#This Row],[Nombres appareils installés]]</f>
        <v>1.1867250480828253</v>
      </c>
      <c r="U89" s="188">
        <f>($U$4+($V$4*(Tableau4[[#This Row],[Capacité (BTU)]]/1000)))*Tableau4[[#This Row],[Nombres appareils installés]]</f>
        <v>6700</v>
      </c>
      <c r="V89" s="188">
        <f>Tableau4[[#This Row],[AF 2 ($)]]/Tableau4[[#This Row],[Nombres appareils installés]]</f>
        <v>3350</v>
      </c>
      <c r="W89" s="192">
        <f>Tableau4[[#This Row],[AF 2 par appareil ($)]]/Tableau4[[#This Row],[Surcoût par appareil ($)]]</f>
        <v>0.68543601915128705</v>
      </c>
      <c r="X89" s="192">
        <f>Tableau4[[#This Row],[Couverture 2 (%)]]*Tableau4[[#This Row],[Nombres appareils installés]]</f>
        <v>1.3708720383025741</v>
      </c>
      <c r="Y89" s="188">
        <f>($Y$4+$Z$4*(Tableau4[[#This Row],[Capacité (BTU)]]/1000))*Tableau4[[#This Row],[Nombres appareils installés]]</f>
        <v>6800</v>
      </c>
      <c r="Z89" s="188">
        <f>Tableau4[[#This Row],[AF 3 ($)]]/Tableau4[[#This Row],[Nombres appareils installés]]</f>
        <v>3400</v>
      </c>
      <c r="AA89" s="193">
        <f>Tableau4[[#This Row],[AF 3 par appareil ($)]]/Tableau4[[#This Row],[Surcoût par appareil ($)]]</f>
        <v>0.69566640749682862</v>
      </c>
      <c r="AB89" s="193">
        <f>Tableau4[[#This Row],[Couverture 3 (%)]]*Tableau4[[#This Row],[Nombres appareils installés]]</f>
        <v>1.3913328149936572</v>
      </c>
      <c r="AC89" s="188">
        <f>($AC$4+$AD$4*(Tableau4[[#This Row],[Capacité (BTU)]]/1000))*Tableau4[[#This Row],[Nombres appareils installés]]</f>
        <v>5840</v>
      </c>
      <c r="AD89" s="188">
        <f>Tableau4[[#This Row],[AF 4 ($)]]/Tableau4[[#This Row],[Nombres appareils installés]]</f>
        <v>2920</v>
      </c>
      <c r="AE89" s="194">
        <f>Tableau4[[#This Row],[Couverture 4 (%)]]*Tableau4[[#This Row],[Nombres appareils installés]]</f>
        <v>1.1949093587592585</v>
      </c>
      <c r="AF89" s="193">
        <f>Tableau4[[#This Row],[AF 4 par appareil  ($)]]/Tableau4[[#This Row],[Surcoût par appareil ($)]]</f>
        <v>0.59745467937962926</v>
      </c>
    </row>
    <row r="90" spans="2:32" x14ac:dyDescent="0.3">
      <c r="B90" s="195" t="s">
        <v>187</v>
      </c>
      <c r="C90" s="188" t="s">
        <v>215</v>
      </c>
      <c r="D90" s="188">
        <v>2</v>
      </c>
      <c r="E90" s="188">
        <v>180000</v>
      </c>
      <c r="F90" s="196">
        <f>Tableau4[[#This Row],[Economies totales (m3)]]/Tableau4[[#This Row],[Nombres appareils installés]]</f>
        <v>909</v>
      </c>
      <c r="G90" s="190">
        <v>1818</v>
      </c>
      <c r="H90" s="188">
        <f t="shared" si="2"/>
        <v>2487.4</v>
      </c>
      <c r="I90" s="188">
        <v>2400</v>
      </c>
      <c r="J90" s="188">
        <f>Tableau4[[#This Row],[Surcoût moyens de l''équipement ($)]]+Tableau4[[#This Row],[Surcoût moyen de l''installation ($)]]</f>
        <v>4887.3999999999996</v>
      </c>
      <c r="K90" s="188">
        <f>Tableau4[[#This Row],[Surcoût par appareil ($)]]*Tableau4[[#This Row],[Nombres appareils installés]]</f>
        <v>9774.7999999999993</v>
      </c>
      <c r="L90" s="190">
        <v>3400</v>
      </c>
      <c r="M90" s="188">
        <f t="shared" si="3"/>
        <v>3600</v>
      </c>
      <c r="N90" s="188">
        <f>Tableau4[[#This Row],[AF 0 ($)]]/Tableau4[[#This Row],[Nombres appareils installés]]</f>
        <v>1800</v>
      </c>
      <c r="O90" s="191">
        <f>(Tableau4[[#This Row],[AF accordée ($)]])/($J$6*D90)</f>
        <v>0.42463905680171854</v>
      </c>
      <c r="P90" s="191">
        <f>Tableau4[[#This Row],[Couverture 0 (%)]]*Tableau4[[#This Row],[Nombres appareils installés]]</f>
        <v>0.84927811360343708</v>
      </c>
      <c r="Q90" s="188">
        <f>($Q$4+$R$4*(Tableau4[[#This Row],[Capacité (BTU)]]/1000))*Tableau4[[#This Row],[Nombres appareils installés]]</f>
        <v>5800</v>
      </c>
      <c r="R90" s="188">
        <f>Tableau4[[#This Row],[AF 1 ($)]]/Tableau4[[#This Row],[Nombres appareils installés]]</f>
        <v>2900</v>
      </c>
      <c r="S90" s="191">
        <f>Tableau4[[#This Row],[AF 1 ($)]]/(J90*D90)</f>
        <v>0.59336252404141265</v>
      </c>
      <c r="T90" s="191">
        <f>Tableau4[[#This Row],[Couverture 1 (%)]]*Tableau4[[#This Row],[Nombres appareils installés]]</f>
        <v>1.1867250480828253</v>
      </c>
      <c r="U90" s="188">
        <f>($U$4+($V$4*(Tableau4[[#This Row],[Capacité (BTU)]]/1000)))*Tableau4[[#This Row],[Nombres appareils installés]]</f>
        <v>6700</v>
      </c>
      <c r="V90" s="188">
        <f>Tableau4[[#This Row],[AF 2 ($)]]/Tableau4[[#This Row],[Nombres appareils installés]]</f>
        <v>3350</v>
      </c>
      <c r="W90" s="192">
        <f>Tableau4[[#This Row],[AF 2 par appareil ($)]]/Tableau4[[#This Row],[Surcoût par appareil ($)]]</f>
        <v>0.68543601915128705</v>
      </c>
      <c r="X90" s="192">
        <f>Tableau4[[#This Row],[Couverture 2 (%)]]*Tableau4[[#This Row],[Nombres appareils installés]]</f>
        <v>1.3708720383025741</v>
      </c>
      <c r="Y90" s="188">
        <f>($Y$4+$Z$4*(Tableau4[[#This Row],[Capacité (BTU)]]/1000))*Tableau4[[#This Row],[Nombres appareils installés]]</f>
        <v>6800</v>
      </c>
      <c r="Z90" s="188">
        <f>Tableau4[[#This Row],[AF 3 ($)]]/Tableau4[[#This Row],[Nombres appareils installés]]</f>
        <v>3400</v>
      </c>
      <c r="AA90" s="193">
        <f>Tableau4[[#This Row],[AF 3 par appareil ($)]]/Tableau4[[#This Row],[Surcoût par appareil ($)]]</f>
        <v>0.69566640749682862</v>
      </c>
      <c r="AB90" s="193">
        <f>Tableau4[[#This Row],[Couverture 3 (%)]]*Tableau4[[#This Row],[Nombres appareils installés]]</f>
        <v>1.3913328149936572</v>
      </c>
      <c r="AC90" s="188">
        <f>($AC$4+$AD$4*(Tableau4[[#This Row],[Capacité (BTU)]]/1000))*Tableau4[[#This Row],[Nombres appareils installés]]</f>
        <v>5840</v>
      </c>
      <c r="AD90" s="188">
        <f>Tableau4[[#This Row],[AF 4 ($)]]/Tableau4[[#This Row],[Nombres appareils installés]]</f>
        <v>2920</v>
      </c>
      <c r="AE90" s="194">
        <f>Tableau4[[#This Row],[Couverture 4 (%)]]*Tableau4[[#This Row],[Nombres appareils installés]]</f>
        <v>1.1949093587592585</v>
      </c>
      <c r="AF90" s="193">
        <f>Tableau4[[#This Row],[AF 4 par appareil  ($)]]/Tableau4[[#This Row],[Surcoût par appareil ($)]]</f>
        <v>0.59745467937962926</v>
      </c>
    </row>
    <row r="91" spans="2:32" x14ac:dyDescent="0.3">
      <c r="B91" s="195" t="s">
        <v>187</v>
      </c>
      <c r="C91" s="188" t="s">
        <v>216</v>
      </c>
      <c r="D91" s="188">
        <v>6</v>
      </c>
      <c r="E91" s="188">
        <v>180000</v>
      </c>
      <c r="F91" s="196">
        <f>Tableau4[[#This Row],[Economies totales (m3)]]/Tableau4[[#This Row],[Nombres appareils installés]]</f>
        <v>909</v>
      </c>
      <c r="G91" s="190">
        <v>5454</v>
      </c>
      <c r="H91" s="188">
        <f t="shared" si="2"/>
        <v>2487.4</v>
      </c>
      <c r="I91" s="188">
        <v>2400</v>
      </c>
      <c r="J91" s="188">
        <f>Tableau4[[#This Row],[Surcoût moyens de l''équipement ($)]]+Tableau4[[#This Row],[Surcoût moyen de l''installation ($)]]</f>
        <v>4887.3999999999996</v>
      </c>
      <c r="K91" s="188">
        <f>Tableau4[[#This Row],[Surcoût par appareil ($)]]*Tableau4[[#This Row],[Nombres appareils installés]]</f>
        <v>29324.399999999998</v>
      </c>
      <c r="L91" s="190">
        <v>10200</v>
      </c>
      <c r="M91" s="188">
        <f t="shared" si="3"/>
        <v>10800</v>
      </c>
      <c r="N91" s="188">
        <f>Tableau4[[#This Row],[AF 0 ($)]]/Tableau4[[#This Row],[Nombres appareils installés]]</f>
        <v>1800</v>
      </c>
      <c r="O91" s="191">
        <f>(Tableau4[[#This Row],[AF accordée ($)]])/($J$6*D91)</f>
        <v>0.42463905680171854</v>
      </c>
      <c r="P91" s="191">
        <f>Tableau4[[#This Row],[Couverture 0 (%)]]*Tableau4[[#This Row],[Nombres appareils installés]]</f>
        <v>2.5478343408103115</v>
      </c>
      <c r="Q91" s="188">
        <f>($Q$4+$R$4*(Tableau4[[#This Row],[Capacité (BTU)]]/1000))*Tableau4[[#This Row],[Nombres appareils installés]]</f>
        <v>17400</v>
      </c>
      <c r="R91" s="188">
        <f>Tableau4[[#This Row],[AF 1 ($)]]/Tableau4[[#This Row],[Nombres appareils installés]]</f>
        <v>2900</v>
      </c>
      <c r="S91" s="191">
        <f>Tableau4[[#This Row],[AF 1 ($)]]/(J91*D91)</f>
        <v>0.59336252404141265</v>
      </c>
      <c r="T91" s="191">
        <f>Tableau4[[#This Row],[Couverture 1 (%)]]*Tableau4[[#This Row],[Nombres appareils installés]]</f>
        <v>3.5601751442484759</v>
      </c>
      <c r="U91" s="188">
        <f>($U$4+$V$4*(Tableau4[[#This Row],[Capacité (BTU)]]/1000))*Tableau4[[#This Row],[Nombres appareils installés]]</f>
        <v>20100</v>
      </c>
      <c r="V91" s="188">
        <f>Tableau4[[#This Row],[AF 2 ($)]]/Tableau4[[#This Row],[Nombres appareils installés]]</f>
        <v>3350</v>
      </c>
      <c r="W91" s="191">
        <f>Tableau4[[#This Row],[AF 2 par appareil ($)]]/Tableau4[[#This Row],[Surcoût par appareil ($)]]</f>
        <v>0.68543601915128705</v>
      </c>
      <c r="X91" s="191">
        <f>Tableau4[[#This Row],[Couverture 2 (%)]]*Tableau4[[#This Row],[Nombres appareils installés]]</f>
        <v>4.1126161149077225</v>
      </c>
      <c r="Y91" s="188">
        <f>($Y$4+$Z$4*(Tableau4[[#This Row],[Capacité (BTU)]]/1000))*Tableau4[[#This Row],[Nombres appareils installés]]</f>
        <v>20400</v>
      </c>
      <c r="Z91" s="188">
        <f>Tableau4[[#This Row],[AF 3 ($)]]/Tableau4[[#This Row],[Nombres appareils installés]]</f>
        <v>3400</v>
      </c>
      <c r="AA91" s="193">
        <f>Tableau4[[#This Row],[AF 3 par appareil ($)]]/Tableau4[[#This Row],[Surcoût par appareil ($)]]</f>
        <v>0.69566640749682862</v>
      </c>
      <c r="AB91" s="193">
        <f>Tableau4[[#This Row],[Couverture 3 (%)]]*Tableau4[[#This Row],[Nombres appareils installés]]</f>
        <v>4.1739984449809722</v>
      </c>
      <c r="AC91" s="188">
        <f>($AC$4+$AD$4*(Tableau4[[#This Row],[Capacité (BTU)]]/1000))*Tableau4[[#This Row],[Nombres appareils installés]]</f>
        <v>17520</v>
      </c>
      <c r="AD91" s="188">
        <f>Tableau4[[#This Row],[AF 4 ($)]]/Tableau4[[#This Row],[Nombres appareils installés]]</f>
        <v>2920</v>
      </c>
      <c r="AE91" s="193">
        <f>Tableau4[[#This Row],[Couverture 4 (%)]]*Tableau4[[#This Row],[Nombres appareils installés]]</f>
        <v>3.5847280762777753</v>
      </c>
      <c r="AF91" s="193">
        <f>Tableau4[[#This Row],[AF 4 par appareil  ($)]]/Tableau4[[#This Row],[Surcoût par appareil ($)]]</f>
        <v>0.59745467937962926</v>
      </c>
    </row>
    <row r="92" spans="2:32" x14ac:dyDescent="0.3">
      <c r="B92" s="195" t="s">
        <v>187</v>
      </c>
      <c r="C92" s="188" t="s">
        <v>168</v>
      </c>
      <c r="D92" s="188">
        <v>1</v>
      </c>
      <c r="E92" s="188">
        <v>200000</v>
      </c>
      <c r="F92" s="196">
        <f>Tableau4[[#This Row],[Economies totales (m3)]]/Tableau4[[#This Row],[Nombres appareils installés]]</f>
        <v>1010</v>
      </c>
      <c r="G92" s="190">
        <v>1010</v>
      </c>
      <c r="H92" s="188">
        <f t="shared" si="2"/>
        <v>2713.4</v>
      </c>
      <c r="I92" s="188">
        <v>2400</v>
      </c>
      <c r="J92" s="188">
        <f>Tableau4[[#This Row],[Surcoût moyens de l''équipement ($)]]+Tableau4[[#This Row],[Surcoût moyen de l''installation ($)]]</f>
        <v>5113.3999999999996</v>
      </c>
      <c r="K92" s="188">
        <f>Tableau4[[#This Row],[Surcoût par appareil ($)]]*Tableau4[[#This Row],[Nombres appareils installés]]</f>
        <v>5113.3999999999996</v>
      </c>
      <c r="L92" s="190">
        <v>1700</v>
      </c>
      <c r="M92" s="188">
        <f t="shared" si="3"/>
        <v>1900</v>
      </c>
      <c r="N92" s="188">
        <f>Tableau4[[#This Row],[AF 0 ($)]]/Tableau4[[#This Row],[Nombres appareils installés]]</f>
        <v>1900</v>
      </c>
      <c r="O92" s="191">
        <f>(Tableau4[[#This Row],[AF accordée ($)]])/($J$6*D92)</f>
        <v>0.42463905680171854</v>
      </c>
      <c r="P92" s="191">
        <f>Tableau4[[#This Row],[Couverture 0 (%)]]*Tableau4[[#This Row],[Nombres appareils installés]]</f>
        <v>0.42463905680171854</v>
      </c>
      <c r="Q92" s="188">
        <f>($Q$4+$R$4*(Tableau4[[#This Row],[Capacité (BTU)]]/1000))*Tableau4[[#This Row],[Nombres appareils installés]]</f>
        <v>3000</v>
      </c>
      <c r="R92" s="188">
        <f>Tableau4[[#This Row],[AF 1 ($)]]/Tableau4[[#This Row],[Nombres appareils installés]]</f>
        <v>3000</v>
      </c>
      <c r="S92" s="191">
        <f>Tableau4[[#This Row],[AF 1 ($)]]/(J92*D92)</f>
        <v>0.58669378495717139</v>
      </c>
      <c r="T92" s="191">
        <f>Tableau4[[#This Row],[Couverture 1 (%)]]*Tableau4[[#This Row],[Nombres appareils installés]]</f>
        <v>0.58669378495717139</v>
      </c>
      <c r="U92" s="188">
        <f>($U$4+($V$4*(Tableau4[[#This Row],[Capacité (BTU)]]/1000)))*Tableau4[[#This Row],[Nombres appareils installés]]</f>
        <v>3500</v>
      </c>
      <c r="V92" s="188">
        <f>Tableau4[[#This Row],[AF 2 ($)]]/Tableau4[[#This Row],[Nombres appareils installés]]</f>
        <v>3500</v>
      </c>
      <c r="W92" s="192">
        <f>Tableau4[[#This Row],[AF 2 par appareil ($)]]/Tableau4[[#This Row],[Surcoût par appareil ($)]]</f>
        <v>0.68447608245003333</v>
      </c>
      <c r="X92" s="192">
        <f>Tableau4[[#This Row],[Couverture 2 (%)]]*Tableau4[[#This Row],[Nombres appareils installés]]</f>
        <v>0.68447608245003333</v>
      </c>
      <c r="Y92" s="188">
        <f>($Y$4+$Z$4*(Tableau4[[#This Row],[Capacité (BTU)]]/1000))*Tableau4[[#This Row],[Nombres appareils installés]]</f>
        <v>3500</v>
      </c>
      <c r="Z92" s="188">
        <f>Tableau4[[#This Row],[AF 3 ($)]]/Tableau4[[#This Row],[Nombres appareils installés]]</f>
        <v>3500</v>
      </c>
      <c r="AA92" s="193">
        <f>Tableau4[[#This Row],[AF 3 par appareil ($)]]/Tableau4[[#This Row],[Surcoût par appareil ($)]]</f>
        <v>0.68447608245003333</v>
      </c>
      <c r="AB92" s="193">
        <f>Tableau4[[#This Row],[Couverture 3 (%)]]*Tableau4[[#This Row],[Nombres appareils installés]]</f>
        <v>0.68447608245003333</v>
      </c>
      <c r="AC92" s="188">
        <f>($AC$4+$AD$4*(Tableau4[[#This Row],[Capacité (BTU)]]/1000))*Tableau4[[#This Row],[Nombres appareils installés]]</f>
        <v>3000</v>
      </c>
      <c r="AD92" s="188">
        <f>Tableau4[[#This Row],[AF 4 ($)]]/Tableau4[[#This Row],[Nombres appareils installés]]</f>
        <v>3000</v>
      </c>
      <c r="AE92" s="194">
        <f>Tableau4[[#This Row],[Couverture 4 (%)]]*Tableau4[[#This Row],[Nombres appareils installés]]</f>
        <v>0.58669378495717139</v>
      </c>
      <c r="AF92" s="193">
        <f>Tableau4[[#This Row],[AF 4 par appareil  ($)]]/Tableau4[[#This Row],[Surcoût par appareil ($)]]</f>
        <v>0.58669378495717139</v>
      </c>
    </row>
    <row r="93" spans="2:32" x14ac:dyDescent="0.3">
      <c r="B93" s="195" t="s">
        <v>187</v>
      </c>
      <c r="C93" s="188" t="s">
        <v>217</v>
      </c>
      <c r="D93" s="188">
        <v>2</v>
      </c>
      <c r="E93" s="188">
        <v>200000</v>
      </c>
      <c r="F93" s="196">
        <f>Tableau4[[#This Row],[Economies totales (m3)]]/Tableau4[[#This Row],[Nombres appareils installés]]</f>
        <v>1010</v>
      </c>
      <c r="G93" s="190">
        <v>2020</v>
      </c>
      <c r="H93" s="188">
        <f t="shared" si="2"/>
        <v>2713.4</v>
      </c>
      <c r="I93" s="188">
        <v>2400</v>
      </c>
      <c r="J93" s="188">
        <f>Tableau4[[#This Row],[Surcoût moyens de l''équipement ($)]]+Tableau4[[#This Row],[Surcoût moyen de l''installation ($)]]</f>
        <v>5113.3999999999996</v>
      </c>
      <c r="K93" s="188">
        <f>Tableau4[[#This Row],[Surcoût par appareil ($)]]*Tableau4[[#This Row],[Nombres appareils installés]]</f>
        <v>10226.799999999999</v>
      </c>
      <c r="L93" s="190">
        <v>3400</v>
      </c>
      <c r="M93" s="188">
        <f t="shared" si="3"/>
        <v>3800</v>
      </c>
      <c r="N93" s="188">
        <f>Tableau4[[#This Row],[AF 0 ($)]]/Tableau4[[#This Row],[Nombres appareils installés]]</f>
        <v>1900</v>
      </c>
      <c r="O93" s="191">
        <f>(Tableau4[[#This Row],[AF accordée ($)]])/($J$6*D93)</f>
        <v>0.42463905680171854</v>
      </c>
      <c r="P93" s="191">
        <f>Tableau4[[#This Row],[Couverture 0 (%)]]*Tableau4[[#This Row],[Nombres appareils installés]]</f>
        <v>0.84927811360343708</v>
      </c>
      <c r="Q93" s="188">
        <f>($Q$4+$R$4*(Tableau4[[#This Row],[Capacité (BTU)]]/1000))*Tableau4[[#This Row],[Nombres appareils installés]]</f>
        <v>6000</v>
      </c>
      <c r="R93" s="188">
        <f>Tableau4[[#This Row],[AF 1 ($)]]/Tableau4[[#This Row],[Nombres appareils installés]]</f>
        <v>3000</v>
      </c>
      <c r="S93" s="191">
        <f>Tableau4[[#This Row],[AF 1 ($)]]/(J93*D93)</f>
        <v>0.58669378495717139</v>
      </c>
      <c r="T93" s="191">
        <f>Tableau4[[#This Row],[Couverture 1 (%)]]*Tableau4[[#This Row],[Nombres appareils installés]]</f>
        <v>1.1733875699143428</v>
      </c>
      <c r="U93" s="188">
        <f>($U$4+($V$4*(Tableau4[[#This Row],[Capacité (BTU)]]/1000)))*Tableau4[[#This Row],[Nombres appareils installés]]</f>
        <v>7000</v>
      </c>
      <c r="V93" s="188">
        <f>Tableau4[[#This Row],[AF 2 ($)]]/Tableau4[[#This Row],[Nombres appareils installés]]</f>
        <v>3500</v>
      </c>
      <c r="W93" s="192">
        <f>Tableau4[[#This Row],[AF 2 par appareil ($)]]/Tableau4[[#This Row],[Surcoût par appareil ($)]]</f>
        <v>0.68447608245003333</v>
      </c>
      <c r="X93" s="192">
        <f>Tableau4[[#This Row],[Couverture 2 (%)]]*Tableau4[[#This Row],[Nombres appareils installés]]</f>
        <v>1.3689521649000667</v>
      </c>
      <c r="Y93" s="188">
        <f>($Y$4+$Z$4*(Tableau4[[#This Row],[Capacité (BTU)]]/1000))*Tableau4[[#This Row],[Nombres appareils installés]]</f>
        <v>7000</v>
      </c>
      <c r="Z93" s="188">
        <f>Tableau4[[#This Row],[AF 3 ($)]]/Tableau4[[#This Row],[Nombres appareils installés]]</f>
        <v>3500</v>
      </c>
      <c r="AA93" s="193">
        <f>Tableau4[[#This Row],[AF 3 par appareil ($)]]/Tableau4[[#This Row],[Surcoût par appareil ($)]]</f>
        <v>0.68447608245003333</v>
      </c>
      <c r="AB93" s="193">
        <f>Tableau4[[#This Row],[Couverture 3 (%)]]*Tableau4[[#This Row],[Nombres appareils installés]]</f>
        <v>1.3689521649000667</v>
      </c>
      <c r="AC93" s="188">
        <f>($AC$4+$AD$4*(Tableau4[[#This Row],[Capacité (BTU)]]/1000))*Tableau4[[#This Row],[Nombres appareils installés]]</f>
        <v>6000</v>
      </c>
      <c r="AD93" s="188">
        <f>Tableau4[[#This Row],[AF 4 ($)]]/Tableau4[[#This Row],[Nombres appareils installés]]</f>
        <v>3000</v>
      </c>
      <c r="AE93" s="194">
        <f>Tableau4[[#This Row],[Couverture 4 (%)]]*Tableau4[[#This Row],[Nombres appareils installés]]</f>
        <v>1.1733875699143428</v>
      </c>
      <c r="AF93" s="193">
        <f>Tableau4[[#This Row],[AF 4 par appareil  ($)]]/Tableau4[[#This Row],[Surcoût par appareil ($)]]</f>
        <v>0.58669378495717139</v>
      </c>
    </row>
    <row r="94" spans="2:32" x14ac:dyDescent="0.3">
      <c r="B94" s="195" t="s">
        <v>187</v>
      </c>
      <c r="C94" s="188" t="s">
        <v>218</v>
      </c>
      <c r="D94" s="188">
        <v>1</v>
      </c>
      <c r="E94" s="188">
        <v>215000</v>
      </c>
      <c r="F94" s="196">
        <f>Tableau4[[#This Row],[Economies totales (m3)]]/Tableau4[[#This Row],[Nombres appareils installés]]</f>
        <v>1085.75</v>
      </c>
      <c r="G94" s="190">
        <v>1085.75</v>
      </c>
      <c r="H94" s="188">
        <f t="shared" si="2"/>
        <v>2898.6499999999996</v>
      </c>
      <c r="I94" s="188">
        <v>2400</v>
      </c>
      <c r="J94" s="188">
        <f>Tableau4[[#This Row],[Surcoût moyens de l''équipement ($)]]+Tableau4[[#This Row],[Surcoût moyen de l''installation ($)]]</f>
        <v>5298.65</v>
      </c>
      <c r="K94" s="188">
        <f>Tableau4[[#This Row],[Surcoût par appareil ($)]]*Tableau4[[#This Row],[Nombres appareils installés]]</f>
        <v>5298.65</v>
      </c>
      <c r="L94" s="190">
        <v>1700</v>
      </c>
      <c r="M94" s="188">
        <f t="shared" si="3"/>
        <v>1975</v>
      </c>
      <c r="N94" s="188">
        <f>Tableau4[[#This Row],[AF 0 ($)]]/Tableau4[[#This Row],[Nombres appareils installés]]</f>
        <v>1975</v>
      </c>
      <c r="O94" s="191">
        <f>(Tableau4[[#This Row],[AF accordée ($)]])/($J$6*D94)</f>
        <v>0.42463905680171854</v>
      </c>
      <c r="P94" s="191">
        <f>Tableau4[[#This Row],[Couverture 0 (%)]]*Tableau4[[#This Row],[Nombres appareils installés]]</f>
        <v>0.42463905680171854</v>
      </c>
      <c r="Q94" s="188">
        <f>($Q$4+$R$4*(Tableau4[[#This Row],[Capacité (BTU)]]/1000))*Tableau4[[#This Row],[Nombres appareils installés]]</f>
        <v>3075</v>
      </c>
      <c r="R94" s="188">
        <f>Tableau4[[#This Row],[AF 1 ($)]]/Tableau4[[#This Row],[Nombres appareils installés]]</f>
        <v>3075</v>
      </c>
      <c r="S94" s="191">
        <f>Tableau4[[#This Row],[AF 1 ($)]]/(J94*D94)</f>
        <v>0.58033650080680932</v>
      </c>
      <c r="T94" s="191">
        <f>Tableau4[[#This Row],[Couverture 1 (%)]]*Tableau4[[#This Row],[Nombres appareils installés]]</f>
        <v>0.58033650080680932</v>
      </c>
      <c r="U94" s="188">
        <f>($U$4+($V$4*(Tableau4[[#This Row],[Capacité (BTU)]]/1000)))*Tableau4[[#This Row],[Nombres appareils installés]]</f>
        <v>3612.5</v>
      </c>
      <c r="V94" s="188">
        <f>Tableau4[[#This Row],[AF 2 ($)]]/Tableau4[[#This Row],[Nombres appareils installés]]</f>
        <v>3612.5</v>
      </c>
      <c r="W94" s="192">
        <f>Tableau4[[#This Row],[AF 2 par appareil ($)]]/Tableau4[[#This Row],[Surcoût par appareil ($)]]</f>
        <v>0.68177743387466627</v>
      </c>
      <c r="X94" s="192">
        <f>Tableau4[[#This Row],[Couverture 2 (%)]]*Tableau4[[#This Row],[Nombres appareils installés]]</f>
        <v>0.68177743387466627</v>
      </c>
      <c r="Y94" s="188">
        <f>($Y$4+$Z$4*(Tableau4[[#This Row],[Capacité (BTU)]]/1000))*Tableau4[[#This Row],[Nombres appareils installés]]</f>
        <v>3575</v>
      </c>
      <c r="Z94" s="188">
        <f>Tableau4[[#This Row],[AF 3 ($)]]/Tableau4[[#This Row],[Nombres appareils installés]]</f>
        <v>3575</v>
      </c>
      <c r="AA94" s="193">
        <f>Tableau4[[#This Row],[AF 3 par appareil ($)]]/Tableau4[[#This Row],[Surcoût par appareil ($)]]</f>
        <v>0.67470015947458317</v>
      </c>
      <c r="AB94" s="193">
        <f>Tableau4[[#This Row],[Couverture 3 (%)]]*Tableau4[[#This Row],[Nombres appareils installés]]</f>
        <v>0.67470015947458317</v>
      </c>
      <c r="AC94" s="188">
        <f>($AC$4+$AD$4*(Tableau4[[#This Row],[Capacité (BTU)]]/1000))*Tableau4[[#This Row],[Nombres appareils installés]]</f>
        <v>3060</v>
      </c>
      <c r="AD94" s="188">
        <f>Tableau4[[#This Row],[AF 4 ($)]]/Tableau4[[#This Row],[Nombres appareils installés]]</f>
        <v>3060</v>
      </c>
      <c r="AE94" s="194">
        <f>Tableau4[[#This Row],[Couverture 4 (%)]]*Tableau4[[#This Row],[Nombres appareils installés]]</f>
        <v>0.57750559104677612</v>
      </c>
      <c r="AF94" s="193">
        <f>Tableau4[[#This Row],[AF 4 par appareil  ($)]]/Tableau4[[#This Row],[Surcoût par appareil ($)]]</f>
        <v>0.57750559104677612</v>
      </c>
    </row>
    <row r="95" spans="2:32" x14ac:dyDescent="0.3">
      <c r="B95" s="195" t="s">
        <v>187</v>
      </c>
      <c r="C95" s="188" t="s">
        <v>219</v>
      </c>
      <c r="D95" s="188">
        <v>1</v>
      </c>
      <c r="E95" s="188">
        <v>215000</v>
      </c>
      <c r="F95" s="196">
        <f>Tableau4[[#This Row],[Economies totales (m3)]]/Tableau4[[#This Row],[Nombres appareils installés]]</f>
        <v>1085.75</v>
      </c>
      <c r="G95" s="190">
        <v>1085.75</v>
      </c>
      <c r="H95" s="188">
        <f t="shared" si="2"/>
        <v>2898.6499999999996</v>
      </c>
      <c r="I95" s="188">
        <v>2400</v>
      </c>
      <c r="J95" s="188">
        <f>Tableau4[[#This Row],[Surcoût moyens de l''équipement ($)]]+Tableau4[[#This Row],[Surcoût moyen de l''installation ($)]]</f>
        <v>5298.65</v>
      </c>
      <c r="K95" s="188">
        <f>Tableau4[[#This Row],[Surcoût par appareil ($)]]*Tableau4[[#This Row],[Nombres appareils installés]]</f>
        <v>5298.65</v>
      </c>
      <c r="L95" s="190">
        <v>1700</v>
      </c>
      <c r="M95" s="188">
        <f t="shared" si="3"/>
        <v>1975</v>
      </c>
      <c r="N95" s="188">
        <f>Tableau4[[#This Row],[AF 0 ($)]]/Tableau4[[#This Row],[Nombres appareils installés]]</f>
        <v>1975</v>
      </c>
      <c r="O95" s="191">
        <f>(Tableau4[[#This Row],[AF accordée ($)]])/($J$6*D95)</f>
        <v>0.42463905680171854</v>
      </c>
      <c r="P95" s="191">
        <f>Tableau4[[#This Row],[Couverture 0 (%)]]*Tableau4[[#This Row],[Nombres appareils installés]]</f>
        <v>0.42463905680171854</v>
      </c>
      <c r="Q95" s="188">
        <f>($Q$4+$R$4*(Tableau4[[#This Row],[Capacité (BTU)]]/1000))*Tableau4[[#This Row],[Nombres appareils installés]]</f>
        <v>3075</v>
      </c>
      <c r="R95" s="188">
        <f>Tableau4[[#This Row],[AF 1 ($)]]/Tableau4[[#This Row],[Nombres appareils installés]]</f>
        <v>3075</v>
      </c>
      <c r="S95" s="191">
        <f>Tableau4[[#This Row],[AF 1 ($)]]/(J95*D95)</f>
        <v>0.58033650080680932</v>
      </c>
      <c r="T95" s="191">
        <f>Tableau4[[#This Row],[Couverture 1 (%)]]*Tableau4[[#This Row],[Nombres appareils installés]]</f>
        <v>0.58033650080680932</v>
      </c>
      <c r="U95" s="188">
        <f>($U$4+($V$4*(Tableau4[[#This Row],[Capacité (BTU)]]/1000)))*Tableau4[[#This Row],[Nombres appareils installés]]</f>
        <v>3612.5</v>
      </c>
      <c r="V95" s="188">
        <f>Tableau4[[#This Row],[AF 2 ($)]]/Tableau4[[#This Row],[Nombres appareils installés]]</f>
        <v>3612.5</v>
      </c>
      <c r="W95" s="192">
        <f>Tableau4[[#This Row],[AF 2 par appareil ($)]]/Tableau4[[#This Row],[Surcoût par appareil ($)]]</f>
        <v>0.68177743387466627</v>
      </c>
      <c r="X95" s="192">
        <f>Tableau4[[#This Row],[Couverture 2 (%)]]*Tableau4[[#This Row],[Nombres appareils installés]]</f>
        <v>0.68177743387466627</v>
      </c>
      <c r="Y95" s="188">
        <f>($Y$4+$Z$4*(Tableau4[[#This Row],[Capacité (BTU)]]/1000))*Tableau4[[#This Row],[Nombres appareils installés]]</f>
        <v>3575</v>
      </c>
      <c r="Z95" s="188">
        <f>Tableau4[[#This Row],[AF 3 ($)]]/Tableau4[[#This Row],[Nombres appareils installés]]</f>
        <v>3575</v>
      </c>
      <c r="AA95" s="193">
        <f>Tableau4[[#This Row],[AF 3 par appareil ($)]]/Tableau4[[#This Row],[Surcoût par appareil ($)]]</f>
        <v>0.67470015947458317</v>
      </c>
      <c r="AB95" s="193">
        <f>Tableau4[[#This Row],[Couverture 3 (%)]]*Tableau4[[#This Row],[Nombres appareils installés]]</f>
        <v>0.67470015947458317</v>
      </c>
      <c r="AC95" s="188">
        <f>($AC$4+$AD$4*(Tableau4[[#This Row],[Capacité (BTU)]]/1000))*Tableau4[[#This Row],[Nombres appareils installés]]</f>
        <v>3060</v>
      </c>
      <c r="AD95" s="188">
        <f>Tableau4[[#This Row],[AF 4 ($)]]/Tableau4[[#This Row],[Nombres appareils installés]]</f>
        <v>3060</v>
      </c>
      <c r="AE95" s="194">
        <f>Tableau4[[#This Row],[Couverture 4 (%)]]*Tableau4[[#This Row],[Nombres appareils installés]]</f>
        <v>0.57750559104677612</v>
      </c>
      <c r="AF95" s="193">
        <f>Tableau4[[#This Row],[AF 4 par appareil  ($)]]/Tableau4[[#This Row],[Surcoût par appareil ($)]]</f>
        <v>0.57750559104677612</v>
      </c>
    </row>
    <row r="96" spans="2:32" x14ac:dyDescent="0.3">
      <c r="B96" s="195" t="s">
        <v>187</v>
      </c>
      <c r="C96" s="188" t="s">
        <v>220</v>
      </c>
      <c r="D96" s="188">
        <v>1</v>
      </c>
      <c r="E96" s="188">
        <v>215000</v>
      </c>
      <c r="F96" s="196">
        <f>Tableau4[[#This Row],[Economies totales (m3)]]/Tableau4[[#This Row],[Nombres appareils installés]]</f>
        <v>1085.75</v>
      </c>
      <c r="G96" s="190">
        <v>1085.75</v>
      </c>
      <c r="H96" s="188">
        <f t="shared" si="2"/>
        <v>2898.6499999999996</v>
      </c>
      <c r="I96" s="188">
        <v>2400</v>
      </c>
      <c r="J96" s="188">
        <f>Tableau4[[#This Row],[Surcoût moyens de l''équipement ($)]]+Tableau4[[#This Row],[Surcoût moyen de l''installation ($)]]</f>
        <v>5298.65</v>
      </c>
      <c r="K96" s="188">
        <f>Tableau4[[#This Row],[Surcoût par appareil ($)]]*Tableau4[[#This Row],[Nombres appareils installés]]</f>
        <v>5298.65</v>
      </c>
      <c r="L96" s="190">
        <v>1700</v>
      </c>
      <c r="M96" s="188">
        <f t="shared" si="3"/>
        <v>1975</v>
      </c>
      <c r="N96" s="188">
        <f>Tableau4[[#This Row],[AF 0 ($)]]/Tableau4[[#This Row],[Nombres appareils installés]]</f>
        <v>1975</v>
      </c>
      <c r="O96" s="191">
        <f>(Tableau4[[#This Row],[AF accordée ($)]])/($J$6*D96)</f>
        <v>0.42463905680171854</v>
      </c>
      <c r="P96" s="191">
        <f>Tableau4[[#This Row],[Couverture 0 (%)]]*Tableau4[[#This Row],[Nombres appareils installés]]</f>
        <v>0.42463905680171854</v>
      </c>
      <c r="Q96" s="188">
        <f>($Q$4+$R$4*(Tableau4[[#This Row],[Capacité (BTU)]]/1000))*Tableau4[[#This Row],[Nombres appareils installés]]</f>
        <v>3075</v>
      </c>
      <c r="R96" s="188">
        <f>Tableau4[[#This Row],[AF 1 ($)]]/Tableau4[[#This Row],[Nombres appareils installés]]</f>
        <v>3075</v>
      </c>
      <c r="S96" s="191">
        <f>Tableau4[[#This Row],[AF 1 ($)]]/(J96*D96)</f>
        <v>0.58033650080680932</v>
      </c>
      <c r="T96" s="191">
        <f>Tableau4[[#This Row],[Couverture 1 (%)]]*Tableau4[[#This Row],[Nombres appareils installés]]</f>
        <v>0.58033650080680932</v>
      </c>
      <c r="U96" s="188">
        <f>($U$4+($V$4*(Tableau4[[#This Row],[Capacité (BTU)]]/1000)))*Tableau4[[#This Row],[Nombres appareils installés]]</f>
        <v>3612.5</v>
      </c>
      <c r="V96" s="188">
        <f>Tableau4[[#This Row],[AF 2 ($)]]/Tableau4[[#This Row],[Nombres appareils installés]]</f>
        <v>3612.5</v>
      </c>
      <c r="W96" s="192">
        <f>Tableau4[[#This Row],[AF 2 par appareil ($)]]/Tableau4[[#This Row],[Surcoût par appareil ($)]]</f>
        <v>0.68177743387466627</v>
      </c>
      <c r="X96" s="192">
        <f>Tableau4[[#This Row],[Couverture 2 (%)]]*Tableau4[[#This Row],[Nombres appareils installés]]</f>
        <v>0.68177743387466627</v>
      </c>
      <c r="Y96" s="188">
        <f>($Y$4+$Z$4*(Tableau4[[#This Row],[Capacité (BTU)]]/1000))*Tableau4[[#This Row],[Nombres appareils installés]]</f>
        <v>3575</v>
      </c>
      <c r="Z96" s="188">
        <f>Tableau4[[#This Row],[AF 3 ($)]]/Tableau4[[#This Row],[Nombres appareils installés]]</f>
        <v>3575</v>
      </c>
      <c r="AA96" s="193">
        <f>Tableau4[[#This Row],[AF 3 par appareil ($)]]/Tableau4[[#This Row],[Surcoût par appareil ($)]]</f>
        <v>0.67470015947458317</v>
      </c>
      <c r="AB96" s="193">
        <f>Tableau4[[#This Row],[Couverture 3 (%)]]*Tableau4[[#This Row],[Nombres appareils installés]]</f>
        <v>0.67470015947458317</v>
      </c>
      <c r="AC96" s="188">
        <f>($AC$4+$AD$4*(Tableau4[[#This Row],[Capacité (BTU)]]/1000))*Tableau4[[#This Row],[Nombres appareils installés]]</f>
        <v>3060</v>
      </c>
      <c r="AD96" s="188">
        <f>Tableau4[[#This Row],[AF 4 ($)]]/Tableau4[[#This Row],[Nombres appareils installés]]</f>
        <v>3060</v>
      </c>
      <c r="AE96" s="194">
        <f>Tableau4[[#This Row],[Couverture 4 (%)]]*Tableau4[[#This Row],[Nombres appareils installés]]</f>
        <v>0.57750559104677612</v>
      </c>
      <c r="AF96" s="193">
        <f>Tableau4[[#This Row],[AF 4 par appareil  ($)]]/Tableau4[[#This Row],[Surcoût par appareil ($)]]</f>
        <v>0.57750559104677612</v>
      </c>
    </row>
    <row r="97" spans="2:32" x14ac:dyDescent="0.3">
      <c r="B97" s="195" t="s">
        <v>187</v>
      </c>
      <c r="C97" s="188" t="s">
        <v>215</v>
      </c>
      <c r="D97" s="188">
        <v>1</v>
      </c>
      <c r="E97" s="188">
        <v>215000</v>
      </c>
      <c r="F97" s="196">
        <f>Tableau4[[#This Row],[Economies totales (m3)]]/Tableau4[[#This Row],[Nombres appareils installés]]</f>
        <v>1085.75</v>
      </c>
      <c r="G97" s="190">
        <v>1085.75</v>
      </c>
      <c r="H97" s="188">
        <f t="shared" si="2"/>
        <v>2898.6499999999996</v>
      </c>
      <c r="I97" s="188">
        <v>2400</v>
      </c>
      <c r="J97" s="188">
        <f>Tableau4[[#This Row],[Surcoût moyens de l''équipement ($)]]+Tableau4[[#This Row],[Surcoût moyen de l''installation ($)]]</f>
        <v>5298.65</v>
      </c>
      <c r="K97" s="188">
        <f>Tableau4[[#This Row],[Surcoût par appareil ($)]]*Tableau4[[#This Row],[Nombres appareils installés]]</f>
        <v>5298.65</v>
      </c>
      <c r="L97" s="190">
        <v>1700</v>
      </c>
      <c r="M97" s="188">
        <f t="shared" si="3"/>
        <v>1975</v>
      </c>
      <c r="N97" s="188">
        <f>Tableau4[[#This Row],[AF 0 ($)]]/Tableau4[[#This Row],[Nombres appareils installés]]</f>
        <v>1975</v>
      </c>
      <c r="O97" s="191">
        <f>(Tableau4[[#This Row],[AF accordée ($)]])/($J$6*D97)</f>
        <v>0.42463905680171854</v>
      </c>
      <c r="P97" s="191">
        <f>Tableau4[[#This Row],[Couverture 0 (%)]]*Tableau4[[#This Row],[Nombres appareils installés]]</f>
        <v>0.42463905680171854</v>
      </c>
      <c r="Q97" s="188">
        <f>($Q$4+$R$4*(Tableau4[[#This Row],[Capacité (BTU)]]/1000))*Tableau4[[#This Row],[Nombres appareils installés]]</f>
        <v>3075</v>
      </c>
      <c r="R97" s="188">
        <f>Tableau4[[#This Row],[AF 1 ($)]]/Tableau4[[#This Row],[Nombres appareils installés]]</f>
        <v>3075</v>
      </c>
      <c r="S97" s="191">
        <f>Tableau4[[#This Row],[AF 1 ($)]]/(J97*D97)</f>
        <v>0.58033650080680932</v>
      </c>
      <c r="T97" s="191">
        <f>Tableau4[[#This Row],[Couverture 1 (%)]]*Tableau4[[#This Row],[Nombres appareils installés]]</f>
        <v>0.58033650080680932</v>
      </c>
      <c r="U97" s="188">
        <f>($U$4+($V$4*(Tableau4[[#This Row],[Capacité (BTU)]]/1000)))*Tableau4[[#This Row],[Nombres appareils installés]]</f>
        <v>3612.5</v>
      </c>
      <c r="V97" s="188">
        <f>Tableau4[[#This Row],[AF 2 ($)]]/Tableau4[[#This Row],[Nombres appareils installés]]</f>
        <v>3612.5</v>
      </c>
      <c r="W97" s="192">
        <f>Tableau4[[#This Row],[AF 2 par appareil ($)]]/Tableau4[[#This Row],[Surcoût par appareil ($)]]</f>
        <v>0.68177743387466627</v>
      </c>
      <c r="X97" s="192">
        <f>Tableau4[[#This Row],[Couverture 2 (%)]]*Tableau4[[#This Row],[Nombres appareils installés]]</f>
        <v>0.68177743387466627</v>
      </c>
      <c r="Y97" s="188">
        <f>($Y$4+$Z$4*(Tableau4[[#This Row],[Capacité (BTU)]]/1000))*Tableau4[[#This Row],[Nombres appareils installés]]</f>
        <v>3575</v>
      </c>
      <c r="Z97" s="188">
        <f>Tableau4[[#This Row],[AF 3 ($)]]/Tableau4[[#This Row],[Nombres appareils installés]]</f>
        <v>3575</v>
      </c>
      <c r="AA97" s="193">
        <f>Tableau4[[#This Row],[AF 3 par appareil ($)]]/Tableau4[[#This Row],[Surcoût par appareil ($)]]</f>
        <v>0.67470015947458317</v>
      </c>
      <c r="AB97" s="193">
        <f>Tableau4[[#This Row],[Couverture 3 (%)]]*Tableau4[[#This Row],[Nombres appareils installés]]</f>
        <v>0.67470015947458317</v>
      </c>
      <c r="AC97" s="188">
        <f>($AC$4+$AD$4*(Tableau4[[#This Row],[Capacité (BTU)]]/1000))*Tableau4[[#This Row],[Nombres appareils installés]]</f>
        <v>3060</v>
      </c>
      <c r="AD97" s="188">
        <f>Tableau4[[#This Row],[AF 4 ($)]]/Tableau4[[#This Row],[Nombres appareils installés]]</f>
        <v>3060</v>
      </c>
      <c r="AE97" s="194">
        <f>Tableau4[[#This Row],[Couverture 4 (%)]]*Tableau4[[#This Row],[Nombres appareils installés]]</f>
        <v>0.57750559104677612</v>
      </c>
      <c r="AF97" s="193">
        <f>Tableau4[[#This Row],[AF 4 par appareil  ($)]]/Tableau4[[#This Row],[Surcoût par appareil ($)]]</f>
        <v>0.57750559104677612</v>
      </c>
    </row>
    <row r="98" spans="2:32" x14ac:dyDescent="0.3">
      <c r="B98" s="195" t="s">
        <v>187</v>
      </c>
      <c r="C98" s="188" t="s">
        <v>221</v>
      </c>
      <c r="D98" s="188">
        <v>1</v>
      </c>
      <c r="E98" s="188">
        <v>215000</v>
      </c>
      <c r="F98" s="196">
        <f>Tableau4[[#This Row],[Economies totales (m3)]]/Tableau4[[#This Row],[Nombres appareils installés]]</f>
        <v>1085.75</v>
      </c>
      <c r="G98" s="190">
        <v>1085.75</v>
      </c>
      <c r="H98" s="188">
        <f t="shared" si="2"/>
        <v>2898.6499999999996</v>
      </c>
      <c r="I98" s="188">
        <v>2400</v>
      </c>
      <c r="J98" s="188">
        <f>Tableau4[[#This Row],[Surcoût moyens de l''équipement ($)]]+Tableau4[[#This Row],[Surcoût moyen de l''installation ($)]]</f>
        <v>5298.65</v>
      </c>
      <c r="K98" s="188">
        <f>Tableau4[[#This Row],[Surcoût par appareil ($)]]*Tableau4[[#This Row],[Nombres appareils installés]]</f>
        <v>5298.65</v>
      </c>
      <c r="L98" s="190">
        <v>1700</v>
      </c>
      <c r="M98" s="188">
        <f t="shared" si="3"/>
        <v>1975</v>
      </c>
      <c r="N98" s="188">
        <f>Tableau4[[#This Row],[AF 0 ($)]]/Tableau4[[#This Row],[Nombres appareils installés]]</f>
        <v>1975</v>
      </c>
      <c r="O98" s="191">
        <f>(Tableau4[[#This Row],[AF accordée ($)]])/($J$6*D98)</f>
        <v>0.42463905680171854</v>
      </c>
      <c r="P98" s="191">
        <f>Tableau4[[#This Row],[Couverture 0 (%)]]*Tableau4[[#This Row],[Nombres appareils installés]]</f>
        <v>0.42463905680171854</v>
      </c>
      <c r="Q98" s="188">
        <f>($Q$4+$R$4*(Tableau4[[#This Row],[Capacité (BTU)]]/1000))*Tableau4[[#This Row],[Nombres appareils installés]]</f>
        <v>3075</v>
      </c>
      <c r="R98" s="188">
        <f>Tableau4[[#This Row],[AF 1 ($)]]/Tableau4[[#This Row],[Nombres appareils installés]]</f>
        <v>3075</v>
      </c>
      <c r="S98" s="191">
        <f>Tableau4[[#This Row],[AF 1 ($)]]/(J98*D98)</f>
        <v>0.58033650080680932</v>
      </c>
      <c r="T98" s="191">
        <f>Tableau4[[#This Row],[Couverture 1 (%)]]*Tableau4[[#This Row],[Nombres appareils installés]]</f>
        <v>0.58033650080680932</v>
      </c>
      <c r="U98" s="188">
        <f>($U$4+($V$4*(Tableau4[[#This Row],[Capacité (BTU)]]/1000)))*Tableau4[[#This Row],[Nombres appareils installés]]</f>
        <v>3612.5</v>
      </c>
      <c r="V98" s="188">
        <f>Tableau4[[#This Row],[AF 2 ($)]]/Tableau4[[#This Row],[Nombres appareils installés]]</f>
        <v>3612.5</v>
      </c>
      <c r="W98" s="192">
        <f>Tableau4[[#This Row],[AF 2 par appareil ($)]]/Tableau4[[#This Row],[Surcoût par appareil ($)]]</f>
        <v>0.68177743387466627</v>
      </c>
      <c r="X98" s="192">
        <f>Tableau4[[#This Row],[Couverture 2 (%)]]*Tableau4[[#This Row],[Nombres appareils installés]]</f>
        <v>0.68177743387466627</v>
      </c>
      <c r="Y98" s="188">
        <f>($Y$4+$Z$4*(Tableau4[[#This Row],[Capacité (BTU)]]/1000))*Tableau4[[#This Row],[Nombres appareils installés]]</f>
        <v>3575</v>
      </c>
      <c r="Z98" s="188">
        <f>Tableau4[[#This Row],[AF 3 ($)]]/Tableau4[[#This Row],[Nombres appareils installés]]</f>
        <v>3575</v>
      </c>
      <c r="AA98" s="193">
        <f>Tableau4[[#This Row],[AF 3 par appareil ($)]]/Tableau4[[#This Row],[Surcoût par appareil ($)]]</f>
        <v>0.67470015947458317</v>
      </c>
      <c r="AB98" s="193">
        <f>Tableau4[[#This Row],[Couverture 3 (%)]]*Tableau4[[#This Row],[Nombres appareils installés]]</f>
        <v>0.67470015947458317</v>
      </c>
      <c r="AC98" s="188">
        <f>($AC$4+$AD$4*(Tableau4[[#This Row],[Capacité (BTU)]]/1000))*Tableau4[[#This Row],[Nombres appareils installés]]</f>
        <v>3060</v>
      </c>
      <c r="AD98" s="188">
        <f>Tableau4[[#This Row],[AF 4 ($)]]/Tableau4[[#This Row],[Nombres appareils installés]]</f>
        <v>3060</v>
      </c>
      <c r="AE98" s="194">
        <f>Tableau4[[#This Row],[Couverture 4 (%)]]*Tableau4[[#This Row],[Nombres appareils installés]]</f>
        <v>0.57750559104677612</v>
      </c>
      <c r="AF98" s="193">
        <f>Tableau4[[#This Row],[AF 4 par appareil  ($)]]/Tableau4[[#This Row],[Surcoût par appareil ($)]]</f>
        <v>0.57750559104677612</v>
      </c>
    </row>
    <row r="99" spans="2:32" x14ac:dyDescent="0.3">
      <c r="B99" s="195" t="s">
        <v>187</v>
      </c>
      <c r="C99" s="188" t="s">
        <v>222</v>
      </c>
      <c r="D99" s="188">
        <v>1</v>
      </c>
      <c r="E99" s="188">
        <v>215000</v>
      </c>
      <c r="F99" s="196">
        <f>Tableau4[[#This Row],[Economies totales (m3)]]/Tableau4[[#This Row],[Nombres appareils installés]]</f>
        <v>1085.75</v>
      </c>
      <c r="G99" s="190">
        <v>1085.75</v>
      </c>
      <c r="H99" s="188">
        <f t="shared" si="2"/>
        <v>2898.6499999999996</v>
      </c>
      <c r="I99" s="188">
        <v>2400</v>
      </c>
      <c r="J99" s="188">
        <f>Tableau4[[#This Row],[Surcoût moyens de l''équipement ($)]]+Tableau4[[#This Row],[Surcoût moyen de l''installation ($)]]</f>
        <v>5298.65</v>
      </c>
      <c r="K99" s="188">
        <f>Tableau4[[#This Row],[Surcoût par appareil ($)]]*Tableau4[[#This Row],[Nombres appareils installés]]</f>
        <v>5298.65</v>
      </c>
      <c r="L99" s="190">
        <v>1700</v>
      </c>
      <c r="M99" s="188">
        <f t="shared" si="3"/>
        <v>1975</v>
      </c>
      <c r="N99" s="188">
        <f>Tableau4[[#This Row],[AF 0 ($)]]/Tableau4[[#This Row],[Nombres appareils installés]]</f>
        <v>1975</v>
      </c>
      <c r="O99" s="191">
        <f>(Tableau4[[#This Row],[AF accordée ($)]])/($J$6*D99)</f>
        <v>0.42463905680171854</v>
      </c>
      <c r="P99" s="191">
        <f>Tableau4[[#This Row],[Couverture 0 (%)]]*Tableau4[[#This Row],[Nombres appareils installés]]</f>
        <v>0.42463905680171854</v>
      </c>
      <c r="Q99" s="188">
        <f>($Q$4+$R$4*(Tableau4[[#This Row],[Capacité (BTU)]]/1000))*Tableau4[[#This Row],[Nombres appareils installés]]</f>
        <v>3075</v>
      </c>
      <c r="R99" s="188">
        <f>Tableau4[[#This Row],[AF 1 ($)]]/Tableau4[[#This Row],[Nombres appareils installés]]</f>
        <v>3075</v>
      </c>
      <c r="S99" s="191">
        <f>Tableau4[[#This Row],[AF 1 ($)]]/(J99*D99)</f>
        <v>0.58033650080680932</v>
      </c>
      <c r="T99" s="191">
        <f>Tableau4[[#This Row],[Couverture 1 (%)]]*Tableau4[[#This Row],[Nombres appareils installés]]</f>
        <v>0.58033650080680932</v>
      </c>
      <c r="U99" s="188">
        <f>($U$4+($V$4*(Tableau4[[#This Row],[Capacité (BTU)]]/1000)))*Tableau4[[#This Row],[Nombres appareils installés]]</f>
        <v>3612.5</v>
      </c>
      <c r="V99" s="188">
        <f>Tableau4[[#This Row],[AF 2 ($)]]/Tableau4[[#This Row],[Nombres appareils installés]]</f>
        <v>3612.5</v>
      </c>
      <c r="W99" s="192">
        <f>Tableau4[[#This Row],[AF 2 par appareil ($)]]/Tableau4[[#This Row],[Surcoût par appareil ($)]]</f>
        <v>0.68177743387466627</v>
      </c>
      <c r="X99" s="192">
        <f>Tableau4[[#This Row],[Couverture 2 (%)]]*Tableau4[[#This Row],[Nombres appareils installés]]</f>
        <v>0.68177743387466627</v>
      </c>
      <c r="Y99" s="188">
        <f>($Y$4+$Z$4*(Tableau4[[#This Row],[Capacité (BTU)]]/1000))*Tableau4[[#This Row],[Nombres appareils installés]]</f>
        <v>3575</v>
      </c>
      <c r="Z99" s="188">
        <f>Tableau4[[#This Row],[AF 3 ($)]]/Tableau4[[#This Row],[Nombres appareils installés]]</f>
        <v>3575</v>
      </c>
      <c r="AA99" s="193">
        <f>Tableau4[[#This Row],[AF 3 par appareil ($)]]/Tableau4[[#This Row],[Surcoût par appareil ($)]]</f>
        <v>0.67470015947458317</v>
      </c>
      <c r="AB99" s="193">
        <f>Tableau4[[#This Row],[Couverture 3 (%)]]*Tableau4[[#This Row],[Nombres appareils installés]]</f>
        <v>0.67470015947458317</v>
      </c>
      <c r="AC99" s="188">
        <f>($AC$4+$AD$4*(Tableau4[[#This Row],[Capacité (BTU)]]/1000))*Tableau4[[#This Row],[Nombres appareils installés]]</f>
        <v>3060</v>
      </c>
      <c r="AD99" s="188">
        <f>Tableau4[[#This Row],[AF 4 ($)]]/Tableau4[[#This Row],[Nombres appareils installés]]</f>
        <v>3060</v>
      </c>
      <c r="AE99" s="194">
        <f>Tableau4[[#This Row],[Couverture 4 (%)]]*Tableau4[[#This Row],[Nombres appareils installés]]</f>
        <v>0.57750559104677612</v>
      </c>
      <c r="AF99" s="193">
        <f>Tableau4[[#This Row],[AF 4 par appareil  ($)]]/Tableau4[[#This Row],[Surcoût par appareil ($)]]</f>
        <v>0.57750559104677612</v>
      </c>
    </row>
    <row r="100" spans="2:32" x14ac:dyDescent="0.3">
      <c r="B100" s="195" t="s">
        <v>187</v>
      </c>
      <c r="C100" s="188" t="s">
        <v>223</v>
      </c>
      <c r="D100" s="188">
        <v>2</v>
      </c>
      <c r="E100" s="188">
        <v>215000</v>
      </c>
      <c r="F100" s="196">
        <f>Tableau4[[#This Row],[Economies totales (m3)]]/Tableau4[[#This Row],[Nombres appareils installés]]</f>
        <v>1085.75</v>
      </c>
      <c r="G100" s="190">
        <v>2171.5</v>
      </c>
      <c r="H100" s="188">
        <f t="shared" si="2"/>
        <v>2898.6499999999996</v>
      </c>
      <c r="I100" s="188">
        <v>2400</v>
      </c>
      <c r="J100" s="188">
        <f>Tableau4[[#This Row],[Surcoût moyens de l''équipement ($)]]+Tableau4[[#This Row],[Surcoût moyen de l''installation ($)]]</f>
        <v>5298.65</v>
      </c>
      <c r="K100" s="188">
        <f>Tableau4[[#This Row],[Surcoût par appareil ($)]]*Tableau4[[#This Row],[Nombres appareils installés]]</f>
        <v>10597.3</v>
      </c>
      <c r="L100" s="190">
        <v>3400</v>
      </c>
      <c r="M100" s="188">
        <f t="shared" si="3"/>
        <v>3950</v>
      </c>
      <c r="N100" s="188">
        <f>Tableau4[[#This Row],[AF 0 ($)]]/Tableau4[[#This Row],[Nombres appareils installés]]</f>
        <v>1975</v>
      </c>
      <c r="O100" s="191">
        <f>(Tableau4[[#This Row],[AF accordée ($)]])/($J$6*D100)</f>
        <v>0.42463905680171854</v>
      </c>
      <c r="P100" s="191">
        <f>Tableau4[[#This Row],[Couverture 0 (%)]]*Tableau4[[#This Row],[Nombres appareils installés]]</f>
        <v>0.84927811360343708</v>
      </c>
      <c r="Q100" s="188">
        <f>($Q$4+$R$4*(Tableau4[[#This Row],[Capacité (BTU)]]/1000))*Tableau4[[#This Row],[Nombres appareils installés]]</f>
        <v>6150</v>
      </c>
      <c r="R100" s="188">
        <f>Tableau4[[#This Row],[AF 1 ($)]]/Tableau4[[#This Row],[Nombres appareils installés]]</f>
        <v>3075</v>
      </c>
      <c r="S100" s="191">
        <f>Tableau4[[#This Row],[AF 1 ($)]]/(J100*D100)</f>
        <v>0.58033650080680932</v>
      </c>
      <c r="T100" s="191">
        <f>Tableau4[[#This Row],[Couverture 1 (%)]]*Tableau4[[#This Row],[Nombres appareils installés]]</f>
        <v>1.1606730016136186</v>
      </c>
      <c r="U100" s="188">
        <f>($U$4+($V$4*(Tableau4[[#This Row],[Capacité (BTU)]]/1000)))*Tableau4[[#This Row],[Nombres appareils installés]]</f>
        <v>7225</v>
      </c>
      <c r="V100" s="188">
        <f>Tableau4[[#This Row],[AF 2 ($)]]/Tableau4[[#This Row],[Nombres appareils installés]]</f>
        <v>3612.5</v>
      </c>
      <c r="W100" s="192">
        <f>Tableau4[[#This Row],[AF 2 par appareil ($)]]/Tableau4[[#This Row],[Surcoût par appareil ($)]]</f>
        <v>0.68177743387466627</v>
      </c>
      <c r="X100" s="192">
        <f>Tableau4[[#This Row],[Couverture 2 (%)]]*Tableau4[[#This Row],[Nombres appareils installés]]</f>
        <v>1.3635548677493325</v>
      </c>
      <c r="Y100" s="188">
        <f>($Y$4+$Z$4*(Tableau4[[#This Row],[Capacité (BTU)]]/1000))*Tableau4[[#This Row],[Nombres appareils installés]]</f>
        <v>7150</v>
      </c>
      <c r="Z100" s="188">
        <f>Tableau4[[#This Row],[AF 3 ($)]]/Tableau4[[#This Row],[Nombres appareils installés]]</f>
        <v>3575</v>
      </c>
      <c r="AA100" s="193">
        <f>Tableau4[[#This Row],[AF 3 par appareil ($)]]/Tableau4[[#This Row],[Surcoût par appareil ($)]]</f>
        <v>0.67470015947458317</v>
      </c>
      <c r="AB100" s="193">
        <f>Tableau4[[#This Row],[Couverture 3 (%)]]*Tableau4[[#This Row],[Nombres appareils installés]]</f>
        <v>1.3494003189491663</v>
      </c>
      <c r="AC100" s="188">
        <f>($AC$4+$AD$4*(Tableau4[[#This Row],[Capacité (BTU)]]/1000))*Tableau4[[#This Row],[Nombres appareils installés]]</f>
        <v>6120</v>
      </c>
      <c r="AD100" s="188">
        <f>Tableau4[[#This Row],[AF 4 ($)]]/Tableau4[[#This Row],[Nombres appareils installés]]</f>
        <v>3060</v>
      </c>
      <c r="AE100" s="194">
        <f>Tableau4[[#This Row],[Couverture 4 (%)]]*Tableau4[[#This Row],[Nombres appareils installés]]</f>
        <v>1.1550111820935522</v>
      </c>
      <c r="AF100" s="193">
        <f>Tableau4[[#This Row],[AF 4 par appareil  ($)]]/Tableau4[[#This Row],[Surcoût par appareil ($)]]</f>
        <v>0.57750559104677612</v>
      </c>
    </row>
    <row r="101" spans="2:32" x14ac:dyDescent="0.3">
      <c r="B101" s="195" t="s">
        <v>187</v>
      </c>
      <c r="C101" s="188" t="s">
        <v>224</v>
      </c>
      <c r="D101" s="188">
        <v>8</v>
      </c>
      <c r="E101" s="188">
        <v>215000</v>
      </c>
      <c r="F101" s="196">
        <f>Tableau4[[#This Row],[Economies totales (m3)]]/Tableau4[[#This Row],[Nombres appareils installés]]</f>
        <v>1085.75</v>
      </c>
      <c r="G101" s="190">
        <v>8686</v>
      </c>
      <c r="H101" s="188">
        <f t="shared" si="2"/>
        <v>2898.6499999999996</v>
      </c>
      <c r="I101" s="188">
        <v>2400</v>
      </c>
      <c r="J101" s="188">
        <f>Tableau4[[#This Row],[Surcoût moyens de l''équipement ($)]]+Tableau4[[#This Row],[Surcoût moyen de l''installation ($)]]</f>
        <v>5298.65</v>
      </c>
      <c r="K101" s="188">
        <f>Tableau4[[#This Row],[Surcoût par appareil ($)]]*Tableau4[[#This Row],[Nombres appareils installés]]</f>
        <v>42389.2</v>
      </c>
      <c r="L101" s="190">
        <v>13600</v>
      </c>
      <c r="M101" s="188">
        <f t="shared" si="3"/>
        <v>15800</v>
      </c>
      <c r="N101" s="188">
        <f>Tableau4[[#This Row],[AF 0 ($)]]/Tableau4[[#This Row],[Nombres appareils installés]]</f>
        <v>1975</v>
      </c>
      <c r="O101" s="191">
        <f>(Tableau4[[#This Row],[AF accordée ($)]])/($J$6*D101)</f>
        <v>0.42463905680171854</v>
      </c>
      <c r="P101" s="191">
        <f>Tableau4[[#This Row],[Couverture 0 (%)]]*Tableau4[[#This Row],[Nombres appareils installés]]</f>
        <v>3.3971124544137483</v>
      </c>
      <c r="Q101" s="188">
        <f>($Q$4+$R$4*(Tableau4[[#This Row],[Capacité (BTU)]]/1000))*Tableau4[[#This Row],[Nombres appareils installés]]</f>
        <v>24600</v>
      </c>
      <c r="R101" s="188">
        <f>Tableau4[[#This Row],[AF 1 ($)]]/Tableau4[[#This Row],[Nombres appareils installés]]</f>
        <v>3075</v>
      </c>
      <c r="S101" s="191">
        <f>Tableau4[[#This Row],[AF 1 ($)]]/(J101*D101)</f>
        <v>0.58033650080680932</v>
      </c>
      <c r="T101" s="191">
        <f>Tableau4[[#This Row],[Couverture 1 (%)]]*Tableau4[[#This Row],[Nombres appareils installés]]</f>
        <v>4.6426920064544746</v>
      </c>
      <c r="U101" s="188">
        <f>($U$4+($V$4*(Tableau4[[#This Row],[Capacité (BTU)]]/1000)))*Tableau4[[#This Row],[Nombres appareils installés]]</f>
        <v>28900</v>
      </c>
      <c r="V101" s="188">
        <f>Tableau4[[#This Row],[AF 2 ($)]]/Tableau4[[#This Row],[Nombres appareils installés]]</f>
        <v>3612.5</v>
      </c>
      <c r="W101" s="192">
        <f>Tableau4[[#This Row],[AF 2 par appareil ($)]]/Tableau4[[#This Row],[Surcoût par appareil ($)]]</f>
        <v>0.68177743387466627</v>
      </c>
      <c r="X101" s="192">
        <f>Tableau4[[#This Row],[Couverture 2 (%)]]*Tableau4[[#This Row],[Nombres appareils installés]]</f>
        <v>5.4542194709973302</v>
      </c>
      <c r="Y101" s="188">
        <f>($Y$4+$Z$4*(Tableau4[[#This Row],[Capacité (BTU)]]/1000))*Tableau4[[#This Row],[Nombres appareils installés]]</f>
        <v>28600</v>
      </c>
      <c r="Z101" s="188">
        <f>Tableau4[[#This Row],[AF 3 ($)]]/Tableau4[[#This Row],[Nombres appareils installés]]</f>
        <v>3575</v>
      </c>
      <c r="AA101" s="193">
        <f>Tableau4[[#This Row],[AF 3 par appareil ($)]]/Tableau4[[#This Row],[Surcoût par appareil ($)]]</f>
        <v>0.67470015947458317</v>
      </c>
      <c r="AB101" s="193">
        <f>Tableau4[[#This Row],[Couverture 3 (%)]]*Tableau4[[#This Row],[Nombres appareils installés]]</f>
        <v>5.3976012757966654</v>
      </c>
      <c r="AC101" s="188">
        <f>($AC$4+$AD$4*(Tableau4[[#This Row],[Capacité (BTU)]]/1000))*Tableau4[[#This Row],[Nombres appareils installés]]</f>
        <v>24480</v>
      </c>
      <c r="AD101" s="188">
        <f>Tableau4[[#This Row],[AF 4 ($)]]/Tableau4[[#This Row],[Nombres appareils installés]]</f>
        <v>3060</v>
      </c>
      <c r="AE101" s="194">
        <f>Tableau4[[#This Row],[Couverture 4 (%)]]*Tableau4[[#This Row],[Nombres appareils installés]]</f>
        <v>4.620044728374209</v>
      </c>
      <c r="AF101" s="193">
        <f>Tableau4[[#This Row],[AF 4 par appareil  ($)]]/Tableau4[[#This Row],[Surcoût par appareil ($)]]</f>
        <v>0.57750559104677612</v>
      </c>
    </row>
    <row r="102" spans="2:32" x14ac:dyDescent="0.3">
      <c r="B102" s="195" t="s">
        <v>187</v>
      </c>
      <c r="C102" s="188" t="s">
        <v>225</v>
      </c>
      <c r="D102" s="188">
        <v>1</v>
      </c>
      <c r="E102" s="188">
        <v>260000</v>
      </c>
      <c r="F102" s="196">
        <f>Tableau4[[#This Row],[Economies totales (m3)]]/Tableau4[[#This Row],[Nombres appareils installés]]</f>
        <v>1313</v>
      </c>
      <c r="G102" s="190">
        <v>1313</v>
      </c>
      <c r="H102" s="188">
        <f t="shared" si="2"/>
        <v>3535.3999999999996</v>
      </c>
      <c r="I102" s="188">
        <v>2400</v>
      </c>
      <c r="J102" s="188">
        <f>Tableau4[[#This Row],[Surcoût moyens de l''équipement ($)]]+Tableau4[[#This Row],[Surcoût moyen de l''installation ($)]]</f>
        <v>5935.4</v>
      </c>
      <c r="K102" s="188">
        <f>Tableau4[[#This Row],[Surcoût par appareil ($)]]*Tableau4[[#This Row],[Nombres appareils installés]]</f>
        <v>5935.4</v>
      </c>
      <c r="L102" s="190">
        <v>1700</v>
      </c>
      <c r="M102" s="188">
        <f t="shared" si="3"/>
        <v>2200</v>
      </c>
      <c r="N102" s="188">
        <f>Tableau4[[#This Row],[AF 0 ($)]]/Tableau4[[#This Row],[Nombres appareils installés]]</f>
        <v>2200</v>
      </c>
      <c r="O102" s="191">
        <f>(Tableau4[[#This Row],[AF accordée ($)]])/($J$6*D102)</f>
        <v>0.42463905680171854</v>
      </c>
      <c r="P102" s="191">
        <f>Tableau4[[#This Row],[Couverture 0 (%)]]*Tableau4[[#This Row],[Nombres appareils installés]]</f>
        <v>0.42463905680171854</v>
      </c>
      <c r="Q102" s="188">
        <f>($Q$4+$R$4*(Tableau4[[#This Row],[Capacité (BTU)]]/1000))*Tableau4[[#This Row],[Nombres appareils installés]]</f>
        <v>3300</v>
      </c>
      <c r="R102" s="188">
        <f>Tableau4[[#This Row],[AF 1 ($)]]/Tableau4[[#This Row],[Nombres appareils installés]]</f>
        <v>3300</v>
      </c>
      <c r="S102" s="191">
        <f>Tableau4[[#This Row],[AF 1 ($)]]/(J102*D102)</f>
        <v>0.55598611719513436</v>
      </c>
      <c r="T102" s="191">
        <f>Tableau4[[#This Row],[Couverture 1 (%)]]*Tableau4[[#This Row],[Nombres appareils installés]]</f>
        <v>0.55598611719513436</v>
      </c>
      <c r="U102" s="188">
        <f>($U$4+($V$4*(Tableau4[[#This Row],[Capacité (BTU)]]/1000)))*Tableau4[[#This Row],[Nombres appareils installés]]</f>
        <v>3950</v>
      </c>
      <c r="V102" s="188">
        <f>Tableau4[[#This Row],[AF 2 ($)]]/Tableau4[[#This Row],[Nombres appareils installés]]</f>
        <v>3950</v>
      </c>
      <c r="W102" s="192">
        <f>Tableau4[[#This Row],[AF 2 par appareil ($)]]/Tableau4[[#This Row],[Surcoût par appareil ($)]]</f>
        <v>0.66549853421841831</v>
      </c>
      <c r="X102" s="192">
        <f>Tableau4[[#This Row],[Couverture 2 (%)]]*Tableau4[[#This Row],[Nombres appareils installés]]</f>
        <v>0.66549853421841831</v>
      </c>
      <c r="Y102" s="188">
        <f>($Y$4+$Z$4*(Tableau4[[#This Row],[Capacité (BTU)]]/1000))*Tableau4[[#This Row],[Nombres appareils installés]]</f>
        <v>3800</v>
      </c>
      <c r="Z102" s="188">
        <f>Tableau4[[#This Row],[AF 3 ($)]]/Tableau4[[#This Row],[Nombres appareils installés]]</f>
        <v>3800</v>
      </c>
      <c r="AA102" s="193">
        <f>Tableau4[[#This Row],[AF 3 par appareil ($)]]/Tableau4[[#This Row],[Surcoût par appareil ($)]]</f>
        <v>0.64022643798227585</v>
      </c>
      <c r="AB102" s="193">
        <f>Tableau4[[#This Row],[Couverture 3 (%)]]*Tableau4[[#This Row],[Nombres appareils installés]]</f>
        <v>0.64022643798227585</v>
      </c>
      <c r="AC102" s="188">
        <f>($AC$4+$AD$4*(Tableau4[[#This Row],[Capacité (BTU)]]/1000))*Tableau4[[#This Row],[Nombres appareils installés]]</f>
        <v>3240</v>
      </c>
      <c r="AD102" s="188">
        <f>Tableau4[[#This Row],[AF 4 ($)]]/Tableau4[[#This Row],[Nombres appareils installés]]</f>
        <v>3240</v>
      </c>
      <c r="AE102" s="194">
        <f>Tableau4[[#This Row],[Couverture 4 (%)]]*Tableau4[[#This Row],[Nombres appareils installés]]</f>
        <v>0.54587727870067737</v>
      </c>
      <c r="AF102" s="193">
        <f>Tableau4[[#This Row],[AF 4 par appareil  ($)]]/Tableau4[[#This Row],[Surcoût par appareil ($)]]</f>
        <v>0.54587727870067737</v>
      </c>
    </row>
    <row r="103" spans="2:32" x14ac:dyDescent="0.3">
      <c r="B103" s="195" t="s">
        <v>187</v>
      </c>
      <c r="C103" s="188" t="s">
        <v>226</v>
      </c>
      <c r="D103" s="188">
        <v>1</v>
      </c>
      <c r="E103" s="188">
        <v>260000</v>
      </c>
      <c r="F103" s="196">
        <f>Tableau4[[#This Row],[Economies totales (m3)]]/Tableau4[[#This Row],[Nombres appareils installés]]</f>
        <v>1313</v>
      </c>
      <c r="G103" s="190">
        <v>1313</v>
      </c>
      <c r="H103" s="188">
        <f t="shared" si="2"/>
        <v>3535.3999999999996</v>
      </c>
      <c r="I103" s="188">
        <v>2400</v>
      </c>
      <c r="J103" s="188">
        <f>Tableau4[[#This Row],[Surcoût moyens de l''équipement ($)]]+Tableau4[[#This Row],[Surcoût moyen de l''installation ($)]]</f>
        <v>5935.4</v>
      </c>
      <c r="K103" s="188">
        <f>Tableau4[[#This Row],[Surcoût par appareil ($)]]*Tableau4[[#This Row],[Nombres appareils installés]]</f>
        <v>5935.4</v>
      </c>
      <c r="L103" s="190">
        <v>1700</v>
      </c>
      <c r="M103" s="188">
        <f t="shared" si="3"/>
        <v>2200</v>
      </c>
      <c r="N103" s="188">
        <f>Tableau4[[#This Row],[AF 0 ($)]]/Tableau4[[#This Row],[Nombres appareils installés]]</f>
        <v>2200</v>
      </c>
      <c r="O103" s="191">
        <f>(Tableau4[[#This Row],[AF accordée ($)]])/($J$6*D103)</f>
        <v>0.42463905680171854</v>
      </c>
      <c r="P103" s="191">
        <f>Tableau4[[#This Row],[Couverture 0 (%)]]*Tableau4[[#This Row],[Nombres appareils installés]]</f>
        <v>0.42463905680171854</v>
      </c>
      <c r="Q103" s="188">
        <f>($Q$4+$R$4*(Tableau4[[#This Row],[Capacité (BTU)]]/1000))*Tableau4[[#This Row],[Nombres appareils installés]]</f>
        <v>3300</v>
      </c>
      <c r="R103" s="188">
        <f>Tableau4[[#This Row],[AF 1 ($)]]/Tableau4[[#This Row],[Nombres appareils installés]]</f>
        <v>3300</v>
      </c>
      <c r="S103" s="191">
        <f>Tableau4[[#This Row],[AF 1 ($)]]/(J103*D103)</f>
        <v>0.55598611719513436</v>
      </c>
      <c r="T103" s="191">
        <f>Tableau4[[#This Row],[Couverture 1 (%)]]*Tableau4[[#This Row],[Nombres appareils installés]]</f>
        <v>0.55598611719513436</v>
      </c>
      <c r="U103" s="188">
        <f>($U$4+($V$4*(Tableau4[[#This Row],[Capacité (BTU)]]/1000)))*Tableau4[[#This Row],[Nombres appareils installés]]</f>
        <v>3950</v>
      </c>
      <c r="V103" s="188">
        <f>Tableau4[[#This Row],[AF 2 ($)]]/Tableau4[[#This Row],[Nombres appareils installés]]</f>
        <v>3950</v>
      </c>
      <c r="W103" s="192">
        <f>Tableau4[[#This Row],[AF 2 par appareil ($)]]/Tableau4[[#This Row],[Surcoût par appareil ($)]]</f>
        <v>0.66549853421841831</v>
      </c>
      <c r="X103" s="192">
        <f>Tableau4[[#This Row],[Couverture 2 (%)]]*Tableau4[[#This Row],[Nombres appareils installés]]</f>
        <v>0.66549853421841831</v>
      </c>
      <c r="Y103" s="188">
        <f>($Y$4+$Z$4*(Tableau4[[#This Row],[Capacité (BTU)]]/1000))*Tableau4[[#This Row],[Nombres appareils installés]]</f>
        <v>3800</v>
      </c>
      <c r="Z103" s="188">
        <f>Tableau4[[#This Row],[AF 3 ($)]]/Tableau4[[#This Row],[Nombres appareils installés]]</f>
        <v>3800</v>
      </c>
      <c r="AA103" s="193">
        <f>Tableau4[[#This Row],[AF 3 par appareil ($)]]/Tableau4[[#This Row],[Surcoût par appareil ($)]]</f>
        <v>0.64022643798227585</v>
      </c>
      <c r="AB103" s="193">
        <f>Tableau4[[#This Row],[Couverture 3 (%)]]*Tableau4[[#This Row],[Nombres appareils installés]]</f>
        <v>0.64022643798227585</v>
      </c>
      <c r="AC103" s="188">
        <f>($AC$4+$AD$4*(Tableau4[[#This Row],[Capacité (BTU)]]/1000))*Tableau4[[#This Row],[Nombres appareils installés]]</f>
        <v>3240</v>
      </c>
      <c r="AD103" s="188">
        <f>Tableau4[[#This Row],[AF 4 ($)]]/Tableau4[[#This Row],[Nombres appareils installés]]</f>
        <v>3240</v>
      </c>
      <c r="AE103" s="194">
        <f>Tableau4[[#This Row],[Couverture 4 (%)]]*Tableau4[[#This Row],[Nombres appareils installés]]</f>
        <v>0.54587727870067737</v>
      </c>
      <c r="AF103" s="193">
        <f>Tableau4[[#This Row],[AF 4 par appareil  ($)]]/Tableau4[[#This Row],[Surcoût par appareil ($)]]</f>
        <v>0.54587727870067737</v>
      </c>
    </row>
    <row r="104" spans="2:32" x14ac:dyDescent="0.3">
      <c r="B104" s="195" t="s">
        <v>187</v>
      </c>
      <c r="C104" s="188" t="s">
        <v>227</v>
      </c>
      <c r="D104" s="188">
        <v>1</v>
      </c>
      <c r="E104" s="188">
        <v>260000</v>
      </c>
      <c r="F104" s="196">
        <f>Tableau4[[#This Row],[Economies totales (m3)]]/Tableau4[[#This Row],[Nombres appareils installés]]</f>
        <v>1313</v>
      </c>
      <c r="G104" s="190">
        <v>1313</v>
      </c>
      <c r="H104" s="188">
        <f t="shared" si="2"/>
        <v>3535.3999999999996</v>
      </c>
      <c r="I104" s="188">
        <v>2400</v>
      </c>
      <c r="J104" s="188">
        <f>Tableau4[[#This Row],[Surcoût moyens de l''équipement ($)]]+Tableau4[[#This Row],[Surcoût moyen de l''installation ($)]]</f>
        <v>5935.4</v>
      </c>
      <c r="K104" s="188">
        <f>Tableau4[[#This Row],[Surcoût par appareil ($)]]*Tableau4[[#This Row],[Nombres appareils installés]]</f>
        <v>5935.4</v>
      </c>
      <c r="L104" s="190">
        <v>1700</v>
      </c>
      <c r="M104" s="188">
        <f t="shared" si="3"/>
        <v>2200</v>
      </c>
      <c r="N104" s="188">
        <f>Tableau4[[#This Row],[AF 0 ($)]]/Tableau4[[#This Row],[Nombres appareils installés]]</f>
        <v>2200</v>
      </c>
      <c r="O104" s="191">
        <f>(Tableau4[[#This Row],[AF accordée ($)]])/($J$6*D104)</f>
        <v>0.42463905680171854</v>
      </c>
      <c r="P104" s="191">
        <f>Tableau4[[#This Row],[Couverture 0 (%)]]*Tableau4[[#This Row],[Nombres appareils installés]]</f>
        <v>0.42463905680171854</v>
      </c>
      <c r="Q104" s="188">
        <f>($Q$4+$R$4*(Tableau4[[#This Row],[Capacité (BTU)]]/1000))*Tableau4[[#This Row],[Nombres appareils installés]]</f>
        <v>3300</v>
      </c>
      <c r="R104" s="188">
        <f>Tableau4[[#This Row],[AF 1 ($)]]/Tableau4[[#This Row],[Nombres appareils installés]]</f>
        <v>3300</v>
      </c>
      <c r="S104" s="191">
        <f>Tableau4[[#This Row],[AF 1 ($)]]/(J104*D104)</f>
        <v>0.55598611719513436</v>
      </c>
      <c r="T104" s="191">
        <f>Tableau4[[#This Row],[Couverture 1 (%)]]*Tableau4[[#This Row],[Nombres appareils installés]]</f>
        <v>0.55598611719513436</v>
      </c>
      <c r="U104" s="188">
        <f>($U$4+($V$4*(Tableau4[[#This Row],[Capacité (BTU)]]/1000)))*Tableau4[[#This Row],[Nombres appareils installés]]</f>
        <v>3950</v>
      </c>
      <c r="V104" s="188">
        <f>Tableau4[[#This Row],[AF 2 ($)]]/Tableau4[[#This Row],[Nombres appareils installés]]</f>
        <v>3950</v>
      </c>
      <c r="W104" s="192">
        <f>Tableau4[[#This Row],[AF 2 par appareil ($)]]/Tableau4[[#This Row],[Surcoût par appareil ($)]]</f>
        <v>0.66549853421841831</v>
      </c>
      <c r="X104" s="192">
        <f>Tableau4[[#This Row],[Couverture 2 (%)]]*Tableau4[[#This Row],[Nombres appareils installés]]</f>
        <v>0.66549853421841831</v>
      </c>
      <c r="Y104" s="188">
        <f>($Y$4+$Z$4*(Tableau4[[#This Row],[Capacité (BTU)]]/1000))*Tableau4[[#This Row],[Nombres appareils installés]]</f>
        <v>3800</v>
      </c>
      <c r="Z104" s="188">
        <f>Tableau4[[#This Row],[AF 3 ($)]]/Tableau4[[#This Row],[Nombres appareils installés]]</f>
        <v>3800</v>
      </c>
      <c r="AA104" s="193">
        <f>Tableau4[[#This Row],[AF 3 par appareil ($)]]/Tableau4[[#This Row],[Surcoût par appareil ($)]]</f>
        <v>0.64022643798227585</v>
      </c>
      <c r="AB104" s="193">
        <f>Tableau4[[#This Row],[Couverture 3 (%)]]*Tableau4[[#This Row],[Nombres appareils installés]]</f>
        <v>0.64022643798227585</v>
      </c>
      <c r="AC104" s="188">
        <f>($AC$4+$AD$4*(Tableau4[[#This Row],[Capacité (BTU)]]/1000))*Tableau4[[#This Row],[Nombres appareils installés]]</f>
        <v>3240</v>
      </c>
      <c r="AD104" s="188">
        <f>Tableau4[[#This Row],[AF 4 ($)]]/Tableau4[[#This Row],[Nombres appareils installés]]</f>
        <v>3240</v>
      </c>
      <c r="AE104" s="194">
        <f>Tableau4[[#This Row],[Couverture 4 (%)]]*Tableau4[[#This Row],[Nombres appareils installés]]</f>
        <v>0.54587727870067737</v>
      </c>
      <c r="AF104" s="193">
        <f>Tableau4[[#This Row],[AF 4 par appareil  ($)]]/Tableau4[[#This Row],[Surcoût par appareil ($)]]</f>
        <v>0.54587727870067737</v>
      </c>
    </row>
    <row r="105" spans="2:32" x14ac:dyDescent="0.3">
      <c r="B105" s="195" t="s">
        <v>187</v>
      </c>
      <c r="C105" s="188" t="s">
        <v>228</v>
      </c>
      <c r="D105" s="188">
        <v>1</v>
      </c>
      <c r="E105" s="188">
        <v>260000</v>
      </c>
      <c r="F105" s="196">
        <f>Tableau4[[#This Row],[Economies totales (m3)]]/Tableau4[[#This Row],[Nombres appareils installés]]</f>
        <v>1313</v>
      </c>
      <c r="G105" s="190">
        <v>1313</v>
      </c>
      <c r="H105" s="188">
        <f t="shared" si="2"/>
        <v>3535.3999999999996</v>
      </c>
      <c r="I105" s="188">
        <v>2400</v>
      </c>
      <c r="J105" s="188">
        <f>Tableau4[[#This Row],[Surcoût moyens de l''équipement ($)]]+Tableau4[[#This Row],[Surcoût moyen de l''installation ($)]]</f>
        <v>5935.4</v>
      </c>
      <c r="K105" s="188">
        <f>Tableau4[[#This Row],[Surcoût par appareil ($)]]*Tableau4[[#This Row],[Nombres appareils installés]]</f>
        <v>5935.4</v>
      </c>
      <c r="L105" s="190">
        <v>1700</v>
      </c>
      <c r="M105" s="188">
        <f t="shared" si="3"/>
        <v>2200</v>
      </c>
      <c r="N105" s="188">
        <f>Tableau4[[#This Row],[AF 0 ($)]]/Tableau4[[#This Row],[Nombres appareils installés]]</f>
        <v>2200</v>
      </c>
      <c r="O105" s="191">
        <f>(Tableau4[[#This Row],[AF accordée ($)]])/($J$6*D105)</f>
        <v>0.42463905680171854</v>
      </c>
      <c r="P105" s="191">
        <f>Tableau4[[#This Row],[Couverture 0 (%)]]*Tableau4[[#This Row],[Nombres appareils installés]]</f>
        <v>0.42463905680171854</v>
      </c>
      <c r="Q105" s="188">
        <f>($Q$4+$R$4*(Tableau4[[#This Row],[Capacité (BTU)]]/1000))*Tableau4[[#This Row],[Nombres appareils installés]]</f>
        <v>3300</v>
      </c>
      <c r="R105" s="188">
        <f>Tableau4[[#This Row],[AF 1 ($)]]/Tableau4[[#This Row],[Nombres appareils installés]]</f>
        <v>3300</v>
      </c>
      <c r="S105" s="191">
        <f>Tableau4[[#This Row],[AF 1 ($)]]/(J105*D105)</f>
        <v>0.55598611719513436</v>
      </c>
      <c r="T105" s="191">
        <f>Tableau4[[#This Row],[Couverture 1 (%)]]*Tableau4[[#This Row],[Nombres appareils installés]]</f>
        <v>0.55598611719513436</v>
      </c>
      <c r="U105" s="188">
        <f>($U$4+($V$4*(Tableau4[[#This Row],[Capacité (BTU)]]/1000)))*Tableau4[[#This Row],[Nombres appareils installés]]</f>
        <v>3950</v>
      </c>
      <c r="V105" s="188">
        <f>Tableau4[[#This Row],[AF 2 ($)]]/Tableau4[[#This Row],[Nombres appareils installés]]</f>
        <v>3950</v>
      </c>
      <c r="W105" s="192">
        <f>Tableau4[[#This Row],[AF 2 par appareil ($)]]/Tableau4[[#This Row],[Surcoût par appareil ($)]]</f>
        <v>0.66549853421841831</v>
      </c>
      <c r="X105" s="192">
        <f>Tableau4[[#This Row],[Couverture 2 (%)]]*Tableau4[[#This Row],[Nombres appareils installés]]</f>
        <v>0.66549853421841831</v>
      </c>
      <c r="Y105" s="188">
        <f>($Y$4+$Z$4*(Tableau4[[#This Row],[Capacité (BTU)]]/1000))*Tableau4[[#This Row],[Nombres appareils installés]]</f>
        <v>3800</v>
      </c>
      <c r="Z105" s="188">
        <f>Tableau4[[#This Row],[AF 3 ($)]]/Tableau4[[#This Row],[Nombres appareils installés]]</f>
        <v>3800</v>
      </c>
      <c r="AA105" s="193">
        <f>Tableau4[[#This Row],[AF 3 par appareil ($)]]/Tableau4[[#This Row],[Surcoût par appareil ($)]]</f>
        <v>0.64022643798227585</v>
      </c>
      <c r="AB105" s="193">
        <f>Tableau4[[#This Row],[Couverture 3 (%)]]*Tableau4[[#This Row],[Nombres appareils installés]]</f>
        <v>0.64022643798227585</v>
      </c>
      <c r="AC105" s="188">
        <f>($AC$4+$AD$4*(Tableau4[[#This Row],[Capacité (BTU)]]/1000))*Tableau4[[#This Row],[Nombres appareils installés]]</f>
        <v>3240</v>
      </c>
      <c r="AD105" s="188">
        <f>Tableau4[[#This Row],[AF 4 ($)]]/Tableau4[[#This Row],[Nombres appareils installés]]</f>
        <v>3240</v>
      </c>
      <c r="AE105" s="194">
        <f>Tableau4[[#This Row],[Couverture 4 (%)]]*Tableau4[[#This Row],[Nombres appareils installés]]</f>
        <v>0.54587727870067737</v>
      </c>
      <c r="AF105" s="193">
        <f>Tableau4[[#This Row],[AF 4 par appareil  ($)]]/Tableau4[[#This Row],[Surcoût par appareil ($)]]</f>
        <v>0.54587727870067737</v>
      </c>
    </row>
    <row r="106" spans="2:32" x14ac:dyDescent="0.3">
      <c r="B106" s="195" t="s">
        <v>187</v>
      </c>
      <c r="C106" s="188" t="s">
        <v>200</v>
      </c>
      <c r="D106" s="188">
        <v>1</v>
      </c>
      <c r="E106" s="188">
        <v>260000</v>
      </c>
      <c r="F106" s="196">
        <f>Tableau4[[#This Row],[Economies totales (m3)]]/Tableau4[[#This Row],[Nombres appareils installés]]</f>
        <v>1313</v>
      </c>
      <c r="G106" s="190">
        <v>1313</v>
      </c>
      <c r="H106" s="188">
        <f t="shared" si="2"/>
        <v>3535.3999999999996</v>
      </c>
      <c r="I106" s="188">
        <v>2400</v>
      </c>
      <c r="J106" s="188">
        <f>Tableau4[[#This Row],[Surcoût moyens de l''équipement ($)]]+Tableau4[[#This Row],[Surcoût moyen de l''installation ($)]]</f>
        <v>5935.4</v>
      </c>
      <c r="K106" s="188">
        <f>Tableau4[[#This Row],[Surcoût par appareil ($)]]*Tableau4[[#This Row],[Nombres appareils installés]]</f>
        <v>5935.4</v>
      </c>
      <c r="L106" s="190">
        <v>1700</v>
      </c>
      <c r="M106" s="188">
        <f t="shared" si="3"/>
        <v>2200</v>
      </c>
      <c r="N106" s="188">
        <f>Tableau4[[#This Row],[AF 0 ($)]]/Tableau4[[#This Row],[Nombres appareils installés]]</f>
        <v>2200</v>
      </c>
      <c r="O106" s="191">
        <f>(Tableau4[[#This Row],[AF accordée ($)]])/($J$6*D106)</f>
        <v>0.42463905680171854</v>
      </c>
      <c r="P106" s="191">
        <f>Tableau4[[#This Row],[Couverture 0 (%)]]*Tableau4[[#This Row],[Nombres appareils installés]]</f>
        <v>0.42463905680171854</v>
      </c>
      <c r="Q106" s="188">
        <f>($Q$4+$R$4*(Tableau4[[#This Row],[Capacité (BTU)]]/1000))*Tableau4[[#This Row],[Nombres appareils installés]]</f>
        <v>3300</v>
      </c>
      <c r="R106" s="188">
        <f>Tableau4[[#This Row],[AF 1 ($)]]/Tableau4[[#This Row],[Nombres appareils installés]]</f>
        <v>3300</v>
      </c>
      <c r="S106" s="191">
        <f>Tableau4[[#This Row],[AF 1 ($)]]/(J106*D106)</f>
        <v>0.55598611719513436</v>
      </c>
      <c r="T106" s="191">
        <f>Tableau4[[#This Row],[Couverture 1 (%)]]*Tableau4[[#This Row],[Nombres appareils installés]]</f>
        <v>0.55598611719513436</v>
      </c>
      <c r="U106" s="188">
        <f>($U$4+($V$4*(Tableau4[[#This Row],[Capacité (BTU)]]/1000)))*Tableau4[[#This Row],[Nombres appareils installés]]</f>
        <v>3950</v>
      </c>
      <c r="V106" s="188">
        <f>Tableau4[[#This Row],[AF 2 ($)]]/Tableau4[[#This Row],[Nombres appareils installés]]</f>
        <v>3950</v>
      </c>
      <c r="W106" s="192">
        <f>Tableau4[[#This Row],[AF 2 par appareil ($)]]/Tableau4[[#This Row],[Surcoût par appareil ($)]]</f>
        <v>0.66549853421841831</v>
      </c>
      <c r="X106" s="192">
        <f>Tableau4[[#This Row],[Couverture 2 (%)]]*Tableau4[[#This Row],[Nombres appareils installés]]</f>
        <v>0.66549853421841831</v>
      </c>
      <c r="Y106" s="188">
        <f>($Y$4+$Z$4*(Tableau4[[#This Row],[Capacité (BTU)]]/1000))*Tableau4[[#This Row],[Nombres appareils installés]]</f>
        <v>3800</v>
      </c>
      <c r="Z106" s="188">
        <f>Tableau4[[#This Row],[AF 3 ($)]]/Tableau4[[#This Row],[Nombres appareils installés]]</f>
        <v>3800</v>
      </c>
      <c r="AA106" s="193">
        <f>Tableau4[[#This Row],[AF 3 par appareil ($)]]/Tableau4[[#This Row],[Surcoût par appareil ($)]]</f>
        <v>0.64022643798227585</v>
      </c>
      <c r="AB106" s="193">
        <f>Tableau4[[#This Row],[Couverture 3 (%)]]*Tableau4[[#This Row],[Nombres appareils installés]]</f>
        <v>0.64022643798227585</v>
      </c>
      <c r="AC106" s="188">
        <f>($AC$4+$AD$4*(Tableau4[[#This Row],[Capacité (BTU)]]/1000))*Tableau4[[#This Row],[Nombres appareils installés]]</f>
        <v>3240</v>
      </c>
      <c r="AD106" s="188">
        <f>Tableau4[[#This Row],[AF 4 ($)]]/Tableau4[[#This Row],[Nombres appareils installés]]</f>
        <v>3240</v>
      </c>
      <c r="AE106" s="194">
        <f>Tableau4[[#This Row],[Couverture 4 (%)]]*Tableau4[[#This Row],[Nombres appareils installés]]</f>
        <v>0.54587727870067737</v>
      </c>
      <c r="AF106" s="193">
        <f>Tableau4[[#This Row],[AF 4 par appareil  ($)]]/Tableau4[[#This Row],[Surcoût par appareil ($)]]</f>
        <v>0.54587727870067737</v>
      </c>
    </row>
    <row r="107" spans="2:32" x14ac:dyDescent="0.3">
      <c r="B107" s="195" t="s">
        <v>187</v>
      </c>
      <c r="C107" s="188" t="s">
        <v>229</v>
      </c>
      <c r="D107" s="188">
        <v>2</v>
      </c>
      <c r="E107" s="188">
        <v>260000</v>
      </c>
      <c r="F107" s="196">
        <f>Tableau4[[#This Row],[Economies totales (m3)]]/Tableau4[[#This Row],[Nombres appareils installés]]</f>
        <v>1313</v>
      </c>
      <c r="G107" s="190">
        <v>2626</v>
      </c>
      <c r="H107" s="188">
        <f t="shared" si="2"/>
        <v>3535.3999999999996</v>
      </c>
      <c r="I107" s="188">
        <v>2400</v>
      </c>
      <c r="J107" s="188">
        <f>Tableau4[[#This Row],[Surcoût moyens de l''équipement ($)]]+Tableau4[[#This Row],[Surcoût moyen de l''installation ($)]]</f>
        <v>5935.4</v>
      </c>
      <c r="K107" s="188">
        <f>Tableau4[[#This Row],[Surcoût par appareil ($)]]*Tableau4[[#This Row],[Nombres appareils installés]]</f>
        <v>11870.8</v>
      </c>
      <c r="L107" s="190">
        <v>3400</v>
      </c>
      <c r="M107" s="188">
        <f t="shared" si="3"/>
        <v>4400</v>
      </c>
      <c r="N107" s="188">
        <f>Tableau4[[#This Row],[AF 0 ($)]]/Tableau4[[#This Row],[Nombres appareils installés]]</f>
        <v>2200</v>
      </c>
      <c r="O107" s="191">
        <f>(Tableau4[[#This Row],[AF accordée ($)]])/($J$6*D107)</f>
        <v>0.42463905680171854</v>
      </c>
      <c r="P107" s="191">
        <f>Tableau4[[#This Row],[Couverture 0 (%)]]*Tableau4[[#This Row],[Nombres appareils installés]]</f>
        <v>0.84927811360343708</v>
      </c>
      <c r="Q107" s="188">
        <f>($Q$4+$R$4*(Tableau4[[#This Row],[Capacité (BTU)]]/1000))*Tableau4[[#This Row],[Nombres appareils installés]]</f>
        <v>6600</v>
      </c>
      <c r="R107" s="188">
        <f>Tableau4[[#This Row],[AF 1 ($)]]/Tableau4[[#This Row],[Nombres appareils installés]]</f>
        <v>3300</v>
      </c>
      <c r="S107" s="191">
        <f>Tableau4[[#This Row],[AF 1 ($)]]/(J107*D107)</f>
        <v>0.55598611719513436</v>
      </c>
      <c r="T107" s="191">
        <f>Tableau4[[#This Row],[Couverture 1 (%)]]*Tableau4[[#This Row],[Nombres appareils installés]]</f>
        <v>1.1119722343902687</v>
      </c>
      <c r="U107" s="188">
        <f>($U$4+($V$4*(Tableau4[[#This Row],[Capacité (BTU)]]/1000)))*Tableau4[[#This Row],[Nombres appareils installés]]</f>
        <v>7900</v>
      </c>
      <c r="V107" s="188">
        <f>Tableau4[[#This Row],[AF 2 ($)]]/Tableau4[[#This Row],[Nombres appareils installés]]</f>
        <v>3950</v>
      </c>
      <c r="W107" s="192">
        <f>Tableau4[[#This Row],[AF 2 par appareil ($)]]/Tableau4[[#This Row],[Surcoût par appareil ($)]]</f>
        <v>0.66549853421841831</v>
      </c>
      <c r="X107" s="192">
        <f>Tableau4[[#This Row],[Couverture 2 (%)]]*Tableau4[[#This Row],[Nombres appareils installés]]</f>
        <v>1.3309970684368366</v>
      </c>
      <c r="Y107" s="188">
        <f>($Y$4+$Z$4*(Tableau4[[#This Row],[Capacité (BTU)]]/1000))*Tableau4[[#This Row],[Nombres appareils installés]]</f>
        <v>7600</v>
      </c>
      <c r="Z107" s="188">
        <f>Tableau4[[#This Row],[AF 3 ($)]]/Tableau4[[#This Row],[Nombres appareils installés]]</f>
        <v>3800</v>
      </c>
      <c r="AA107" s="193">
        <f>Tableau4[[#This Row],[AF 3 par appareil ($)]]/Tableau4[[#This Row],[Surcoût par appareil ($)]]</f>
        <v>0.64022643798227585</v>
      </c>
      <c r="AB107" s="193">
        <f>Tableau4[[#This Row],[Couverture 3 (%)]]*Tableau4[[#This Row],[Nombres appareils installés]]</f>
        <v>1.2804528759645517</v>
      </c>
      <c r="AC107" s="188">
        <f>($AC$4+$AD$4*(Tableau4[[#This Row],[Capacité (BTU)]]/1000))*Tableau4[[#This Row],[Nombres appareils installés]]</f>
        <v>6480</v>
      </c>
      <c r="AD107" s="188">
        <f>Tableau4[[#This Row],[AF 4 ($)]]/Tableau4[[#This Row],[Nombres appareils installés]]</f>
        <v>3240</v>
      </c>
      <c r="AE107" s="194">
        <f>Tableau4[[#This Row],[Couverture 4 (%)]]*Tableau4[[#This Row],[Nombres appareils installés]]</f>
        <v>1.0917545574013547</v>
      </c>
      <c r="AF107" s="193">
        <f>Tableau4[[#This Row],[AF 4 par appareil  ($)]]/Tableau4[[#This Row],[Surcoût par appareil ($)]]</f>
        <v>0.54587727870067737</v>
      </c>
    </row>
    <row r="108" spans="2:32" x14ac:dyDescent="0.3">
      <c r="B108" s="195" t="s">
        <v>187</v>
      </c>
      <c r="C108" s="188" t="s">
        <v>230</v>
      </c>
      <c r="D108" s="188">
        <v>4</v>
      </c>
      <c r="E108" s="188">
        <v>260000</v>
      </c>
      <c r="F108" s="196">
        <f>Tableau4[[#This Row],[Economies totales (m3)]]/Tableau4[[#This Row],[Nombres appareils installés]]</f>
        <v>1313</v>
      </c>
      <c r="G108" s="190">
        <v>5252</v>
      </c>
      <c r="H108" s="188">
        <f t="shared" si="2"/>
        <v>3535.3999999999996</v>
      </c>
      <c r="I108" s="188">
        <v>2400</v>
      </c>
      <c r="J108" s="188">
        <f>Tableau4[[#This Row],[Surcoût moyens de l''équipement ($)]]+Tableau4[[#This Row],[Surcoût moyen de l''installation ($)]]</f>
        <v>5935.4</v>
      </c>
      <c r="K108" s="188">
        <f>Tableau4[[#This Row],[Surcoût par appareil ($)]]*Tableau4[[#This Row],[Nombres appareils installés]]</f>
        <v>23741.599999999999</v>
      </c>
      <c r="L108" s="190">
        <v>6800</v>
      </c>
      <c r="M108" s="188">
        <f t="shared" si="3"/>
        <v>8800</v>
      </c>
      <c r="N108" s="188">
        <f>Tableau4[[#This Row],[AF 0 ($)]]/Tableau4[[#This Row],[Nombres appareils installés]]</f>
        <v>2200</v>
      </c>
      <c r="O108" s="191">
        <f>(Tableau4[[#This Row],[AF accordée ($)]])/($J$6*D108)</f>
        <v>0.42463905680171854</v>
      </c>
      <c r="P108" s="191">
        <f>Tableau4[[#This Row],[Couverture 0 (%)]]*Tableau4[[#This Row],[Nombres appareils installés]]</f>
        <v>1.6985562272068742</v>
      </c>
      <c r="Q108" s="188">
        <f>($Q$4+$R$4*(Tableau4[[#This Row],[Capacité (BTU)]]/1000))*Tableau4[[#This Row],[Nombres appareils installés]]</f>
        <v>13200</v>
      </c>
      <c r="R108" s="188">
        <f>Tableau4[[#This Row],[AF 1 ($)]]/Tableau4[[#This Row],[Nombres appareils installés]]</f>
        <v>3300</v>
      </c>
      <c r="S108" s="191">
        <f>Tableau4[[#This Row],[AF 1 ($)]]/(J108*D108)</f>
        <v>0.55598611719513436</v>
      </c>
      <c r="T108" s="191">
        <f>Tableau4[[#This Row],[Couverture 1 (%)]]*Tableau4[[#This Row],[Nombres appareils installés]]</f>
        <v>2.2239444687805374</v>
      </c>
      <c r="U108" s="188">
        <f>($U$4+($V$4*(Tableau4[[#This Row],[Capacité (BTU)]]/1000)))*Tableau4[[#This Row],[Nombres appareils installés]]</f>
        <v>15800</v>
      </c>
      <c r="V108" s="188">
        <f>Tableau4[[#This Row],[AF 2 ($)]]/Tableau4[[#This Row],[Nombres appareils installés]]</f>
        <v>3950</v>
      </c>
      <c r="W108" s="192">
        <f>Tableau4[[#This Row],[AF 2 par appareil ($)]]/Tableau4[[#This Row],[Surcoût par appareil ($)]]</f>
        <v>0.66549853421841831</v>
      </c>
      <c r="X108" s="192">
        <f>Tableau4[[#This Row],[Couverture 2 (%)]]*Tableau4[[#This Row],[Nombres appareils installés]]</f>
        <v>2.6619941368736733</v>
      </c>
      <c r="Y108" s="188">
        <f>($Y$4+$Z$4*(Tableau4[[#This Row],[Capacité (BTU)]]/1000))*Tableau4[[#This Row],[Nombres appareils installés]]</f>
        <v>15200</v>
      </c>
      <c r="Z108" s="188">
        <f>Tableau4[[#This Row],[AF 3 ($)]]/Tableau4[[#This Row],[Nombres appareils installés]]</f>
        <v>3800</v>
      </c>
      <c r="AA108" s="193">
        <f>Tableau4[[#This Row],[AF 3 par appareil ($)]]/Tableau4[[#This Row],[Surcoût par appareil ($)]]</f>
        <v>0.64022643798227585</v>
      </c>
      <c r="AB108" s="193">
        <f>Tableau4[[#This Row],[Couverture 3 (%)]]*Tableau4[[#This Row],[Nombres appareils installés]]</f>
        <v>2.5609057519291034</v>
      </c>
      <c r="AC108" s="188">
        <f>($AC$4+$AD$4*(Tableau4[[#This Row],[Capacité (BTU)]]/1000))*Tableau4[[#This Row],[Nombres appareils installés]]</f>
        <v>12960</v>
      </c>
      <c r="AD108" s="188">
        <f>Tableau4[[#This Row],[AF 4 ($)]]/Tableau4[[#This Row],[Nombres appareils installés]]</f>
        <v>3240</v>
      </c>
      <c r="AE108" s="194">
        <f>Tableau4[[#This Row],[Couverture 4 (%)]]*Tableau4[[#This Row],[Nombres appareils installés]]</f>
        <v>2.1835091148027095</v>
      </c>
      <c r="AF108" s="193">
        <f>Tableau4[[#This Row],[AF 4 par appareil  ($)]]/Tableau4[[#This Row],[Surcoût par appareil ($)]]</f>
        <v>0.54587727870067737</v>
      </c>
    </row>
    <row r="109" spans="2:32" x14ac:dyDescent="0.3">
      <c r="B109" s="195" t="s">
        <v>187</v>
      </c>
      <c r="C109" s="188" t="s">
        <v>231</v>
      </c>
      <c r="D109" s="188">
        <v>1</v>
      </c>
      <c r="E109" s="188">
        <v>310000</v>
      </c>
      <c r="F109" s="196">
        <f>Tableau4[[#This Row],[Economies totales (m3)]]/Tableau4[[#This Row],[Nombres appareils installés]]</f>
        <v>1565.5</v>
      </c>
      <c r="G109" s="190">
        <v>1565.5</v>
      </c>
      <c r="H109" s="188">
        <f t="shared" si="2"/>
        <v>4385.3999999999996</v>
      </c>
      <c r="I109" s="188">
        <v>2400</v>
      </c>
      <c r="J109" s="188">
        <f>Tableau4[[#This Row],[Surcoût moyens de l''équipement ($)]]+Tableau4[[#This Row],[Surcoût moyen de l''installation ($)]]</f>
        <v>6785.4</v>
      </c>
      <c r="K109" s="188">
        <f>Tableau4[[#This Row],[Surcoût par appareil ($)]]*Tableau4[[#This Row],[Nombres appareils installés]]</f>
        <v>6785.4</v>
      </c>
      <c r="L109" s="190">
        <v>1700</v>
      </c>
      <c r="M109" s="188">
        <f t="shared" si="3"/>
        <v>2450</v>
      </c>
      <c r="N109" s="188">
        <f>Tableau4[[#This Row],[AF 0 ($)]]/Tableau4[[#This Row],[Nombres appareils installés]]</f>
        <v>2450</v>
      </c>
      <c r="O109" s="191">
        <f>(Tableau4[[#This Row],[AF accordée ($)]])/($J$6*D109)</f>
        <v>0.42463905680171854</v>
      </c>
      <c r="P109" s="191">
        <f>Tableau4[[#This Row],[Couverture 0 (%)]]*Tableau4[[#This Row],[Nombres appareils installés]]</f>
        <v>0.42463905680171854</v>
      </c>
      <c r="Q109" s="188">
        <f>($Q$4+$R$4*(Tableau4[[#This Row],[Capacité (BTU)]]/1000))*Tableau4[[#This Row],[Nombres appareils installés]]</f>
        <v>3550</v>
      </c>
      <c r="R109" s="188">
        <f>Tableau4[[#This Row],[AF 1 ($)]]/Tableau4[[#This Row],[Nombres appareils installés]]</f>
        <v>3550</v>
      </c>
      <c r="S109" s="191">
        <f>Tableau4[[#This Row],[AF 1 ($)]]/(J109*D109)</f>
        <v>0.52318212633006167</v>
      </c>
      <c r="T109" s="191">
        <f>Tableau4[[#This Row],[Couverture 1 (%)]]*Tableau4[[#This Row],[Nombres appareils installés]]</f>
        <v>0.52318212633006167</v>
      </c>
      <c r="U109" s="188">
        <f>($U$4+($V$4*(Tableau4[[#This Row],[Capacité (BTU)]]/1000)))*Tableau4[[#This Row],[Nombres appareils installés]]</f>
        <v>4325</v>
      </c>
      <c r="V109" s="188">
        <f>Tableau4[[#This Row],[AF 2 ($)]]/Tableau4[[#This Row],[Nombres appareils installés]]</f>
        <v>4325</v>
      </c>
      <c r="W109" s="192">
        <f>Tableau4[[#This Row],[AF 2 par appareil ($)]]/Tableau4[[#This Row],[Surcoût par appareil ($)]]</f>
        <v>0.63739794264155392</v>
      </c>
      <c r="X109" s="192">
        <f>Tableau4[[#This Row],[Couverture 2 (%)]]*Tableau4[[#This Row],[Nombres appareils installés]]</f>
        <v>0.63739794264155392</v>
      </c>
      <c r="Y109" s="188">
        <f>($Y$4+$Z$4*(Tableau4[[#This Row],[Capacité (BTU)]]/1000))*Tableau4[[#This Row],[Nombres appareils installés]]</f>
        <v>4050</v>
      </c>
      <c r="Z109" s="188">
        <f>Tableau4[[#This Row],[AF 3 ($)]]/Tableau4[[#This Row],[Nombres appareils installés]]</f>
        <v>4050</v>
      </c>
      <c r="AA109" s="193">
        <f>Tableau4[[#This Row],[AF 3 par appareil ($)]]/Tableau4[[#This Row],[Surcoût par appareil ($)]]</f>
        <v>0.59686974975683083</v>
      </c>
      <c r="AB109" s="193">
        <f>Tableau4[[#This Row],[Couverture 3 (%)]]*Tableau4[[#This Row],[Nombres appareils installés]]</f>
        <v>0.59686974975683083</v>
      </c>
      <c r="AC109" s="188">
        <f>($AC$4+$AD$4*(Tableau4[[#This Row],[Capacité (BTU)]]/1000))*Tableau4[[#This Row],[Nombres appareils installés]]</f>
        <v>3440</v>
      </c>
      <c r="AD109" s="188">
        <f>Tableau4[[#This Row],[AF 4 ($)]]/Tableau4[[#This Row],[Nombres appareils installés]]</f>
        <v>3440</v>
      </c>
      <c r="AE109" s="194">
        <f>Tableau4[[#This Row],[Couverture 4 (%)]]*Tableau4[[#This Row],[Nombres appareils installés]]</f>
        <v>0.50697084917617241</v>
      </c>
      <c r="AF109" s="193">
        <f>Tableau4[[#This Row],[AF 4 par appareil  ($)]]/Tableau4[[#This Row],[Surcoût par appareil ($)]]</f>
        <v>0.50697084917617241</v>
      </c>
    </row>
    <row r="110" spans="2:32" x14ac:dyDescent="0.3">
      <c r="B110" s="195" t="s">
        <v>187</v>
      </c>
      <c r="C110" s="188" t="s">
        <v>232</v>
      </c>
      <c r="D110" s="188">
        <v>1</v>
      </c>
      <c r="E110" s="188">
        <v>310000</v>
      </c>
      <c r="F110" s="196">
        <f>Tableau4[[#This Row],[Economies totales (m3)]]/Tableau4[[#This Row],[Nombres appareils installés]]</f>
        <v>1565.5</v>
      </c>
      <c r="G110" s="190">
        <v>1565.5</v>
      </c>
      <c r="H110" s="188">
        <f t="shared" si="2"/>
        <v>4385.3999999999996</v>
      </c>
      <c r="I110" s="188">
        <v>2400</v>
      </c>
      <c r="J110" s="188">
        <f>Tableau4[[#This Row],[Surcoût moyens de l''équipement ($)]]+Tableau4[[#This Row],[Surcoût moyen de l''installation ($)]]</f>
        <v>6785.4</v>
      </c>
      <c r="K110" s="188">
        <f>Tableau4[[#This Row],[Surcoût par appareil ($)]]*Tableau4[[#This Row],[Nombres appareils installés]]</f>
        <v>6785.4</v>
      </c>
      <c r="L110" s="190">
        <v>1700</v>
      </c>
      <c r="M110" s="188">
        <f t="shared" si="3"/>
        <v>2450</v>
      </c>
      <c r="N110" s="188">
        <f>Tableau4[[#This Row],[AF 0 ($)]]/Tableau4[[#This Row],[Nombres appareils installés]]</f>
        <v>2450</v>
      </c>
      <c r="O110" s="191">
        <f>(Tableau4[[#This Row],[AF accordée ($)]])/($J$6*D110)</f>
        <v>0.42463905680171854</v>
      </c>
      <c r="P110" s="191">
        <f>Tableau4[[#This Row],[Couverture 0 (%)]]*Tableau4[[#This Row],[Nombres appareils installés]]</f>
        <v>0.42463905680171854</v>
      </c>
      <c r="Q110" s="188">
        <f>($Q$4+$R$4*(Tableau4[[#This Row],[Capacité (BTU)]]/1000))*Tableau4[[#This Row],[Nombres appareils installés]]</f>
        <v>3550</v>
      </c>
      <c r="R110" s="188">
        <f>Tableau4[[#This Row],[AF 1 ($)]]/Tableau4[[#This Row],[Nombres appareils installés]]</f>
        <v>3550</v>
      </c>
      <c r="S110" s="191">
        <f>Tableau4[[#This Row],[AF 1 ($)]]/(J110*D110)</f>
        <v>0.52318212633006167</v>
      </c>
      <c r="T110" s="191">
        <f>Tableau4[[#This Row],[Couverture 1 (%)]]*Tableau4[[#This Row],[Nombres appareils installés]]</f>
        <v>0.52318212633006167</v>
      </c>
      <c r="U110" s="188">
        <f>($U$4+($V$4*(Tableau4[[#This Row],[Capacité (BTU)]]/1000)))*Tableau4[[#This Row],[Nombres appareils installés]]</f>
        <v>4325</v>
      </c>
      <c r="V110" s="188">
        <f>Tableau4[[#This Row],[AF 2 ($)]]/Tableau4[[#This Row],[Nombres appareils installés]]</f>
        <v>4325</v>
      </c>
      <c r="W110" s="192">
        <f>Tableau4[[#This Row],[AF 2 par appareil ($)]]/Tableau4[[#This Row],[Surcoût par appareil ($)]]</f>
        <v>0.63739794264155392</v>
      </c>
      <c r="X110" s="192">
        <f>Tableau4[[#This Row],[Couverture 2 (%)]]*Tableau4[[#This Row],[Nombres appareils installés]]</f>
        <v>0.63739794264155392</v>
      </c>
      <c r="Y110" s="188">
        <f>($Y$4+$Z$4*(Tableau4[[#This Row],[Capacité (BTU)]]/1000))*Tableau4[[#This Row],[Nombres appareils installés]]</f>
        <v>4050</v>
      </c>
      <c r="Z110" s="188">
        <f>Tableau4[[#This Row],[AF 3 ($)]]/Tableau4[[#This Row],[Nombres appareils installés]]</f>
        <v>4050</v>
      </c>
      <c r="AA110" s="193">
        <f>Tableau4[[#This Row],[AF 3 par appareil ($)]]/Tableau4[[#This Row],[Surcoût par appareil ($)]]</f>
        <v>0.59686974975683083</v>
      </c>
      <c r="AB110" s="193">
        <f>Tableau4[[#This Row],[Couverture 3 (%)]]*Tableau4[[#This Row],[Nombres appareils installés]]</f>
        <v>0.59686974975683083</v>
      </c>
      <c r="AC110" s="188">
        <f>($AC$4+$AD$4*(Tableau4[[#This Row],[Capacité (BTU)]]/1000))*Tableau4[[#This Row],[Nombres appareils installés]]</f>
        <v>3440</v>
      </c>
      <c r="AD110" s="188">
        <f>Tableau4[[#This Row],[AF 4 ($)]]/Tableau4[[#This Row],[Nombres appareils installés]]</f>
        <v>3440</v>
      </c>
      <c r="AE110" s="194">
        <f>Tableau4[[#This Row],[Couverture 4 (%)]]*Tableau4[[#This Row],[Nombres appareils installés]]</f>
        <v>0.50697084917617241</v>
      </c>
      <c r="AF110" s="193">
        <f>Tableau4[[#This Row],[AF 4 par appareil  ($)]]/Tableau4[[#This Row],[Surcoût par appareil ($)]]</f>
        <v>0.50697084917617241</v>
      </c>
    </row>
    <row r="111" spans="2:32" x14ac:dyDescent="0.3">
      <c r="B111" s="195" t="s">
        <v>187</v>
      </c>
      <c r="C111" s="188" t="s">
        <v>233</v>
      </c>
      <c r="D111" s="188">
        <v>2</v>
      </c>
      <c r="E111" s="188">
        <v>310000</v>
      </c>
      <c r="F111" s="196">
        <f>Tableau4[[#This Row],[Economies totales (m3)]]/Tableau4[[#This Row],[Nombres appareils installés]]</f>
        <v>1565.5</v>
      </c>
      <c r="G111" s="190">
        <v>3131</v>
      </c>
      <c r="H111" s="188">
        <f t="shared" si="2"/>
        <v>4385.3999999999996</v>
      </c>
      <c r="I111" s="188">
        <v>2400</v>
      </c>
      <c r="J111" s="188">
        <f>Tableau4[[#This Row],[Surcoût moyens de l''équipement ($)]]+Tableau4[[#This Row],[Surcoût moyen de l''installation ($)]]</f>
        <v>6785.4</v>
      </c>
      <c r="K111" s="188">
        <f>Tableau4[[#This Row],[Surcoût par appareil ($)]]*Tableau4[[#This Row],[Nombres appareils installés]]</f>
        <v>13570.8</v>
      </c>
      <c r="L111" s="190">
        <v>3400</v>
      </c>
      <c r="M111" s="188">
        <f t="shared" si="3"/>
        <v>4900</v>
      </c>
      <c r="N111" s="188">
        <f>Tableau4[[#This Row],[AF 0 ($)]]/Tableau4[[#This Row],[Nombres appareils installés]]</f>
        <v>2450</v>
      </c>
      <c r="O111" s="191">
        <f>(Tableau4[[#This Row],[AF accordée ($)]])/($J$6*D111)</f>
        <v>0.42463905680171854</v>
      </c>
      <c r="P111" s="191">
        <f>Tableau4[[#This Row],[Couverture 0 (%)]]*Tableau4[[#This Row],[Nombres appareils installés]]</f>
        <v>0.84927811360343708</v>
      </c>
      <c r="Q111" s="188">
        <f>($Q$4+$R$4*(Tableau4[[#This Row],[Capacité (BTU)]]/1000))*Tableau4[[#This Row],[Nombres appareils installés]]</f>
        <v>7100</v>
      </c>
      <c r="R111" s="188">
        <f>Tableau4[[#This Row],[AF 1 ($)]]/Tableau4[[#This Row],[Nombres appareils installés]]</f>
        <v>3550</v>
      </c>
      <c r="S111" s="191">
        <f>Tableau4[[#This Row],[AF 1 ($)]]/(J111*D111)</f>
        <v>0.52318212633006167</v>
      </c>
      <c r="T111" s="191">
        <f>Tableau4[[#This Row],[Couverture 1 (%)]]*Tableau4[[#This Row],[Nombres appareils installés]]</f>
        <v>1.0463642526601233</v>
      </c>
      <c r="U111" s="188">
        <f>($U$4+($V$4*(Tableau4[[#This Row],[Capacité (BTU)]]/1000)))*Tableau4[[#This Row],[Nombres appareils installés]]</f>
        <v>8650</v>
      </c>
      <c r="V111" s="188">
        <f>Tableau4[[#This Row],[AF 2 ($)]]/Tableau4[[#This Row],[Nombres appareils installés]]</f>
        <v>4325</v>
      </c>
      <c r="W111" s="192">
        <f>Tableau4[[#This Row],[AF 2 par appareil ($)]]/Tableau4[[#This Row],[Surcoût par appareil ($)]]</f>
        <v>0.63739794264155392</v>
      </c>
      <c r="X111" s="192">
        <f>Tableau4[[#This Row],[Couverture 2 (%)]]*Tableau4[[#This Row],[Nombres appareils installés]]</f>
        <v>1.2747958852831078</v>
      </c>
      <c r="Y111" s="188">
        <f>($Y$4+$Z$4*(Tableau4[[#This Row],[Capacité (BTU)]]/1000))*Tableau4[[#This Row],[Nombres appareils installés]]</f>
        <v>8100</v>
      </c>
      <c r="Z111" s="188">
        <f>Tableau4[[#This Row],[AF 3 ($)]]/Tableau4[[#This Row],[Nombres appareils installés]]</f>
        <v>4050</v>
      </c>
      <c r="AA111" s="193">
        <f>Tableau4[[#This Row],[AF 3 par appareil ($)]]/Tableau4[[#This Row],[Surcoût par appareil ($)]]</f>
        <v>0.59686974975683083</v>
      </c>
      <c r="AB111" s="193">
        <f>Tableau4[[#This Row],[Couverture 3 (%)]]*Tableau4[[#This Row],[Nombres appareils installés]]</f>
        <v>1.1937394995136617</v>
      </c>
      <c r="AC111" s="188">
        <f>($AC$4+$AD$4*(Tableau4[[#This Row],[Capacité (BTU)]]/1000))*Tableau4[[#This Row],[Nombres appareils installés]]</f>
        <v>6880</v>
      </c>
      <c r="AD111" s="188">
        <f>Tableau4[[#This Row],[AF 4 ($)]]/Tableau4[[#This Row],[Nombres appareils installés]]</f>
        <v>3440</v>
      </c>
      <c r="AE111" s="194">
        <f>Tableau4[[#This Row],[Couverture 4 (%)]]*Tableau4[[#This Row],[Nombres appareils installés]]</f>
        <v>1.0139416983523448</v>
      </c>
      <c r="AF111" s="193">
        <f>Tableau4[[#This Row],[AF 4 par appareil  ($)]]/Tableau4[[#This Row],[Surcoût par appareil ($)]]</f>
        <v>0.50697084917617241</v>
      </c>
    </row>
    <row r="112" spans="2:32" x14ac:dyDescent="0.3">
      <c r="B112" s="195" t="s">
        <v>187</v>
      </c>
      <c r="C112" s="188" t="s">
        <v>234</v>
      </c>
      <c r="D112" s="188">
        <v>4</v>
      </c>
      <c r="E112" s="188">
        <v>310000</v>
      </c>
      <c r="F112" s="196">
        <f>Tableau4[[#This Row],[Economies totales (m3)]]/Tableau4[[#This Row],[Nombres appareils installés]]</f>
        <v>1565.5</v>
      </c>
      <c r="G112" s="190">
        <v>6262</v>
      </c>
      <c r="H112" s="188">
        <f t="shared" si="2"/>
        <v>4385.3999999999996</v>
      </c>
      <c r="I112" s="188">
        <v>2400</v>
      </c>
      <c r="J112" s="188">
        <f>Tableau4[[#This Row],[Surcoût moyens de l''équipement ($)]]+Tableau4[[#This Row],[Surcoût moyen de l''installation ($)]]</f>
        <v>6785.4</v>
      </c>
      <c r="K112" s="188">
        <f>Tableau4[[#This Row],[Surcoût par appareil ($)]]*Tableau4[[#This Row],[Nombres appareils installés]]</f>
        <v>27141.599999999999</v>
      </c>
      <c r="L112" s="190">
        <v>6800</v>
      </c>
      <c r="M112" s="188">
        <f t="shared" si="3"/>
        <v>9800</v>
      </c>
      <c r="N112" s="188">
        <f>Tableau4[[#This Row],[AF 0 ($)]]/Tableau4[[#This Row],[Nombres appareils installés]]</f>
        <v>2450</v>
      </c>
      <c r="O112" s="191">
        <f>(Tableau4[[#This Row],[AF accordée ($)]])/($J$6*D112)</f>
        <v>0.42463905680171854</v>
      </c>
      <c r="P112" s="191">
        <f>Tableau4[[#This Row],[Couverture 0 (%)]]*Tableau4[[#This Row],[Nombres appareils installés]]</f>
        <v>1.6985562272068742</v>
      </c>
      <c r="Q112" s="188">
        <f>($Q$4+$R$4*(Tableau4[[#This Row],[Capacité (BTU)]]/1000))*Tableau4[[#This Row],[Nombres appareils installés]]</f>
        <v>14200</v>
      </c>
      <c r="R112" s="188">
        <f>Tableau4[[#This Row],[AF 1 ($)]]/Tableau4[[#This Row],[Nombres appareils installés]]</f>
        <v>3550</v>
      </c>
      <c r="S112" s="191">
        <f>Tableau4[[#This Row],[AF 1 ($)]]/(J112*D112)</f>
        <v>0.52318212633006167</v>
      </c>
      <c r="T112" s="191">
        <f>Tableau4[[#This Row],[Couverture 1 (%)]]*Tableau4[[#This Row],[Nombres appareils installés]]</f>
        <v>2.0927285053202467</v>
      </c>
      <c r="U112" s="188">
        <f>($U$4+($V$4*(Tableau4[[#This Row],[Capacité (BTU)]]/1000)))*Tableau4[[#This Row],[Nombres appareils installés]]</f>
        <v>17300</v>
      </c>
      <c r="V112" s="188">
        <f>Tableau4[[#This Row],[AF 2 ($)]]/Tableau4[[#This Row],[Nombres appareils installés]]</f>
        <v>4325</v>
      </c>
      <c r="W112" s="192">
        <f>Tableau4[[#This Row],[AF 2 par appareil ($)]]/Tableau4[[#This Row],[Surcoût par appareil ($)]]</f>
        <v>0.63739794264155392</v>
      </c>
      <c r="X112" s="192">
        <f>Tableau4[[#This Row],[Couverture 2 (%)]]*Tableau4[[#This Row],[Nombres appareils installés]]</f>
        <v>2.5495917705662157</v>
      </c>
      <c r="Y112" s="188">
        <f>($Y$4+$Z$4*(Tableau4[[#This Row],[Capacité (BTU)]]/1000))*Tableau4[[#This Row],[Nombres appareils installés]]</f>
        <v>16200</v>
      </c>
      <c r="Z112" s="188">
        <f>Tableau4[[#This Row],[AF 3 ($)]]/Tableau4[[#This Row],[Nombres appareils installés]]</f>
        <v>4050</v>
      </c>
      <c r="AA112" s="193">
        <f>Tableau4[[#This Row],[AF 3 par appareil ($)]]/Tableau4[[#This Row],[Surcoût par appareil ($)]]</f>
        <v>0.59686974975683083</v>
      </c>
      <c r="AB112" s="193">
        <f>Tableau4[[#This Row],[Couverture 3 (%)]]*Tableau4[[#This Row],[Nombres appareils installés]]</f>
        <v>2.3874789990273233</v>
      </c>
      <c r="AC112" s="188">
        <f>($AC$4+$AD$4*(Tableau4[[#This Row],[Capacité (BTU)]]/1000))*Tableau4[[#This Row],[Nombres appareils installés]]</f>
        <v>13760</v>
      </c>
      <c r="AD112" s="188">
        <f>Tableau4[[#This Row],[AF 4 ($)]]/Tableau4[[#This Row],[Nombres appareils installés]]</f>
        <v>3440</v>
      </c>
      <c r="AE112" s="194">
        <f>Tableau4[[#This Row],[Couverture 4 (%)]]*Tableau4[[#This Row],[Nombres appareils installés]]</f>
        <v>2.0278833967046896</v>
      </c>
      <c r="AF112" s="193">
        <f>Tableau4[[#This Row],[AF 4 par appareil  ($)]]/Tableau4[[#This Row],[Surcoût par appareil ($)]]</f>
        <v>0.50697084917617241</v>
      </c>
    </row>
    <row r="113" spans="2:32" x14ac:dyDescent="0.3">
      <c r="B113" s="195" t="s">
        <v>187</v>
      </c>
      <c r="C113" s="188" t="s">
        <v>168</v>
      </c>
      <c r="D113" s="188">
        <v>8</v>
      </c>
      <c r="E113" s="188">
        <v>310000</v>
      </c>
      <c r="F113" s="196">
        <f>Tableau4[[#This Row],[Economies totales (m3)]]/Tableau4[[#This Row],[Nombres appareils installés]]</f>
        <v>1565.5</v>
      </c>
      <c r="G113" s="190">
        <v>12524</v>
      </c>
      <c r="H113" s="188">
        <f t="shared" si="2"/>
        <v>4385.3999999999996</v>
      </c>
      <c r="I113" s="188">
        <v>2400</v>
      </c>
      <c r="J113" s="188">
        <f>Tableau4[[#This Row],[Surcoût moyens de l''équipement ($)]]+Tableau4[[#This Row],[Surcoût moyen de l''installation ($)]]</f>
        <v>6785.4</v>
      </c>
      <c r="K113" s="188">
        <f>Tableau4[[#This Row],[Surcoût par appareil ($)]]*Tableau4[[#This Row],[Nombres appareils installés]]</f>
        <v>54283.199999999997</v>
      </c>
      <c r="L113" s="190">
        <v>13600</v>
      </c>
      <c r="M113" s="188">
        <f t="shared" si="3"/>
        <v>19600</v>
      </c>
      <c r="N113" s="188">
        <f>Tableau4[[#This Row],[AF 0 ($)]]/Tableau4[[#This Row],[Nombres appareils installés]]</f>
        <v>2450</v>
      </c>
      <c r="O113" s="191">
        <f>(Tableau4[[#This Row],[AF accordée ($)]])/($J$6*D113)</f>
        <v>0.42463905680171854</v>
      </c>
      <c r="P113" s="191">
        <f>Tableau4[[#This Row],[Couverture 0 (%)]]*Tableau4[[#This Row],[Nombres appareils installés]]</f>
        <v>3.3971124544137483</v>
      </c>
      <c r="Q113" s="188">
        <f>($Q$4+$R$4*(Tableau4[[#This Row],[Capacité (BTU)]]/1000))*Tableau4[[#This Row],[Nombres appareils installés]]</f>
        <v>28400</v>
      </c>
      <c r="R113" s="188">
        <f>Tableau4[[#This Row],[AF 1 ($)]]/Tableau4[[#This Row],[Nombres appareils installés]]</f>
        <v>3550</v>
      </c>
      <c r="S113" s="191">
        <f>Tableau4[[#This Row],[AF 1 ($)]]/(J113*D113)</f>
        <v>0.52318212633006167</v>
      </c>
      <c r="T113" s="191">
        <f>Tableau4[[#This Row],[Couverture 1 (%)]]*Tableau4[[#This Row],[Nombres appareils installés]]</f>
        <v>4.1854570106404934</v>
      </c>
      <c r="U113" s="188">
        <f>($U$4+($V$4*(Tableau4[[#This Row],[Capacité (BTU)]]/1000)))*Tableau4[[#This Row],[Nombres appareils installés]]</f>
        <v>34600</v>
      </c>
      <c r="V113" s="188">
        <f>Tableau4[[#This Row],[AF 2 ($)]]/Tableau4[[#This Row],[Nombres appareils installés]]</f>
        <v>4325</v>
      </c>
      <c r="W113" s="192">
        <f>Tableau4[[#This Row],[AF 2 par appareil ($)]]/Tableau4[[#This Row],[Surcoût par appareil ($)]]</f>
        <v>0.63739794264155392</v>
      </c>
      <c r="X113" s="192">
        <f>Tableau4[[#This Row],[Couverture 2 (%)]]*Tableau4[[#This Row],[Nombres appareils installés]]</f>
        <v>5.0991835411324313</v>
      </c>
      <c r="Y113" s="188">
        <f>($Y$4+$Z$4*(Tableau4[[#This Row],[Capacité (BTU)]]/1000))*Tableau4[[#This Row],[Nombres appareils installés]]</f>
        <v>32400</v>
      </c>
      <c r="Z113" s="188">
        <f>Tableau4[[#This Row],[AF 3 ($)]]/Tableau4[[#This Row],[Nombres appareils installés]]</f>
        <v>4050</v>
      </c>
      <c r="AA113" s="193">
        <f>Tableau4[[#This Row],[AF 3 par appareil ($)]]/Tableau4[[#This Row],[Surcoût par appareil ($)]]</f>
        <v>0.59686974975683083</v>
      </c>
      <c r="AB113" s="193">
        <f>Tableau4[[#This Row],[Couverture 3 (%)]]*Tableau4[[#This Row],[Nombres appareils installés]]</f>
        <v>4.7749579980546466</v>
      </c>
      <c r="AC113" s="188">
        <f>($AC$4+$AD$4*(Tableau4[[#This Row],[Capacité (BTU)]]/1000))*Tableau4[[#This Row],[Nombres appareils installés]]</f>
        <v>27520</v>
      </c>
      <c r="AD113" s="188">
        <f>Tableau4[[#This Row],[AF 4 ($)]]/Tableau4[[#This Row],[Nombres appareils installés]]</f>
        <v>3440</v>
      </c>
      <c r="AE113" s="194">
        <f>Tableau4[[#This Row],[Couverture 4 (%)]]*Tableau4[[#This Row],[Nombres appareils installés]]</f>
        <v>4.0557667934093793</v>
      </c>
      <c r="AF113" s="193">
        <f>Tableau4[[#This Row],[AF 4 par appareil  ($)]]/Tableau4[[#This Row],[Surcoût par appareil ($)]]</f>
        <v>0.50697084917617241</v>
      </c>
    </row>
    <row r="114" spans="2:32" x14ac:dyDescent="0.3">
      <c r="B114" s="195" t="s">
        <v>235</v>
      </c>
      <c r="C114" s="188" t="s">
        <v>236</v>
      </c>
      <c r="D114" s="188">
        <v>3</v>
      </c>
      <c r="E114" s="188">
        <v>50000</v>
      </c>
      <c r="F114" s="196">
        <f>Tableau4[[#This Row],[Economies totales (m3)]]/Tableau4[[#This Row],[Nombres appareils installés]]</f>
        <v>252.5</v>
      </c>
      <c r="G114" s="190">
        <v>757.5</v>
      </c>
      <c r="H114" s="188">
        <f t="shared" si="2"/>
        <v>1603.4</v>
      </c>
      <c r="I114" s="188">
        <v>2400</v>
      </c>
      <c r="J114" s="188">
        <f>Tableau4[[#This Row],[Surcoût moyens de l''équipement ($)]]+Tableau4[[#This Row],[Surcoût moyen de l''installation ($)]]</f>
        <v>4003.4</v>
      </c>
      <c r="K114" s="188">
        <f>Tableau4[[#This Row],[Surcoût par appareil ($)]]*Tableau4[[#This Row],[Nombres appareils installés]]</f>
        <v>12010.2</v>
      </c>
      <c r="L114" s="190">
        <v>5100</v>
      </c>
      <c r="M114" s="188">
        <f t="shared" si="3"/>
        <v>3450</v>
      </c>
      <c r="N114" s="188">
        <f>Tableau4[[#This Row],[AF 0 ($)]]/Tableau4[[#This Row],[Nombres appareils installés]]</f>
        <v>1150</v>
      </c>
      <c r="O114" s="191">
        <f>(Tableau4[[#This Row],[AF accordée ($)]])/($J$6*D114)</f>
        <v>0.42463905680171854</v>
      </c>
      <c r="P114" s="191">
        <f>Tableau4[[#This Row],[Couverture 0 (%)]]*Tableau4[[#This Row],[Nombres appareils installés]]</f>
        <v>1.2739171704051557</v>
      </c>
      <c r="Q114" s="188">
        <f>($Q$4+$R$4*(Tableau4[[#This Row],[Capacité (BTU)]]/1000))*Tableau4[[#This Row],[Nombres appareils installés]]</f>
        <v>6750</v>
      </c>
      <c r="R114" s="188">
        <f>Tableau4[[#This Row],[AF 1 ($)]]/Tableau4[[#This Row],[Nombres appareils installés]]</f>
        <v>2250</v>
      </c>
      <c r="S114" s="191">
        <f>Tableau4[[#This Row],[AF 1 ($)]]/(J114*D114)</f>
        <v>0.56202228106109808</v>
      </c>
      <c r="T114" s="191">
        <f>Tableau4[[#This Row],[Couverture 1 (%)]]*Tableau4[[#This Row],[Nombres appareils installés]]</f>
        <v>1.6860668431832941</v>
      </c>
      <c r="U114" s="188">
        <f>($U$4+($V$4*(Tableau4[[#This Row],[Capacité (BTU)]]/1000)))*Tableau4[[#This Row],[Nombres appareils installés]]</f>
        <v>7125</v>
      </c>
      <c r="V114" s="188">
        <f>Tableau4[[#This Row],[AF 2 ($)]]/Tableau4[[#This Row],[Nombres appareils installés]]</f>
        <v>2375</v>
      </c>
      <c r="W114" s="192">
        <f>Tableau4[[#This Row],[AF 2 par appareil ($)]]/Tableau4[[#This Row],[Surcoût par appareil ($)]]</f>
        <v>0.59324574112004791</v>
      </c>
      <c r="X114" s="192">
        <f>Tableau4[[#This Row],[Couverture 2 (%)]]*Tableau4[[#This Row],[Nombres appareils installés]]</f>
        <v>1.7797372233601436</v>
      </c>
      <c r="Y114" s="188">
        <f>($Y$4+$Z$4*(Tableau4[[#This Row],[Capacité (BTU)]]/1000))*Tableau4[[#This Row],[Nombres appareils installés]]</f>
        <v>8250</v>
      </c>
      <c r="Z114" s="188">
        <f>Tableau4[[#This Row],[AF 3 ($)]]/Tableau4[[#This Row],[Nombres appareils installés]]</f>
        <v>2750</v>
      </c>
      <c r="AA114" s="193">
        <f>Tableau4[[#This Row],[AF 3 par appareil ($)]]/Tableau4[[#This Row],[Surcoût par appareil ($)]]</f>
        <v>0.68691612129689761</v>
      </c>
      <c r="AB114" s="193">
        <f>Tableau4[[#This Row],[Couverture 3 (%)]]*Tableau4[[#This Row],[Nombres appareils installés]]</f>
        <v>2.0607483638906929</v>
      </c>
      <c r="AC114" s="188">
        <f>($AC$4+$AD$4*(Tableau4[[#This Row],[Capacité (BTU)]]/1000))*Tableau4[[#This Row],[Nombres appareils installés]]</f>
        <v>7200</v>
      </c>
      <c r="AD114" s="188">
        <f>Tableau4[[#This Row],[AF 4 ($)]]/Tableau4[[#This Row],[Nombres appareils installés]]</f>
        <v>2400</v>
      </c>
      <c r="AE114" s="194">
        <f>Tableau4[[#This Row],[Couverture 4 (%)]]*Tableau4[[#This Row],[Nombres appareils installés]]</f>
        <v>1.7984712993955139</v>
      </c>
      <c r="AF114" s="193">
        <f>Tableau4[[#This Row],[AF 4 par appareil  ($)]]/Tableau4[[#This Row],[Surcoût par appareil ($)]]</f>
        <v>0.59949043313183792</v>
      </c>
    </row>
    <row r="115" spans="2:32" x14ac:dyDescent="0.3">
      <c r="B115" s="195" t="s">
        <v>235</v>
      </c>
      <c r="C115" s="188" t="s">
        <v>237</v>
      </c>
      <c r="D115" s="188">
        <v>1</v>
      </c>
      <c r="E115" s="188">
        <v>55000</v>
      </c>
      <c r="F115" s="196">
        <f>Tableau4[[#This Row],[Economies totales (m3)]]/Tableau4[[#This Row],[Nombres appareils installés]]</f>
        <v>277.75</v>
      </c>
      <c r="G115" s="190">
        <v>277.75</v>
      </c>
      <c r="H115" s="188">
        <f t="shared" si="2"/>
        <v>1618.65</v>
      </c>
      <c r="I115" s="188">
        <v>2400</v>
      </c>
      <c r="J115" s="188">
        <f>Tableau4[[#This Row],[Surcoût moyens de l''équipement ($)]]+Tableau4[[#This Row],[Surcoût moyen de l''installation ($)]]</f>
        <v>4018.65</v>
      </c>
      <c r="K115" s="188">
        <f>Tableau4[[#This Row],[Surcoût par appareil ($)]]*Tableau4[[#This Row],[Nombres appareils installés]]</f>
        <v>4018.65</v>
      </c>
      <c r="L115" s="190">
        <v>1700</v>
      </c>
      <c r="M115" s="188">
        <f t="shared" si="3"/>
        <v>1175</v>
      </c>
      <c r="N115" s="188">
        <f>Tableau4[[#This Row],[AF 0 ($)]]/Tableau4[[#This Row],[Nombres appareils installés]]</f>
        <v>1175</v>
      </c>
      <c r="O115" s="191">
        <f>(Tableau4[[#This Row],[AF accordée ($)]])/($J$6*D115)</f>
        <v>0.42463905680171854</v>
      </c>
      <c r="P115" s="191">
        <f>Tableau4[[#This Row],[Couverture 0 (%)]]*Tableau4[[#This Row],[Nombres appareils installés]]</f>
        <v>0.42463905680171854</v>
      </c>
      <c r="Q115" s="188">
        <f>($Q$4+$R$4*(Tableau4[[#This Row],[Capacité (BTU)]]/1000))*Tableau4[[#This Row],[Nombres appareils installés]]</f>
        <v>2275</v>
      </c>
      <c r="R115" s="188">
        <f>Tableau4[[#This Row],[AF 1 ($)]]/Tableau4[[#This Row],[Nombres appareils installés]]</f>
        <v>2275</v>
      </c>
      <c r="S115" s="191">
        <f>Tableau4[[#This Row],[AF 1 ($)]]/(J115*D115)</f>
        <v>0.56611050974829857</v>
      </c>
      <c r="T115" s="191">
        <f>Tableau4[[#This Row],[Couverture 1 (%)]]*Tableau4[[#This Row],[Nombres appareils installés]]</f>
        <v>0.56611050974829857</v>
      </c>
      <c r="U115" s="188">
        <f>($U$4+($V$4*(Tableau4[[#This Row],[Capacité (BTU)]]/1000)))*Tableau4[[#This Row],[Nombres appareils installés]]</f>
        <v>2412.5</v>
      </c>
      <c r="V115" s="188">
        <f>Tableau4[[#This Row],[AF 2 ($)]]/Tableau4[[#This Row],[Nombres appareils installés]]</f>
        <v>2412.5</v>
      </c>
      <c r="W115" s="192">
        <f>Tableau4[[#This Row],[AF 2 par appareil ($)]]/Tableau4[[#This Row],[Surcoût par appareil ($)]]</f>
        <v>0.60032598011770122</v>
      </c>
      <c r="X115" s="192">
        <f>Tableau4[[#This Row],[Couverture 2 (%)]]*Tableau4[[#This Row],[Nombres appareils installés]]</f>
        <v>0.60032598011770122</v>
      </c>
      <c r="Y115" s="188">
        <f>($Y$4+$Z$4*(Tableau4[[#This Row],[Capacité (BTU)]]/1000))*Tableau4[[#This Row],[Nombres appareils installés]]</f>
        <v>2775</v>
      </c>
      <c r="Z115" s="188">
        <f>Tableau4[[#This Row],[AF 3 ($)]]/Tableau4[[#This Row],[Nombres appareils installés]]</f>
        <v>2775</v>
      </c>
      <c r="AA115" s="193">
        <f>Tableau4[[#This Row],[AF 3 par appareil ($)]]/Tableau4[[#This Row],[Surcoût par appareil ($)]]</f>
        <v>0.69053040200067184</v>
      </c>
      <c r="AB115" s="193">
        <f>Tableau4[[#This Row],[Couverture 3 (%)]]*Tableau4[[#This Row],[Nombres appareils installés]]</f>
        <v>0.69053040200067184</v>
      </c>
      <c r="AC115" s="188">
        <f>($AC$4+$AD$4*(Tableau4[[#This Row],[Capacité (BTU)]]/1000))*Tableau4[[#This Row],[Nombres appareils installés]]</f>
        <v>2420</v>
      </c>
      <c r="AD115" s="188">
        <f>Tableau4[[#This Row],[AF 4 ($)]]/Tableau4[[#This Row],[Nombres appareils installés]]</f>
        <v>2420</v>
      </c>
      <c r="AE115" s="194">
        <f>Tableau4[[#This Row],[Couverture 4 (%)]]*Tableau4[[#This Row],[Nombres appareils installés]]</f>
        <v>0.60219227850148682</v>
      </c>
      <c r="AF115" s="193">
        <f>Tableau4[[#This Row],[AF 4 par appareil  ($)]]/Tableau4[[#This Row],[Surcoût par appareil ($)]]</f>
        <v>0.60219227850148682</v>
      </c>
    </row>
    <row r="116" spans="2:32" x14ac:dyDescent="0.3">
      <c r="B116" s="195" t="s">
        <v>235</v>
      </c>
      <c r="C116" s="188" t="s">
        <v>238</v>
      </c>
      <c r="D116" s="188">
        <v>2</v>
      </c>
      <c r="E116" s="188">
        <v>55000</v>
      </c>
      <c r="F116" s="196">
        <f>Tableau4[[#This Row],[Economies totales (m3)]]/Tableau4[[#This Row],[Nombres appareils installés]]</f>
        <v>277.75</v>
      </c>
      <c r="G116" s="190">
        <v>555.5</v>
      </c>
      <c r="H116" s="188">
        <f t="shared" si="2"/>
        <v>1618.65</v>
      </c>
      <c r="I116" s="188">
        <v>2400</v>
      </c>
      <c r="J116" s="188">
        <f>Tableau4[[#This Row],[Surcoût moyens de l''équipement ($)]]+Tableau4[[#This Row],[Surcoût moyen de l''installation ($)]]</f>
        <v>4018.65</v>
      </c>
      <c r="K116" s="188">
        <f>Tableau4[[#This Row],[Surcoût par appareil ($)]]*Tableau4[[#This Row],[Nombres appareils installés]]</f>
        <v>8037.3</v>
      </c>
      <c r="L116" s="190">
        <v>3400</v>
      </c>
      <c r="M116" s="188">
        <f t="shared" si="3"/>
        <v>2350</v>
      </c>
      <c r="N116" s="188">
        <f>Tableau4[[#This Row],[AF 0 ($)]]/Tableau4[[#This Row],[Nombres appareils installés]]</f>
        <v>1175</v>
      </c>
      <c r="O116" s="191">
        <f>(Tableau4[[#This Row],[AF accordée ($)]])/($J$6*D116)</f>
        <v>0.42463905680171854</v>
      </c>
      <c r="P116" s="191">
        <f>Tableau4[[#This Row],[Couverture 0 (%)]]*Tableau4[[#This Row],[Nombres appareils installés]]</f>
        <v>0.84927811360343708</v>
      </c>
      <c r="Q116" s="188">
        <f>($Q$4+$R$4*(Tableau4[[#This Row],[Capacité (BTU)]]/1000))*Tableau4[[#This Row],[Nombres appareils installés]]</f>
        <v>4550</v>
      </c>
      <c r="R116" s="188">
        <f>Tableau4[[#This Row],[AF 1 ($)]]/Tableau4[[#This Row],[Nombres appareils installés]]</f>
        <v>2275</v>
      </c>
      <c r="S116" s="191">
        <f>Tableau4[[#This Row],[AF 1 ($)]]/(J116*D116)</f>
        <v>0.56611050974829857</v>
      </c>
      <c r="T116" s="191">
        <f>Tableau4[[#This Row],[Couverture 1 (%)]]*Tableau4[[#This Row],[Nombres appareils installés]]</f>
        <v>1.1322210194965971</v>
      </c>
      <c r="U116" s="188">
        <f>($U$4+($V$4*(Tableau4[[#This Row],[Capacité (BTU)]]/1000)))*Tableau4[[#This Row],[Nombres appareils installés]]</f>
        <v>4825</v>
      </c>
      <c r="V116" s="188">
        <f>Tableau4[[#This Row],[AF 2 ($)]]/Tableau4[[#This Row],[Nombres appareils installés]]</f>
        <v>2412.5</v>
      </c>
      <c r="W116" s="192">
        <f>Tableau4[[#This Row],[AF 2 par appareil ($)]]/Tableau4[[#This Row],[Surcoût par appareil ($)]]</f>
        <v>0.60032598011770122</v>
      </c>
      <c r="X116" s="192">
        <f>Tableau4[[#This Row],[Couverture 2 (%)]]*Tableau4[[#This Row],[Nombres appareils installés]]</f>
        <v>1.2006519602354024</v>
      </c>
      <c r="Y116" s="188">
        <f>($Y$4+$Z$4*(Tableau4[[#This Row],[Capacité (BTU)]]/1000))*Tableau4[[#This Row],[Nombres appareils installés]]</f>
        <v>5550</v>
      </c>
      <c r="Z116" s="188">
        <f>Tableau4[[#This Row],[AF 3 ($)]]/Tableau4[[#This Row],[Nombres appareils installés]]</f>
        <v>2775</v>
      </c>
      <c r="AA116" s="193">
        <f>Tableau4[[#This Row],[AF 3 par appareil ($)]]/Tableau4[[#This Row],[Surcoût par appareil ($)]]</f>
        <v>0.69053040200067184</v>
      </c>
      <c r="AB116" s="193">
        <f>Tableau4[[#This Row],[Couverture 3 (%)]]*Tableau4[[#This Row],[Nombres appareils installés]]</f>
        <v>1.3810608040013437</v>
      </c>
      <c r="AC116" s="188">
        <f>($AC$4+$AD$4*(Tableau4[[#This Row],[Capacité (BTU)]]/1000))*Tableau4[[#This Row],[Nombres appareils installés]]</f>
        <v>4840</v>
      </c>
      <c r="AD116" s="188">
        <f>Tableau4[[#This Row],[AF 4 ($)]]/Tableau4[[#This Row],[Nombres appareils installés]]</f>
        <v>2420</v>
      </c>
      <c r="AE116" s="194">
        <f>Tableau4[[#This Row],[Couverture 4 (%)]]*Tableau4[[#This Row],[Nombres appareils installés]]</f>
        <v>1.2043845570029736</v>
      </c>
      <c r="AF116" s="193">
        <f>Tableau4[[#This Row],[AF 4 par appareil  ($)]]/Tableau4[[#This Row],[Surcoût par appareil ($)]]</f>
        <v>0.60219227850148682</v>
      </c>
    </row>
    <row r="117" spans="2:32" x14ac:dyDescent="0.3">
      <c r="B117" s="195" t="s">
        <v>235</v>
      </c>
      <c r="C117" s="188" t="s">
        <v>239</v>
      </c>
      <c r="D117" s="188">
        <v>4</v>
      </c>
      <c r="E117" s="188">
        <v>55000</v>
      </c>
      <c r="F117" s="196">
        <f>Tableau4[[#This Row],[Economies totales (m3)]]/Tableau4[[#This Row],[Nombres appareils installés]]</f>
        <v>277.75</v>
      </c>
      <c r="G117" s="190">
        <v>1111</v>
      </c>
      <c r="H117" s="188">
        <f t="shared" si="2"/>
        <v>1618.65</v>
      </c>
      <c r="I117" s="188">
        <v>2400</v>
      </c>
      <c r="J117" s="188">
        <f>Tableau4[[#This Row],[Surcoût moyens de l''équipement ($)]]+Tableau4[[#This Row],[Surcoût moyen de l''installation ($)]]</f>
        <v>4018.65</v>
      </c>
      <c r="K117" s="188">
        <f>Tableau4[[#This Row],[Surcoût par appareil ($)]]*Tableau4[[#This Row],[Nombres appareils installés]]</f>
        <v>16074.6</v>
      </c>
      <c r="L117" s="190">
        <v>6800</v>
      </c>
      <c r="M117" s="188">
        <f t="shared" si="3"/>
        <v>4700</v>
      </c>
      <c r="N117" s="188">
        <f>Tableau4[[#This Row],[AF 0 ($)]]/Tableau4[[#This Row],[Nombres appareils installés]]</f>
        <v>1175</v>
      </c>
      <c r="O117" s="191">
        <f>(Tableau4[[#This Row],[AF accordée ($)]])/($J$6*D117)</f>
        <v>0.42463905680171854</v>
      </c>
      <c r="P117" s="191">
        <f>Tableau4[[#This Row],[Couverture 0 (%)]]*Tableau4[[#This Row],[Nombres appareils installés]]</f>
        <v>1.6985562272068742</v>
      </c>
      <c r="Q117" s="188">
        <f>($Q$4+$R$4*(Tableau4[[#This Row],[Capacité (BTU)]]/1000))*Tableau4[[#This Row],[Nombres appareils installés]]</f>
        <v>9100</v>
      </c>
      <c r="R117" s="188">
        <f>Tableau4[[#This Row],[AF 1 ($)]]/Tableau4[[#This Row],[Nombres appareils installés]]</f>
        <v>2275</v>
      </c>
      <c r="S117" s="191">
        <f>Tableau4[[#This Row],[AF 1 ($)]]/(J117*D117)</f>
        <v>0.56611050974829857</v>
      </c>
      <c r="T117" s="191">
        <f>Tableau4[[#This Row],[Couverture 1 (%)]]*Tableau4[[#This Row],[Nombres appareils installés]]</f>
        <v>2.2644420389931943</v>
      </c>
      <c r="U117" s="188">
        <f>($U$4+($V$4*(Tableau4[[#This Row],[Capacité (BTU)]]/1000)))*Tableau4[[#This Row],[Nombres appareils installés]]</f>
        <v>9650</v>
      </c>
      <c r="V117" s="188">
        <f>Tableau4[[#This Row],[AF 2 ($)]]/Tableau4[[#This Row],[Nombres appareils installés]]</f>
        <v>2412.5</v>
      </c>
      <c r="W117" s="192">
        <f>Tableau4[[#This Row],[AF 2 par appareil ($)]]/Tableau4[[#This Row],[Surcoût par appareil ($)]]</f>
        <v>0.60032598011770122</v>
      </c>
      <c r="X117" s="192">
        <f>Tableau4[[#This Row],[Couverture 2 (%)]]*Tableau4[[#This Row],[Nombres appareils installés]]</f>
        <v>2.4013039204708049</v>
      </c>
      <c r="Y117" s="188">
        <f>($Y$4+$Z$4*(Tableau4[[#This Row],[Capacité (BTU)]]/1000))*Tableau4[[#This Row],[Nombres appareils installés]]</f>
        <v>11100</v>
      </c>
      <c r="Z117" s="188">
        <f>Tableau4[[#This Row],[AF 3 ($)]]/Tableau4[[#This Row],[Nombres appareils installés]]</f>
        <v>2775</v>
      </c>
      <c r="AA117" s="193">
        <f>Tableau4[[#This Row],[AF 3 par appareil ($)]]/Tableau4[[#This Row],[Surcoût par appareil ($)]]</f>
        <v>0.69053040200067184</v>
      </c>
      <c r="AB117" s="193">
        <f>Tableau4[[#This Row],[Couverture 3 (%)]]*Tableau4[[#This Row],[Nombres appareils installés]]</f>
        <v>2.7621216080026874</v>
      </c>
      <c r="AC117" s="188">
        <f>($AC$4+$AD$4*(Tableau4[[#This Row],[Capacité (BTU)]]/1000))*Tableau4[[#This Row],[Nombres appareils installés]]</f>
        <v>9680</v>
      </c>
      <c r="AD117" s="188">
        <f>Tableau4[[#This Row],[AF 4 ($)]]/Tableau4[[#This Row],[Nombres appareils installés]]</f>
        <v>2420</v>
      </c>
      <c r="AE117" s="194">
        <f>Tableau4[[#This Row],[Couverture 4 (%)]]*Tableau4[[#This Row],[Nombres appareils installés]]</f>
        <v>2.4087691140059473</v>
      </c>
      <c r="AF117" s="193">
        <f>Tableau4[[#This Row],[AF 4 par appareil  ($)]]/Tableau4[[#This Row],[Surcoût par appareil ($)]]</f>
        <v>0.60219227850148682</v>
      </c>
    </row>
    <row r="118" spans="2:32" x14ac:dyDescent="0.3">
      <c r="B118" s="195" t="s">
        <v>235</v>
      </c>
      <c r="C118" s="188" t="s">
        <v>238</v>
      </c>
      <c r="D118" s="188">
        <v>2</v>
      </c>
      <c r="E118" s="188">
        <v>65000</v>
      </c>
      <c r="F118" s="196">
        <f>Tableau4[[#This Row],[Economies totales (m3)]]/Tableau4[[#This Row],[Nombres appareils installés]]</f>
        <v>328.25</v>
      </c>
      <c r="G118" s="190">
        <v>656.5</v>
      </c>
      <c r="H118" s="188">
        <f t="shared" si="2"/>
        <v>1653.65</v>
      </c>
      <c r="I118" s="188">
        <v>2400</v>
      </c>
      <c r="J118" s="188">
        <f>Tableau4[[#This Row],[Surcoût moyens de l''équipement ($)]]+Tableau4[[#This Row],[Surcoût moyen de l''installation ($)]]</f>
        <v>4053.65</v>
      </c>
      <c r="K118" s="188">
        <f>Tableau4[[#This Row],[Surcoût par appareil ($)]]*Tableau4[[#This Row],[Nombres appareils installés]]</f>
        <v>8107.3</v>
      </c>
      <c r="L118" s="190">
        <v>3400</v>
      </c>
      <c r="M118" s="188">
        <f t="shared" si="3"/>
        <v>2450</v>
      </c>
      <c r="N118" s="188">
        <f>Tableau4[[#This Row],[AF 0 ($)]]/Tableau4[[#This Row],[Nombres appareils installés]]</f>
        <v>1225</v>
      </c>
      <c r="O118" s="191">
        <f>(Tableau4[[#This Row],[AF accordée ($)]])/($J$6*D118)</f>
        <v>0.42463905680171854</v>
      </c>
      <c r="P118" s="191">
        <f>Tableau4[[#This Row],[Couverture 0 (%)]]*Tableau4[[#This Row],[Nombres appareils installés]]</f>
        <v>0.84927811360343708</v>
      </c>
      <c r="Q118" s="188">
        <f>($Q$4+$R$4*(Tableau4[[#This Row],[Capacité (BTU)]]/1000))*Tableau4[[#This Row],[Nombres appareils installés]]</f>
        <v>4650</v>
      </c>
      <c r="R118" s="188">
        <f>Tableau4[[#This Row],[AF 1 ($)]]/Tableau4[[#This Row],[Nombres appareils installés]]</f>
        <v>2325</v>
      </c>
      <c r="S118" s="191">
        <f>Tableau4[[#This Row],[AF 1 ($)]]/(J118*D118)</f>
        <v>0.57355716453073158</v>
      </c>
      <c r="T118" s="191">
        <f>Tableau4[[#This Row],[Couverture 1 (%)]]*Tableau4[[#This Row],[Nombres appareils installés]]</f>
        <v>1.1471143290614632</v>
      </c>
      <c r="U118" s="188">
        <f>($U$4+($V$4*(Tableau4[[#This Row],[Capacité (BTU)]]/1000)))*Tableau4[[#This Row],[Nombres appareils installés]]</f>
        <v>4975</v>
      </c>
      <c r="V118" s="188">
        <f>Tableau4[[#This Row],[AF 2 ($)]]/Tableau4[[#This Row],[Nombres appareils installés]]</f>
        <v>2487.5</v>
      </c>
      <c r="W118" s="192">
        <f>Tableau4[[#This Row],[AF 2 par appareil ($)]]/Tableau4[[#This Row],[Surcoût par appareil ($)]]</f>
        <v>0.61364449323449233</v>
      </c>
      <c r="X118" s="192">
        <f>Tableau4[[#This Row],[Couverture 2 (%)]]*Tableau4[[#This Row],[Nombres appareils installés]]</f>
        <v>1.2272889864689847</v>
      </c>
      <c r="Y118" s="188">
        <f>($Y$4+$Z$4*(Tableau4[[#This Row],[Capacité (BTU)]]/1000))*Tableau4[[#This Row],[Nombres appareils installés]]</f>
        <v>5650</v>
      </c>
      <c r="Z118" s="188">
        <f>Tableau4[[#This Row],[AF 3 ($)]]/Tableau4[[#This Row],[Nombres appareils installés]]</f>
        <v>2825</v>
      </c>
      <c r="AA118" s="193">
        <f>Tableau4[[#This Row],[AF 3 par appareil ($)]]/Tableau4[[#This Row],[Surcoût par appareil ($)]]</f>
        <v>0.69690279131153399</v>
      </c>
      <c r="AB118" s="193">
        <f>Tableau4[[#This Row],[Couverture 3 (%)]]*Tableau4[[#This Row],[Nombres appareils installés]]</f>
        <v>1.393805582623068</v>
      </c>
      <c r="AC118" s="188">
        <f>($AC$4+$AD$4*(Tableau4[[#This Row],[Capacité (BTU)]]/1000))*Tableau4[[#This Row],[Nombres appareils installés]]</f>
        <v>4920</v>
      </c>
      <c r="AD118" s="188">
        <f>Tableau4[[#This Row],[AF 4 ($)]]/Tableau4[[#This Row],[Nombres appareils installés]]</f>
        <v>2460</v>
      </c>
      <c r="AE118" s="194">
        <f>Tableau4[[#This Row],[Couverture 4 (%)]]*Tableau4[[#This Row],[Nombres appareils installés]]</f>
        <v>1.2137209675230964</v>
      </c>
      <c r="AF118" s="193">
        <f>Tableau4[[#This Row],[AF 4 par appareil  ($)]]/Tableau4[[#This Row],[Surcoût par appareil ($)]]</f>
        <v>0.60686048376154822</v>
      </c>
    </row>
    <row r="119" spans="2:32" x14ac:dyDescent="0.3">
      <c r="B119" s="195" t="s">
        <v>235</v>
      </c>
      <c r="C119" s="188" t="s">
        <v>240</v>
      </c>
      <c r="D119" s="188">
        <v>1</v>
      </c>
      <c r="E119" s="188">
        <v>135000</v>
      </c>
      <c r="F119" s="196">
        <f>Tableau4[[#This Row],[Economies totales (m3)]]/Tableau4[[#This Row],[Nombres appareils installés]]</f>
        <v>681.75</v>
      </c>
      <c r="G119" s="190">
        <v>681.75</v>
      </c>
      <c r="H119" s="188">
        <f t="shared" si="2"/>
        <v>2066.65</v>
      </c>
      <c r="I119" s="188">
        <v>2400</v>
      </c>
      <c r="J119" s="188">
        <f>Tableau4[[#This Row],[Surcoût moyens de l''équipement ($)]]+Tableau4[[#This Row],[Surcoût moyen de l''installation ($)]]</f>
        <v>4466.6499999999996</v>
      </c>
      <c r="K119" s="188">
        <f>Tableau4[[#This Row],[Surcoût par appareil ($)]]*Tableau4[[#This Row],[Nombres appareils installés]]</f>
        <v>4466.6499999999996</v>
      </c>
      <c r="L119" s="190">
        <v>1575</v>
      </c>
      <c r="M119" s="188">
        <f t="shared" si="3"/>
        <v>1575</v>
      </c>
      <c r="N119" s="188">
        <f>Tableau4[[#This Row],[AF 0 ($)]]/Tableau4[[#This Row],[Nombres appareils installés]]</f>
        <v>1575</v>
      </c>
      <c r="O119" s="191">
        <f>(Tableau4[[#This Row],[AF accordée ($)]])/($J$6*D119)</f>
        <v>0.39341559674276866</v>
      </c>
      <c r="P119" s="191">
        <f>Tableau4[[#This Row],[Couverture 0 (%)]]*Tableau4[[#This Row],[Nombres appareils installés]]</f>
        <v>0.39341559674276866</v>
      </c>
      <c r="Q119" s="188">
        <f>($Q$4+$R$4*(Tableau4[[#This Row],[Capacité (BTU)]]/1000))*Tableau4[[#This Row],[Nombres appareils installés]]</f>
        <v>2675</v>
      </c>
      <c r="R119" s="188">
        <f>Tableau4[[#This Row],[AF 1 ($)]]/Tableau4[[#This Row],[Nombres appareils installés]]</f>
        <v>2675</v>
      </c>
      <c r="S119" s="191">
        <f>Tableau4[[#This Row],[AF 1 ($)]]/(J119*D119)</f>
        <v>0.59888283165235701</v>
      </c>
      <c r="T119" s="191">
        <f>Tableau4[[#This Row],[Couverture 1 (%)]]*Tableau4[[#This Row],[Nombres appareils installés]]</f>
        <v>0.59888283165235701</v>
      </c>
      <c r="U119" s="188">
        <f>($U$4+($V$4*(Tableau4[[#This Row],[Capacité (BTU)]]/1000)))*Tableau4[[#This Row],[Nombres appareils installés]]</f>
        <v>3012.5</v>
      </c>
      <c r="V119" s="188">
        <f>Tableau4[[#This Row],[AF 2 ($)]]/Tableau4[[#This Row],[Nombres appareils installés]]</f>
        <v>3012.5</v>
      </c>
      <c r="W119" s="192">
        <f>Tableau4[[#This Row],[AF 2 par appareil ($)]]/Tableau4[[#This Row],[Surcoût par appareil ($)]]</f>
        <v>0.67444281508513093</v>
      </c>
      <c r="X119" s="192">
        <f>Tableau4[[#This Row],[Couverture 2 (%)]]*Tableau4[[#This Row],[Nombres appareils installés]]</f>
        <v>0.67444281508513093</v>
      </c>
      <c r="Y119" s="188">
        <f>($Y$4+$Z$4*(Tableau4[[#This Row],[Capacité (BTU)]]/1000))*Tableau4[[#This Row],[Nombres appareils installés]]</f>
        <v>3175</v>
      </c>
      <c r="Z119" s="188">
        <f>Tableau4[[#This Row],[AF 3 ($)]]/Tableau4[[#This Row],[Nombres appareils installés]]</f>
        <v>3175</v>
      </c>
      <c r="AA119" s="193">
        <f>Tableau4[[#This Row],[AF 3 par appareil ($)]]/Tableau4[[#This Row],[Surcoût par appareil ($)]]</f>
        <v>0.71082354784905921</v>
      </c>
      <c r="AB119" s="193">
        <f>Tableau4[[#This Row],[Couverture 3 (%)]]*Tableau4[[#This Row],[Nombres appareils installés]]</f>
        <v>0.71082354784905921</v>
      </c>
      <c r="AC119" s="188">
        <f>($AC$4+$AD$4*(Tableau4[[#This Row],[Capacité (BTU)]]/1000))*Tableau4[[#This Row],[Nombres appareils installés]]</f>
        <v>2740</v>
      </c>
      <c r="AD119" s="188">
        <f>Tableau4[[#This Row],[AF 4 ($)]]/Tableau4[[#This Row],[Nombres appareils installés]]</f>
        <v>2740</v>
      </c>
      <c r="AE119" s="194">
        <f>Tableau4[[#This Row],[Couverture 4 (%)]]*Tableau4[[#This Row],[Nombres appareils installés]]</f>
        <v>0.61343512475792827</v>
      </c>
      <c r="AF119" s="193">
        <f>Tableau4[[#This Row],[AF 4 par appareil  ($)]]/Tableau4[[#This Row],[Surcoût par appareil ($)]]</f>
        <v>0.61343512475792827</v>
      </c>
    </row>
    <row r="120" spans="2:32" x14ac:dyDescent="0.3">
      <c r="B120" s="195" t="s">
        <v>235</v>
      </c>
      <c r="C120" s="188" t="s">
        <v>241</v>
      </c>
      <c r="D120" s="188">
        <v>1</v>
      </c>
      <c r="E120" s="188">
        <v>135000</v>
      </c>
      <c r="F120" s="196">
        <f>Tableau4[[#This Row],[Economies totales (m3)]]/Tableau4[[#This Row],[Nombres appareils installés]]</f>
        <v>681.75</v>
      </c>
      <c r="G120" s="190">
        <v>681.75</v>
      </c>
      <c r="H120" s="188">
        <f t="shared" si="2"/>
        <v>2066.65</v>
      </c>
      <c r="I120" s="188">
        <v>2400</v>
      </c>
      <c r="J120" s="188">
        <f>Tableau4[[#This Row],[Surcoût moyens de l''équipement ($)]]+Tableau4[[#This Row],[Surcoût moyen de l''installation ($)]]</f>
        <v>4466.6499999999996</v>
      </c>
      <c r="K120" s="188">
        <f>Tableau4[[#This Row],[Surcoût par appareil ($)]]*Tableau4[[#This Row],[Nombres appareils installés]]</f>
        <v>4466.6499999999996</v>
      </c>
      <c r="L120" s="190">
        <v>1700</v>
      </c>
      <c r="M120" s="188">
        <f t="shared" si="3"/>
        <v>1575</v>
      </c>
      <c r="N120" s="188">
        <f>Tableau4[[#This Row],[AF 0 ($)]]/Tableau4[[#This Row],[Nombres appareils installés]]</f>
        <v>1575</v>
      </c>
      <c r="O120" s="191">
        <f>(Tableau4[[#This Row],[AF accordée ($)]])/($J$6*D120)</f>
        <v>0.42463905680171854</v>
      </c>
      <c r="P120" s="191">
        <f>Tableau4[[#This Row],[Couverture 0 (%)]]*Tableau4[[#This Row],[Nombres appareils installés]]</f>
        <v>0.42463905680171854</v>
      </c>
      <c r="Q120" s="188">
        <f>($Q$4+$R$4*(Tableau4[[#This Row],[Capacité (BTU)]]/1000))*Tableau4[[#This Row],[Nombres appareils installés]]</f>
        <v>2675</v>
      </c>
      <c r="R120" s="188">
        <f>Tableau4[[#This Row],[AF 1 ($)]]/Tableau4[[#This Row],[Nombres appareils installés]]</f>
        <v>2675</v>
      </c>
      <c r="S120" s="191">
        <f>Tableau4[[#This Row],[AF 1 ($)]]/(J120*D120)</f>
        <v>0.59888283165235701</v>
      </c>
      <c r="T120" s="191">
        <f>Tableau4[[#This Row],[Couverture 1 (%)]]*Tableau4[[#This Row],[Nombres appareils installés]]</f>
        <v>0.59888283165235701</v>
      </c>
      <c r="U120" s="188">
        <f>($U$4+($V$4*(Tableau4[[#This Row],[Capacité (BTU)]]/1000)))*Tableau4[[#This Row],[Nombres appareils installés]]</f>
        <v>3012.5</v>
      </c>
      <c r="V120" s="188">
        <f>Tableau4[[#This Row],[AF 2 ($)]]/Tableau4[[#This Row],[Nombres appareils installés]]</f>
        <v>3012.5</v>
      </c>
      <c r="W120" s="192">
        <f>Tableau4[[#This Row],[AF 2 par appareil ($)]]/Tableau4[[#This Row],[Surcoût par appareil ($)]]</f>
        <v>0.67444281508513093</v>
      </c>
      <c r="X120" s="192">
        <f>Tableau4[[#This Row],[Couverture 2 (%)]]*Tableau4[[#This Row],[Nombres appareils installés]]</f>
        <v>0.67444281508513093</v>
      </c>
      <c r="Y120" s="188">
        <f>($Y$4+$Z$4*(Tableau4[[#This Row],[Capacité (BTU)]]/1000))*Tableau4[[#This Row],[Nombres appareils installés]]</f>
        <v>3175</v>
      </c>
      <c r="Z120" s="188">
        <f>Tableau4[[#This Row],[AF 3 ($)]]/Tableau4[[#This Row],[Nombres appareils installés]]</f>
        <v>3175</v>
      </c>
      <c r="AA120" s="193">
        <f>Tableau4[[#This Row],[AF 3 par appareil ($)]]/Tableau4[[#This Row],[Surcoût par appareil ($)]]</f>
        <v>0.71082354784905921</v>
      </c>
      <c r="AB120" s="193">
        <f>Tableau4[[#This Row],[Couverture 3 (%)]]*Tableau4[[#This Row],[Nombres appareils installés]]</f>
        <v>0.71082354784905921</v>
      </c>
      <c r="AC120" s="188">
        <f>($AC$4+$AD$4*(Tableau4[[#This Row],[Capacité (BTU)]]/1000))*Tableau4[[#This Row],[Nombres appareils installés]]</f>
        <v>2740</v>
      </c>
      <c r="AD120" s="188">
        <f>Tableau4[[#This Row],[AF 4 ($)]]/Tableau4[[#This Row],[Nombres appareils installés]]</f>
        <v>2740</v>
      </c>
      <c r="AE120" s="194">
        <f>Tableau4[[#This Row],[Couverture 4 (%)]]*Tableau4[[#This Row],[Nombres appareils installés]]</f>
        <v>0.61343512475792827</v>
      </c>
      <c r="AF120" s="193">
        <f>Tableau4[[#This Row],[AF 4 par appareil  ($)]]/Tableau4[[#This Row],[Surcoût par appareil ($)]]</f>
        <v>0.61343512475792827</v>
      </c>
    </row>
    <row r="121" spans="2:32" x14ac:dyDescent="0.3">
      <c r="B121" s="195" t="s">
        <v>235</v>
      </c>
      <c r="C121" s="188" t="s">
        <v>242</v>
      </c>
      <c r="D121" s="188">
        <v>2</v>
      </c>
      <c r="E121" s="188">
        <v>135000</v>
      </c>
      <c r="F121" s="196">
        <f>Tableau4[[#This Row],[Economies totales (m3)]]/Tableau4[[#This Row],[Nombres appareils installés]]</f>
        <v>681.75</v>
      </c>
      <c r="G121" s="190">
        <v>1363.5</v>
      </c>
      <c r="H121" s="188">
        <f t="shared" si="2"/>
        <v>2066.65</v>
      </c>
      <c r="I121" s="188">
        <v>2400</v>
      </c>
      <c r="J121" s="188">
        <f>Tableau4[[#This Row],[Surcoût moyens de l''équipement ($)]]+Tableau4[[#This Row],[Surcoût moyen de l''installation ($)]]</f>
        <v>4466.6499999999996</v>
      </c>
      <c r="K121" s="188">
        <f>Tableau4[[#This Row],[Surcoût par appareil ($)]]*Tableau4[[#This Row],[Nombres appareils installés]]</f>
        <v>8933.2999999999993</v>
      </c>
      <c r="L121" s="190">
        <v>3400</v>
      </c>
      <c r="M121" s="188">
        <f t="shared" si="3"/>
        <v>3150</v>
      </c>
      <c r="N121" s="188">
        <f>Tableau4[[#This Row],[AF 0 ($)]]/Tableau4[[#This Row],[Nombres appareils installés]]</f>
        <v>1575</v>
      </c>
      <c r="O121" s="191">
        <f>(Tableau4[[#This Row],[AF accordée ($)]])/($J$6*D121)</f>
        <v>0.42463905680171854</v>
      </c>
      <c r="P121" s="191">
        <f>Tableau4[[#This Row],[Couverture 0 (%)]]*Tableau4[[#This Row],[Nombres appareils installés]]</f>
        <v>0.84927811360343708</v>
      </c>
      <c r="Q121" s="188">
        <f>($Q$4+$R$4*(Tableau4[[#This Row],[Capacité (BTU)]]/1000))*Tableau4[[#This Row],[Nombres appareils installés]]</f>
        <v>5350</v>
      </c>
      <c r="R121" s="188">
        <f>Tableau4[[#This Row],[AF 1 ($)]]/Tableau4[[#This Row],[Nombres appareils installés]]</f>
        <v>2675</v>
      </c>
      <c r="S121" s="191">
        <f>Tableau4[[#This Row],[AF 1 ($)]]/(J121*D121)</f>
        <v>0.59888283165235701</v>
      </c>
      <c r="T121" s="191">
        <f>Tableau4[[#This Row],[Couverture 1 (%)]]*Tableau4[[#This Row],[Nombres appareils installés]]</f>
        <v>1.197765663304714</v>
      </c>
      <c r="U121" s="188">
        <f>($U$4+($V$4*(Tableau4[[#This Row],[Capacité (BTU)]]/1000)))*Tableau4[[#This Row],[Nombres appareils installés]]</f>
        <v>6025</v>
      </c>
      <c r="V121" s="188">
        <f>Tableau4[[#This Row],[AF 2 ($)]]/Tableau4[[#This Row],[Nombres appareils installés]]</f>
        <v>3012.5</v>
      </c>
      <c r="W121" s="192">
        <f>Tableau4[[#This Row],[AF 2 par appareil ($)]]/Tableau4[[#This Row],[Surcoût par appareil ($)]]</f>
        <v>0.67444281508513093</v>
      </c>
      <c r="X121" s="192">
        <f>Tableau4[[#This Row],[Couverture 2 (%)]]*Tableau4[[#This Row],[Nombres appareils installés]]</f>
        <v>1.3488856301702619</v>
      </c>
      <c r="Y121" s="188">
        <f>($Y$4+$Z$4*(Tableau4[[#This Row],[Capacité (BTU)]]/1000))*Tableau4[[#This Row],[Nombres appareils installés]]</f>
        <v>6350</v>
      </c>
      <c r="Z121" s="188">
        <f>Tableau4[[#This Row],[AF 3 ($)]]/Tableau4[[#This Row],[Nombres appareils installés]]</f>
        <v>3175</v>
      </c>
      <c r="AA121" s="193">
        <f>Tableau4[[#This Row],[AF 3 par appareil ($)]]/Tableau4[[#This Row],[Surcoût par appareil ($)]]</f>
        <v>0.71082354784905921</v>
      </c>
      <c r="AB121" s="193">
        <f>Tableau4[[#This Row],[Couverture 3 (%)]]*Tableau4[[#This Row],[Nombres appareils installés]]</f>
        <v>1.4216470956981184</v>
      </c>
      <c r="AC121" s="188">
        <f>($AC$4+$AD$4*(Tableau4[[#This Row],[Capacité (BTU)]]/1000))*Tableau4[[#This Row],[Nombres appareils installés]]</f>
        <v>5480</v>
      </c>
      <c r="AD121" s="188">
        <f>Tableau4[[#This Row],[AF 4 ($)]]/Tableau4[[#This Row],[Nombres appareils installés]]</f>
        <v>2740</v>
      </c>
      <c r="AE121" s="194">
        <f>Tableau4[[#This Row],[Couverture 4 (%)]]*Tableau4[[#This Row],[Nombres appareils installés]]</f>
        <v>1.2268702495158565</v>
      </c>
      <c r="AF121" s="193">
        <f>Tableau4[[#This Row],[AF 4 par appareil  ($)]]/Tableau4[[#This Row],[Surcoût par appareil ($)]]</f>
        <v>0.61343512475792827</v>
      </c>
    </row>
    <row r="122" spans="2:32" x14ac:dyDescent="0.3">
      <c r="B122" s="195" t="s">
        <v>235</v>
      </c>
      <c r="C122" s="188" t="s">
        <v>243</v>
      </c>
      <c r="D122" s="188">
        <v>1</v>
      </c>
      <c r="E122" s="188">
        <v>155000</v>
      </c>
      <c r="F122" s="196">
        <f>Tableau4[[#This Row],[Economies totales (m3)]]/Tableau4[[#This Row],[Nombres appareils installés]]</f>
        <v>782.75</v>
      </c>
      <c r="G122" s="190">
        <v>782.75</v>
      </c>
      <c r="H122" s="188">
        <f t="shared" si="2"/>
        <v>2238.65</v>
      </c>
      <c r="I122" s="188">
        <v>2400</v>
      </c>
      <c r="J122" s="188">
        <f>Tableau4[[#This Row],[Surcoût moyens de l''équipement ($)]]+Tableau4[[#This Row],[Surcoût moyen de l''installation ($)]]</f>
        <v>4638.6499999999996</v>
      </c>
      <c r="K122" s="188">
        <f>Tableau4[[#This Row],[Surcoût par appareil ($)]]*Tableau4[[#This Row],[Nombres appareils installés]]</f>
        <v>4638.6499999999996</v>
      </c>
      <c r="L122" s="190">
        <v>1700</v>
      </c>
      <c r="M122" s="188">
        <f t="shared" si="3"/>
        <v>1675</v>
      </c>
      <c r="N122" s="188">
        <f>Tableau4[[#This Row],[AF 0 ($)]]/Tableau4[[#This Row],[Nombres appareils installés]]</f>
        <v>1675</v>
      </c>
      <c r="O122" s="191">
        <f>(Tableau4[[#This Row],[AF accordée ($)]])/($J$6*D122)</f>
        <v>0.42463905680171854</v>
      </c>
      <c r="P122" s="191">
        <f>Tableau4[[#This Row],[Couverture 0 (%)]]*Tableau4[[#This Row],[Nombres appareils installés]]</f>
        <v>0.42463905680171854</v>
      </c>
      <c r="Q122" s="188">
        <f>($Q$4+$R$4*(Tableau4[[#This Row],[Capacité (BTU)]]/1000))*Tableau4[[#This Row],[Nombres appareils installés]]</f>
        <v>2775</v>
      </c>
      <c r="R122" s="188">
        <f>Tableau4[[#This Row],[AF 1 ($)]]/Tableau4[[#This Row],[Nombres appareils installés]]</f>
        <v>2775</v>
      </c>
      <c r="S122" s="191">
        <f>Tableau4[[#This Row],[AF 1 ($)]]/(J122*D122)</f>
        <v>0.59823440009485518</v>
      </c>
      <c r="T122" s="191">
        <f>Tableau4[[#This Row],[Couverture 1 (%)]]*Tableau4[[#This Row],[Nombres appareils installés]]</f>
        <v>0.59823440009485518</v>
      </c>
      <c r="U122" s="188">
        <f>($U$4+($V$4*(Tableau4[[#This Row],[Capacité (BTU)]]/1000)))*Tableau4[[#This Row],[Nombres appareils installés]]</f>
        <v>3162.5</v>
      </c>
      <c r="V122" s="188">
        <f>Tableau4[[#This Row],[AF 2 ($)]]/Tableau4[[#This Row],[Nombres appareils installés]]</f>
        <v>3162.5</v>
      </c>
      <c r="W122" s="192">
        <f>Tableau4[[#This Row],[AF 2 par appareil ($)]]/Tableau4[[#This Row],[Surcoût par appareil ($)]]</f>
        <v>0.68177163614413683</v>
      </c>
      <c r="X122" s="192">
        <f>Tableau4[[#This Row],[Couverture 2 (%)]]*Tableau4[[#This Row],[Nombres appareils installés]]</f>
        <v>0.68177163614413683</v>
      </c>
      <c r="Y122" s="188">
        <f>($Y$4+$Z$4*(Tableau4[[#This Row],[Capacité (BTU)]]/1000))*Tableau4[[#This Row],[Nombres appareils installés]]</f>
        <v>3275</v>
      </c>
      <c r="Z122" s="188">
        <f>Tableau4[[#This Row],[AF 3 ($)]]/Tableau4[[#This Row],[Nombres appareils installés]]</f>
        <v>3275</v>
      </c>
      <c r="AA122" s="193">
        <f>Tableau4[[#This Row],[AF 3 par appareil ($)]]/Tableau4[[#This Row],[Surcoût par appareil ($)]]</f>
        <v>0.70602438209392826</v>
      </c>
      <c r="AB122" s="193">
        <f>Tableau4[[#This Row],[Couverture 3 (%)]]*Tableau4[[#This Row],[Nombres appareils installés]]</f>
        <v>0.70602438209392826</v>
      </c>
      <c r="AC122" s="188">
        <f>($AC$4+$AD$4*(Tableau4[[#This Row],[Capacité (BTU)]]/1000))*Tableau4[[#This Row],[Nombres appareils installés]]</f>
        <v>2820</v>
      </c>
      <c r="AD122" s="188">
        <f>Tableau4[[#This Row],[AF 4 ($)]]/Tableau4[[#This Row],[Nombres appareils installés]]</f>
        <v>2820</v>
      </c>
      <c r="AE122" s="194">
        <f>Tableau4[[#This Row],[Couverture 4 (%)]]*Tableau4[[#This Row],[Nombres appareils installés]]</f>
        <v>0.6079354984747718</v>
      </c>
      <c r="AF122" s="193">
        <f>Tableau4[[#This Row],[AF 4 par appareil  ($)]]/Tableau4[[#This Row],[Surcoût par appareil ($)]]</f>
        <v>0.6079354984747718</v>
      </c>
    </row>
    <row r="123" spans="2:32" x14ac:dyDescent="0.3">
      <c r="B123" s="195" t="s">
        <v>235</v>
      </c>
      <c r="C123" s="188" t="s">
        <v>242</v>
      </c>
      <c r="D123" s="188">
        <v>1</v>
      </c>
      <c r="E123" s="188">
        <v>155000</v>
      </c>
      <c r="F123" s="196">
        <f>Tableau4[[#This Row],[Economies totales (m3)]]/Tableau4[[#This Row],[Nombres appareils installés]]</f>
        <v>782.75</v>
      </c>
      <c r="G123" s="190">
        <v>782.75</v>
      </c>
      <c r="H123" s="188">
        <f t="shared" si="2"/>
        <v>2238.65</v>
      </c>
      <c r="I123" s="188">
        <v>2400</v>
      </c>
      <c r="J123" s="188">
        <f>Tableau4[[#This Row],[Surcoût moyens de l''équipement ($)]]+Tableau4[[#This Row],[Surcoût moyen de l''installation ($)]]</f>
        <v>4638.6499999999996</v>
      </c>
      <c r="K123" s="188">
        <f>Tableau4[[#This Row],[Surcoût par appareil ($)]]*Tableau4[[#This Row],[Nombres appareils installés]]</f>
        <v>4638.6499999999996</v>
      </c>
      <c r="L123" s="190">
        <v>1700</v>
      </c>
      <c r="M123" s="188">
        <f t="shared" si="3"/>
        <v>1675</v>
      </c>
      <c r="N123" s="188">
        <f>Tableau4[[#This Row],[AF 0 ($)]]/Tableau4[[#This Row],[Nombres appareils installés]]</f>
        <v>1675</v>
      </c>
      <c r="O123" s="191">
        <f>(Tableau4[[#This Row],[AF accordée ($)]])/($J$6*D123)</f>
        <v>0.42463905680171854</v>
      </c>
      <c r="P123" s="191">
        <f>Tableau4[[#This Row],[Couverture 0 (%)]]*Tableau4[[#This Row],[Nombres appareils installés]]</f>
        <v>0.42463905680171854</v>
      </c>
      <c r="Q123" s="188">
        <f>($Q$4+$R$4*(Tableau4[[#This Row],[Capacité (BTU)]]/1000))*Tableau4[[#This Row],[Nombres appareils installés]]</f>
        <v>2775</v>
      </c>
      <c r="R123" s="188">
        <f>Tableau4[[#This Row],[AF 1 ($)]]/Tableau4[[#This Row],[Nombres appareils installés]]</f>
        <v>2775</v>
      </c>
      <c r="S123" s="191">
        <f>Tableau4[[#This Row],[AF 1 ($)]]/(J123*D123)</f>
        <v>0.59823440009485518</v>
      </c>
      <c r="T123" s="191">
        <f>Tableau4[[#This Row],[Couverture 1 (%)]]*Tableau4[[#This Row],[Nombres appareils installés]]</f>
        <v>0.59823440009485518</v>
      </c>
      <c r="U123" s="188">
        <f>($U$4+($V$4*(Tableau4[[#This Row],[Capacité (BTU)]]/1000)))*Tableau4[[#This Row],[Nombres appareils installés]]</f>
        <v>3162.5</v>
      </c>
      <c r="V123" s="188">
        <f>Tableau4[[#This Row],[AF 2 ($)]]/Tableau4[[#This Row],[Nombres appareils installés]]</f>
        <v>3162.5</v>
      </c>
      <c r="W123" s="192">
        <f>Tableau4[[#This Row],[AF 2 par appareil ($)]]/Tableau4[[#This Row],[Surcoût par appareil ($)]]</f>
        <v>0.68177163614413683</v>
      </c>
      <c r="X123" s="192">
        <f>Tableau4[[#This Row],[Couverture 2 (%)]]*Tableau4[[#This Row],[Nombres appareils installés]]</f>
        <v>0.68177163614413683</v>
      </c>
      <c r="Y123" s="188">
        <f>($Y$4+$Z$4*(Tableau4[[#This Row],[Capacité (BTU)]]/1000))*Tableau4[[#This Row],[Nombres appareils installés]]</f>
        <v>3275</v>
      </c>
      <c r="Z123" s="188">
        <f>Tableau4[[#This Row],[AF 3 ($)]]/Tableau4[[#This Row],[Nombres appareils installés]]</f>
        <v>3275</v>
      </c>
      <c r="AA123" s="193">
        <f>Tableau4[[#This Row],[AF 3 par appareil ($)]]/Tableau4[[#This Row],[Surcoût par appareil ($)]]</f>
        <v>0.70602438209392826</v>
      </c>
      <c r="AB123" s="193">
        <f>Tableau4[[#This Row],[Couverture 3 (%)]]*Tableau4[[#This Row],[Nombres appareils installés]]</f>
        <v>0.70602438209392826</v>
      </c>
      <c r="AC123" s="188">
        <f>($AC$4+$AD$4*(Tableau4[[#This Row],[Capacité (BTU)]]/1000))*Tableau4[[#This Row],[Nombres appareils installés]]</f>
        <v>2820</v>
      </c>
      <c r="AD123" s="188">
        <f>Tableau4[[#This Row],[AF 4 ($)]]/Tableau4[[#This Row],[Nombres appareils installés]]</f>
        <v>2820</v>
      </c>
      <c r="AE123" s="194">
        <f>Tableau4[[#This Row],[Couverture 4 (%)]]*Tableau4[[#This Row],[Nombres appareils installés]]</f>
        <v>0.6079354984747718</v>
      </c>
      <c r="AF123" s="193">
        <f>Tableau4[[#This Row],[AF 4 par appareil  ($)]]/Tableau4[[#This Row],[Surcoût par appareil ($)]]</f>
        <v>0.6079354984747718</v>
      </c>
    </row>
    <row r="124" spans="2:32" x14ac:dyDescent="0.3">
      <c r="B124" s="195" t="s">
        <v>235</v>
      </c>
      <c r="C124" s="188" t="s">
        <v>244</v>
      </c>
      <c r="D124" s="188">
        <v>2</v>
      </c>
      <c r="E124" s="188">
        <v>155000</v>
      </c>
      <c r="F124" s="196">
        <f>Tableau4[[#This Row],[Economies totales (m3)]]/Tableau4[[#This Row],[Nombres appareils installés]]</f>
        <v>782.75</v>
      </c>
      <c r="G124" s="190">
        <v>1565.5</v>
      </c>
      <c r="H124" s="188">
        <f t="shared" si="2"/>
        <v>2238.65</v>
      </c>
      <c r="I124" s="188">
        <v>2400</v>
      </c>
      <c r="J124" s="188">
        <f>Tableau4[[#This Row],[Surcoût moyens de l''équipement ($)]]+Tableau4[[#This Row],[Surcoût moyen de l''installation ($)]]</f>
        <v>4638.6499999999996</v>
      </c>
      <c r="K124" s="188">
        <f>Tableau4[[#This Row],[Surcoût par appareil ($)]]*Tableau4[[#This Row],[Nombres appareils installés]]</f>
        <v>9277.2999999999993</v>
      </c>
      <c r="L124" s="190">
        <v>3400</v>
      </c>
      <c r="M124" s="188">
        <f t="shared" si="3"/>
        <v>3350</v>
      </c>
      <c r="N124" s="188">
        <f>Tableau4[[#This Row],[AF 0 ($)]]/Tableau4[[#This Row],[Nombres appareils installés]]</f>
        <v>1675</v>
      </c>
      <c r="O124" s="191">
        <f>(Tableau4[[#This Row],[AF accordée ($)]])/($J$6*D124)</f>
        <v>0.42463905680171854</v>
      </c>
      <c r="P124" s="191">
        <f>Tableau4[[#This Row],[Couverture 0 (%)]]*Tableau4[[#This Row],[Nombres appareils installés]]</f>
        <v>0.84927811360343708</v>
      </c>
      <c r="Q124" s="188">
        <f>($Q$4+$R$4*(Tableau4[[#This Row],[Capacité (BTU)]]/1000))*Tableau4[[#This Row],[Nombres appareils installés]]</f>
        <v>5550</v>
      </c>
      <c r="R124" s="188">
        <f>Tableau4[[#This Row],[AF 1 ($)]]/Tableau4[[#This Row],[Nombres appareils installés]]</f>
        <v>2775</v>
      </c>
      <c r="S124" s="191">
        <f>Tableau4[[#This Row],[AF 1 ($)]]/(J124*D124)</f>
        <v>0.59823440009485518</v>
      </c>
      <c r="T124" s="191">
        <f>Tableau4[[#This Row],[Couverture 1 (%)]]*Tableau4[[#This Row],[Nombres appareils installés]]</f>
        <v>1.1964688001897104</v>
      </c>
      <c r="U124" s="188">
        <f>($U$4+($V$4*(Tableau4[[#This Row],[Capacité (BTU)]]/1000)))*Tableau4[[#This Row],[Nombres appareils installés]]</f>
        <v>6325</v>
      </c>
      <c r="V124" s="188">
        <f>Tableau4[[#This Row],[AF 2 ($)]]/Tableau4[[#This Row],[Nombres appareils installés]]</f>
        <v>3162.5</v>
      </c>
      <c r="W124" s="192">
        <f>Tableau4[[#This Row],[AF 2 par appareil ($)]]/Tableau4[[#This Row],[Surcoût par appareil ($)]]</f>
        <v>0.68177163614413683</v>
      </c>
      <c r="X124" s="192">
        <f>Tableau4[[#This Row],[Couverture 2 (%)]]*Tableau4[[#This Row],[Nombres appareils installés]]</f>
        <v>1.3635432722882737</v>
      </c>
      <c r="Y124" s="188">
        <f>($Y$4+$Z$4*(Tableau4[[#This Row],[Capacité (BTU)]]/1000))*Tableau4[[#This Row],[Nombres appareils installés]]</f>
        <v>6550</v>
      </c>
      <c r="Z124" s="188">
        <f>Tableau4[[#This Row],[AF 3 ($)]]/Tableau4[[#This Row],[Nombres appareils installés]]</f>
        <v>3275</v>
      </c>
      <c r="AA124" s="193">
        <f>Tableau4[[#This Row],[AF 3 par appareil ($)]]/Tableau4[[#This Row],[Surcoût par appareil ($)]]</f>
        <v>0.70602438209392826</v>
      </c>
      <c r="AB124" s="193">
        <f>Tableau4[[#This Row],[Couverture 3 (%)]]*Tableau4[[#This Row],[Nombres appareils installés]]</f>
        <v>1.4120487641878565</v>
      </c>
      <c r="AC124" s="188">
        <f>($AC$4+$AD$4*(Tableau4[[#This Row],[Capacité (BTU)]]/1000))*Tableau4[[#This Row],[Nombres appareils installés]]</f>
        <v>5640</v>
      </c>
      <c r="AD124" s="188">
        <f>Tableau4[[#This Row],[AF 4 ($)]]/Tableau4[[#This Row],[Nombres appareils installés]]</f>
        <v>2820</v>
      </c>
      <c r="AE124" s="194">
        <f>Tableau4[[#This Row],[Couverture 4 (%)]]*Tableau4[[#This Row],[Nombres appareils installés]]</f>
        <v>1.2158709969495436</v>
      </c>
      <c r="AF124" s="193">
        <f>Tableau4[[#This Row],[AF 4 par appareil  ($)]]/Tableau4[[#This Row],[Surcoût par appareil ($)]]</f>
        <v>0.6079354984747718</v>
      </c>
    </row>
    <row r="125" spans="2:32" x14ac:dyDescent="0.3">
      <c r="B125" s="195" t="s">
        <v>235</v>
      </c>
      <c r="C125" s="188" t="s">
        <v>245</v>
      </c>
      <c r="D125" s="188">
        <v>3</v>
      </c>
      <c r="E125" s="188">
        <v>155000</v>
      </c>
      <c r="F125" s="196">
        <f>Tableau4[[#This Row],[Economies totales (m3)]]/Tableau4[[#This Row],[Nombres appareils installés]]</f>
        <v>782.75</v>
      </c>
      <c r="G125" s="190">
        <v>2348.25</v>
      </c>
      <c r="H125" s="188">
        <f t="shared" si="2"/>
        <v>2238.65</v>
      </c>
      <c r="I125" s="188">
        <v>2400</v>
      </c>
      <c r="J125" s="188">
        <f>Tableau4[[#This Row],[Surcoût moyens de l''équipement ($)]]+Tableau4[[#This Row],[Surcoût moyen de l''installation ($)]]</f>
        <v>4638.6499999999996</v>
      </c>
      <c r="K125" s="188">
        <f>Tableau4[[#This Row],[Surcoût par appareil ($)]]*Tableau4[[#This Row],[Nombres appareils installés]]</f>
        <v>13915.949999999999</v>
      </c>
      <c r="L125" s="190">
        <v>5100</v>
      </c>
      <c r="M125" s="188">
        <f t="shared" si="3"/>
        <v>5025</v>
      </c>
      <c r="N125" s="188">
        <f>Tableau4[[#This Row],[AF 0 ($)]]/Tableau4[[#This Row],[Nombres appareils installés]]</f>
        <v>1675</v>
      </c>
      <c r="O125" s="191">
        <f>(Tableau4[[#This Row],[AF accordée ($)]])/($J$6*D125)</f>
        <v>0.42463905680171854</v>
      </c>
      <c r="P125" s="191">
        <f>Tableau4[[#This Row],[Couverture 0 (%)]]*Tableau4[[#This Row],[Nombres appareils installés]]</f>
        <v>1.2739171704051557</v>
      </c>
      <c r="Q125" s="188">
        <f>($Q$4+$R$4*(Tableau4[[#This Row],[Capacité (BTU)]]/1000))*Tableau4[[#This Row],[Nombres appareils installés]]</f>
        <v>8325</v>
      </c>
      <c r="R125" s="188">
        <f>Tableau4[[#This Row],[AF 1 ($)]]/Tableau4[[#This Row],[Nombres appareils installés]]</f>
        <v>2775</v>
      </c>
      <c r="S125" s="191">
        <f>Tableau4[[#This Row],[AF 1 ($)]]/(J125*D125)</f>
        <v>0.59823440009485518</v>
      </c>
      <c r="T125" s="191">
        <f>Tableau4[[#This Row],[Couverture 1 (%)]]*Tableau4[[#This Row],[Nombres appareils installés]]</f>
        <v>1.7947032002845655</v>
      </c>
      <c r="U125" s="188">
        <f>($U$4+($V$4*(Tableau4[[#This Row],[Capacité (BTU)]]/1000)))*Tableau4[[#This Row],[Nombres appareils installés]]</f>
        <v>9487.5</v>
      </c>
      <c r="V125" s="188">
        <f>Tableau4[[#This Row],[AF 2 ($)]]/Tableau4[[#This Row],[Nombres appareils installés]]</f>
        <v>3162.5</v>
      </c>
      <c r="W125" s="192">
        <f>Tableau4[[#This Row],[AF 2 par appareil ($)]]/Tableau4[[#This Row],[Surcoût par appareil ($)]]</f>
        <v>0.68177163614413683</v>
      </c>
      <c r="X125" s="192">
        <f>Tableau4[[#This Row],[Couverture 2 (%)]]*Tableau4[[#This Row],[Nombres appareils installés]]</f>
        <v>2.0453149084324105</v>
      </c>
      <c r="Y125" s="188">
        <f>($Y$4+$Z$4*(Tableau4[[#This Row],[Capacité (BTU)]]/1000))*Tableau4[[#This Row],[Nombres appareils installés]]</f>
        <v>9825</v>
      </c>
      <c r="Z125" s="188">
        <f>Tableau4[[#This Row],[AF 3 ($)]]/Tableau4[[#This Row],[Nombres appareils installés]]</f>
        <v>3275</v>
      </c>
      <c r="AA125" s="193">
        <f>Tableau4[[#This Row],[AF 3 par appareil ($)]]/Tableau4[[#This Row],[Surcoût par appareil ($)]]</f>
        <v>0.70602438209392826</v>
      </c>
      <c r="AB125" s="193">
        <f>Tableau4[[#This Row],[Couverture 3 (%)]]*Tableau4[[#This Row],[Nombres appareils installés]]</f>
        <v>2.1180731462817848</v>
      </c>
      <c r="AC125" s="188">
        <f>($AC$4+$AD$4*(Tableau4[[#This Row],[Capacité (BTU)]]/1000))*Tableau4[[#This Row],[Nombres appareils installés]]</f>
        <v>8460</v>
      </c>
      <c r="AD125" s="188">
        <f>Tableau4[[#This Row],[AF 4 ($)]]/Tableau4[[#This Row],[Nombres appareils installés]]</f>
        <v>2820</v>
      </c>
      <c r="AE125" s="194">
        <f>Tableau4[[#This Row],[Couverture 4 (%)]]*Tableau4[[#This Row],[Nombres appareils installés]]</f>
        <v>1.8238064954243154</v>
      </c>
      <c r="AF125" s="193">
        <f>Tableau4[[#This Row],[AF 4 par appareil  ($)]]/Tableau4[[#This Row],[Surcoût par appareil ($)]]</f>
        <v>0.6079354984747718</v>
      </c>
    </row>
    <row r="126" spans="2:32" x14ac:dyDescent="0.3">
      <c r="B126" s="195" t="s">
        <v>235</v>
      </c>
      <c r="C126" s="188" t="s">
        <v>246</v>
      </c>
      <c r="D126" s="188">
        <v>1</v>
      </c>
      <c r="E126" s="188">
        <v>180000</v>
      </c>
      <c r="F126" s="196">
        <f>Tableau4[[#This Row],[Economies totales (m3)]]/Tableau4[[#This Row],[Nombres appareils installés]]</f>
        <v>909</v>
      </c>
      <c r="G126" s="190">
        <v>909</v>
      </c>
      <c r="H126" s="188">
        <f t="shared" si="2"/>
        <v>2487.4</v>
      </c>
      <c r="I126" s="188">
        <v>2400</v>
      </c>
      <c r="J126" s="188">
        <f>Tableau4[[#This Row],[Surcoût moyens de l''équipement ($)]]+Tableau4[[#This Row],[Surcoût moyen de l''installation ($)]]</f>
        <v>4887.3999999999996</v>
      </c>
      <c r="K126" s="188">
        <f>Tableau4[[#This Row],[Surcoût par appareil ($)]]*Tableau4[[#This Row],[Nombres appareils installés]]</f>
        <v>4887.3999999999996</v>
      </c>
      <c r="L126" s="190">
        <v>1700</v>
      </c>
      <c r="M126" s="188">
        <f t="shared" si="3"/>
        <v>1800</v>
      </c>
      <c r="N126" s="188">
        <f>Tableau4[[#This Row],[AF 0 ($)]]/Tableau4[[#This Row],[Nombres appareils installés]]</f>
        <v>1800</v>
      </c>
      <c r="O126" s="191">
        <f>(Tableau4[[#This Row],[AF accordée ($)]])/($J$6*D126)</f>
        <v>0.42463905680171854</v>
      </c>
      <c r="P126" s="191">
        <f>Tableau4[[#This Row],[Couverture 0 (%)]]*Tableau4[[#This Row],[Nombres appareils installés]]</f>
        <v>0.42463905680171854</v>
      </c>
      <c r="Q126" s="188">
        <f>($Q$4+$R$4*(Tableau4[[#This Row],[Capacité (BTU)]]/1000))*Tableau4[[#This Row],[Nombres appareils installés]]</f>
        <v>2900</v>
      </c>
      <c r="R126" s="188">
        <f>Tableau4[[#This Row],[AF 1 ($)]]/Tableau4[[#This Row],[Nombres appareils installés]]</f>
        <v>2900</v>
      </c>
      <c r="S126" s="191">
        <f>Tableau4[[#This Row],[AF 1 ($)]]/(J126*D126)</f>
        <v>0.59336252404141265</v>
      </c>
      <c r="T126" s="191">
        <f>Tableau4[[#This Row],[Couverture 1 (%)]]*Tableau4[[#This Row],[Nombres appareils installés]]</f>
        <v>0.59336252404141265</v>
      </c>
      <c r="U126" s="188">
        <f>($U$4+($V$4*(Tableau4[[#This Row],[Capacité (BTU)]]/1000)))*Tableau4[[#This Row],[Nombres appareils installés]]</f>
        <v>3350</v>
      </c>
      <c r="V126" s="188">
        <f>Tableau4[[#This Row],[AF 2 ($)]]/Tableau4[[#This Row],[Nombres appareils installés]]</f>
        <v>3350</v>
      </c>
      <c r="W126" s="192">
        <f>Tableau4[[#This Row],[AF 2 par appareil ($)]]/Tableau4[[#This Row],[Surcoût par appareil ($)]]</f>
        <v>0.68543601915128705</v>
      </c>
      <c r="X126" s="192">
        <f>Tableau4[[#This Row],[Couverture 2 (%)]]*Tableau4[[#This Row],[Nombres appareils installés]]</f>
        <v>0.68543601915128705</v>
      </c>
      <c r="Y126" s="188">
        <f>($Y$4+$Z$4*(Tableau4[[#This Row],[Capacité (BTU)]]/1000))*Tableau4[[#This Row],[Nombres appareils installés]]</f>
        <v>3400</v>
      </c>
      <c r="Z126" s="188">
        <f>Tableau4[[#This Row],[AF 3 ($)]]/Tableau4[[#This Row],[Nombres appareils installés]]</f>
        <v>3400</v>
      </c>
      <c r="AA126" s="193">
        <f>Tableau4[[#This Row],[AF 3 par appareil ($)]]/Tableau4[[#This Row],[Surcoût par appareil ($)]]</f>
        <v>0.69566640749682862</v>
      </c>
      <c r="AB126" s="193">
        <f>Tableau4[[#This Row],[Couverture 3 (%)]]*Tableau4[[#This Row],[Nombres appareils installés]]</f>
        <v>0.69566640749682862</v>
      </c>
      <c r="AC126" s="188">
        <f>($AC$4+$AD$4*(Tableau4[[#This Row],[Capacité (BTU)]]/1000))*Tableau4[[#This Row],[Nombres appareils installés]]</f>
        <v>2920</v>
      </c>
      <c r="AD126" s="188">
        <f>Tableau4[[#This Row],[AF 4 ($)]]/Tableau4[[#This Row],[Nombres appareils installés]]</f>
        <v>2920</v>
      </c>
      <c r="AE126" s="194">
        <f>Tableau4[[#This Row],[Couverture 4 (%)]]*Tableau4[[#This Row],[Nombres appareils installés]]</f>
        <v>0.59745467937962926</v>
      </c>
      <c r="AF126" s="193">
        <f>Tableau4[[#This Row],[AF 4 par appareil  ($)]]/Tableau4[[#This Row],[Surcoût par appareil ($)]]</f>
        <v>0.59745467937962926</v>
      </c>
    </row>
    <row r="127" spans="2:32" x14ac:dyDescent="0.3">
      <c r="B127" s="195" t="s">
        <v>235</v>
      </c>
      <c r="C127" s="188" t="s">
        <v>247</v>
      </c>
      <c r="D127" s="188">
        <v>1</v>
      </c>
      <c r="E127" s="188">
        <v>180000</v>
      </c>
      <c r="F127" s="196">
        <f>Tableau4[[#This Row],[Economies totales (m3)]]/Tableau4[[#This Row],[Nombres appareils installés]]</f>
        <v>909</v>
      </c>
      <c r="G127" s="190">
        <v>909</v>
      </c>
      <c r="H127" s="188">
        <f t="shared" si="2"/>
        <v>2487.4</v>
      </c>
      <c r="I127" s="188">
        <v>2400</v>
      </c>
      <c r="J127" s="188">
        <f>Tableau4[[#This Row],[Surcoût moyens de l''équipement ($)]]+Tableau4[[#This Row],[Surcoût moyen de l''installation ($)]]</f>
        <v>4887.3999999999996</v>
      </c>
      <c r="K127" s="188">
        <f>Tableau4[[#This Row],[Surcoût par appareil ($)]]*Tableau4[[#This Row],[Nombres appareils installés]]</f>
        <v>4887.3999999999996</v>
      </c>
      <c r="L127" s="190">
        <v>1700</v>
      </c>
      <c r="M127" s="188">
        <f t="shared" si="3"/>
        <v>1800</v>
      </c>
      <c r="N127" s="188">
        <f>Tableau4[[#This Row],[AF 0 ($)]]/Tableau4[[#This Row],[Nombres appareils installés]]</f>
        <v>1800</v>
      </c>
      <c r="O127" s="191">
        <f>(Tableau4[[#This Row],[AF accordée ($)]])/($J$6*D127)</f>
        <v>0.42463905680171854</v>
      </c>
      <c r="P127" s="191">
        <f>Tableau4[[#This Row],[Couverture 0 (%)]]*Tableau4[[#This Row],[Nombres appareils installés]]</f>
        <v>0.42463905680171854</v>
      </c>
      <c r="Q127" s="188">
        <f>($Q$4+$R$4*(Tableau4[[#This Row],[Capacité (BTU)]]/1000))*Tableau4[[#This Row],[Nombres appareils installés]]</f>
        <v>2900</v>
      </c>
      <c r="R127" s="188">
        <f>Tableau4[[#This Row],[AF 1 ($)]]/Tableau4[[#This Row],[Nombres appareils installés]]</f>
        <v>2900</v>
      </c>
      <c r="S127" s="191">
        <f>Tableau4[[#This Row],[AF 1 ($)]]/(J127*D127)</f>
        <v>0.59336252404141265</v>
      </c>
      <c r="T127" s="191">
        <f>Tableau4[[#This Row],[Couverture 1 (%)]]*Tableau4[[#This Row],[Nombres appareils installés]]</f>
        <v>0.59336252404141265</v>
      </c>
      <c r="U127" s="188">
        <f>($U$4+($V$4*(Tableau4[[#This Row],[Capacité (BTU)]]/1000)))*Tableau4[[#This Row],[Nombres appareils installés]]</f>
        <v>3350</v>
      </c>
      <c r="V127" s="188">
        <f>Tableau4[[#This Row],[AF 2 ($)]]/Tableau4[[#This Row],[Nombres appareils installés]]</f>
        <v>3350</v>
      </c>
      <c r="W127" s="192">
        <f>Tableau4[[#This Row],[AF 2 par appareil ($)]]/Tableau4[[#This Row],[Surcoût par appareil ($)]]</f>
        <v>0.68543601915128705</v>
      </c>
      <c r="X127" s="192">
        <f>Tableau4[[#This Row],[Couverture 2 (%)]]*Tableau4[[#This Row],[Nombres appareils installés]]</f>
        <v>0.68543601915128705</v>
      </c>
      <c r="Y127" s="188">
        <f>($Y$4+$Z$4*(Tableau4[[#This Row],[Capacité (BTU)]]/1000))*Tableau4[[#This Row],[Nombres appareils installés]]</f>
        <v>3400</v>
      </c>
      <c r="Z127" s="188">
        <f>Tableau4[[#This Row],[AF 3 ($)]]/Tableau4[[#This Row],[Nombres appareils installés]]</f>
        <v>3400</v>
      </c>
      <c r="AA127" s="193">
        <f>Tableau4[[#This Row],[AF 3 par appareil ($)]]/Tableau4[[#This Row],[Surcoût par appareil ($)]]</f>
        <v>0.69566640749682862</v>
      </c>
      <c r="AB127" s="193">
        <f>Tableau4[[#This Row],[Couverture 3 (%)]]*Tableau4[[#This Row],[Nombres appareils installés]]</f>
        <v>0.69566640749682862</v>
      </c>
      <c r="AC127" s="188">
        <f>($AC$4+$AD$4*(Tableau4[[#This Row],[Capacité (BTU)]]/1000))*Tableau4[[#This Row],[Nombres appareils installés]]</f>
        <v>2920</v>
      </c>
      <c r="AD127" s="188">
        <f>Tableau4[[#This Row],[AF 4 ($)]]/Tableau4[[#This Row],[Nombres appareils installés]]</f>
        <v>2920</v>
      </c>
      <c r="AE127" s="194">
        <f>Tableau4[[#This Row],[Couverture 4 (%)]]*Tableau4[[#This Row],[Nombres appareils installés]]</f>
        <v>0.59745467937962926</v>
      </c>
      <c r="AF127" s="193">
        <f>Tableau4[[#This Row],[AF 4 par appareil  ($)]]/Tableau4[[#This Row],[Surcoût par appareil ($)]]</f>
        <v>0.59745467937962926</v>
      </c>
    </row>
    <row r="128" spans="2:32" x14ac:dyDescent="0.3">
      <c r="B128" s="195" t="s">
        <v>235</v>
      </c>
      <c r="C128" s="188" t="s">
        <v>248</v>
      </c>
      <c r="D128" s="188">
        <v>1</v>
      </c>
      <c r="E128" s="188">
        <v>180000</v>
      </c>
      <c r="F128" s="196">
        <f>Tableau4[[#This Row],[Economies totales (m3)]]/Tableau4[[#This Row],[Nombres appareils installés]]</f>
        <v>909</v>
      </c>
      <c r="G128" s="190">
        <v>909</v>
      </c>
      <c r="H128" s="188">
        <f t="shared" si="2"/>
        <v>2487.4</v>
      </c>
      <c r="I128" s="188">
        <v>2400</v>
      </c>
      <c r="J128" s="188">
        <f>Tableau4[[#This Row],[Surcoût moyens de l''équipement ($)]]+Tableau4[[#This Row],[Surcoût moyen de l''installation ($)]]</f>
        <v>4887.3999999999996</v>
      </c>
      <c r="K128" s="188">
        <f>Tableau4[[#This Row],[Surcoût par appareil ($)]]*Tableau4[[#This Row],[Nombres appareils installés]]</f>
        <v>4887.3999999999996</v>
      </c>
      <c r="L128" s="190">
        <v>1700</v>
      </c>
      <c r="M128" s="188">
        <f t="shared" si="3"/>
        <v>1800</v>
      </c>
      <c r="N128" s="188">
        <f>Tableau4[[#This Row],[AF 0 ($)]]/Tableau4[[#This Row],[Nombres appareils installés]]</f>
        <v>1800</v>
      </c>
      <c r="O128" s="191">
        <f>(Tableau4[[#This Row],[AF accordée ($)]])/($J$6*D128)</f>
        <v>0.42463905680171854</v>
      </c>
      <c r="P128" s="191">
        <f>Tableau4[[#This Row],[Couverture 0 (%)]]*Tableau4[[#This Row],[Nombres appareils installés]]</f>
        <v>0.42463905680171854</v>
      </c>
      <c r="Q128" s="188">
        <f>($Q$4+$R$4*(Tableau4[[#This Row],[Capacité (BTU)]]/1000))*Tableau4[[#This Row],[Nombres appareils installés]]</f>
        <v>2900</v>
      </c>
      <c r="R128" s="188">
        <f>Tableau4[[#This Row],[AF 1 ($)]]/Tableau4[[#This Row],[Nombres appareils installés]]</f>
        <v>2900</v>
      </c>
      <c r="S128" s="191">
        <f>Tableau4[[#This Row],[AF 1 ($)]]/(J128*D128)</f>
        <v>0.59336252404141265</v>
      </c>
      <c r="T128" s="191">
        <f>Tableau4[[#This Row],[Couverture 1 (%)]]*Tableau4[[#This Row],[Nombres appareils installés]]</f>
        <v>0.59336252404141265</v>
      </c>
      <c r="U128" s="188">
        <f>($U$4+($V$4*(Tableau4[[#This Row],[Capacité (BTU)]]/1000)))*Tableau4[[#This Row],[Nombres appareils installés]]</f>
        <v>3350</v>
      </c>
      <c r="V128" s="188">
        <f>Tableau4[[#This Row],[AF 2 ($)]]/Tableau4[[#This Row],[Nombres appareils installés]]</f>
        <v>3350</v>
      </c>
      <c r="W128" s="192">
        <f>Tableau4[[#This Row],[AF 2 par appareil ($)]]/Tableau4[[#This Row],[Surcoût par appareil ($)]]</f>
        <v>0.68543601915128705</v>
      </c>
      <c r="X128" s="192">
        <f>Tableau4[[#This Row],[Couverture 2 (%)]]*Tableau4[[#This Row],[Nombres appareils installés]]</f>
        <v>0.68543601915128705</v>
      </c>
      <c r="Y128" s="188">
        <f>($Y$4+$Z$4*(Tableau4[[#This Row],[Capacité (BTU)]]/1000))*Tableau4[[#This Row],[Nombres appareils installés]]</f>
        <v>3400</v>
      </c>
      <c r="Z128" s="188">
        <f>Tableau4[[#This Row],[AF 3 ($)]]/Tableau4[[#This Row],[Nombres appareils installés]]</f>
        <v>3400</v>
      </c>
      <c r="AA128" s="193">
        <f>Tableau4[[#This Row],[AF 3 par appareil ($)]]/Tableau4[[#This Row],[Surcoût par appareil ($)]]</f>
        <v>0.69566640749682862</v>
      </c>
      <c r="AB128" s="193">
        <f>Tableau4[[#This Row],[Couverture 3 (%)]]*Tableau4[[#This Row],[Nombres appareils installés]]</f>
        <v>0.69566640749682862</v>
      </c>
      <c r="AC128" s="188">
        <f>($AC$4+$AD$4*(Tableau4[[#This Row],[Capacité (BTU)]]/1000))*Tableau4[[#This Row],[Nombres appareils installés]]</f>
        <v>2920</v>
      </c>
      <c r="AD128" s="188">
        <f>Tableau4[[#This Row],[AF 4 ($)]]/Tableau4[[#This Row],[Nombres appareils installés]]</f>
        <v>2920</v>
      </c>
      <c r="AE128" s="194">
        <f>Tableau4[[#This Row],[Couverture 4 (%)]]*Tableau4[[#This Row],[Nombres appareils installés]]</f>
        <v>0.59745467937962926</v>
      </c>
      <c r="AF128" s="193">
        <f>Tableau4[[#This Row],[AF 4 par appareil  ($)]]/Tableau4[[#This Row],[Surcoût par appareil ($)]]</f>
        <v>0.59745467937962926</v>
      </c>
    </row>
    <row r="129" spans="2:32" x14ac:dyDescent="0.3">
      <c r="B129" s="195" t="s">
        <v>235</v>
      </c>
      <c r="C129" s="188" t="s">
        <v>249</v>
      </c>
      <c r="D129" s="188">
        <v>2</v>
      </c>
      <c r="E129" s="188">
        <v>180000</v>
      </c>
      <c r="F129" s="196">
        <f>Tableau4[[#This Row],[Economies totales (m3)]]/Tableau4[[#This Row],[Nombres appareils installés]]</f>
        <v>909</v>
      </c>
      <c r="G129" s="190">
        <v>1818</v>
      </c>
      <c r="H129" s="188">
        <f t="shared" si="2"/>
        <v>2487.4</v>
      </c>
      <c r="I129" s="188">
        <v>2400</v>
      </c>
      <c r="J129" s="188">
        <f>Tableau4[[#This Row],[Surcoût moyens de l''équipement ($)]]+Tableau4[[#This Row],[Surcoût moyen de l''installation ($)]]</f>
        <v>4887.3999999999996</v>
      </c>
      <c r="K129" s="188">
        <f>Tableau4[[#This Row],[Surcoût par appareil ($)]]*Tableau4[[#This Row],[Nombres appareils installés]]</f>
        <v>9774.7999999999993</v>
      </c>
      <c r="L129" s="190">
        <v>3400</v>
      </c>
      <c r="M129" s="188">
        <f t="shared" si="3"/>
        <v>3600</v>
      </c>
      <c r="N129" s="188">
        <f>Tableau4[[#This Row],[AF 0 ($)]]/Tableau4[[#This Row],[Nombres appareils installés]]</f>
        <v>1800</v>
      </c>
      <c r="O129" s="191">
        <f>(Tableau4[[#This Row],[AF accordée ($)]])/($J$6*D129)</f>
        <v>0.42463905680171854</v>
      </c>
      <c r="P129" s="191">
        <f>Tableau4[[#This Row],[Couverture 0 (%)]]*Tableau4[[#This Row],[Nombres appareils installés]]</f>
        <v>0.84927811360343708</v>
      </c>
      <c r="Q129" s="188">
        <f>($Q$4+$R$4*(Tableau4[[#This Row],[Capacité (BTU)]]/1000))*Tableau4[[#This Row],[Nombres appareils installés]]</f>
        <v>5800</v>
      </c>
      <c r="R129" s="188">
        <f>Tableau4[[#This Row],[AF 1 ($)]]/Tableau4[[#This Row],[Nombres appareils installés]]</f>
        <v>2900</v>
      </c>
      <c r="S129" s="191">
        <f>Tableau4[[#This Row],[AF 1 ($)]]/(J129*D129)</f>
        <v>0.59336252404141265</v>
      </c>
      <c r="T129" s="191">
        <f>Tableau4[[#This Row],[Couverture 1 (%)]]*Tableau4[[#This Row],[Nombres appareils installés]]</f>
        <v>1.1867250480828253</v>
      </c>
      <c r="U129" s="188">
        <f>($U$4+($V$4*(Tableau4[[#This Row],[Capacité (BTU)]]/1000)))*Tableau4[[#This Row],[Nombres appareils installés]]</f>
        <v>6700</v>
      </c>
      <c r="V129" s="188">
        <f>Tableau4[[#This Row],[AF 2 ($)]]/Tableau4[[#This Row],[Nombres appareils installés]]</f>
        <v>3350</v>
      </c>
      <c r="W129" s="192">
        <f>Tableau4[[#This Row],[AF 2 par appareil ($)]]/Tableau4[[#This Row],[Surcoût par appareil ($)]]</f>
        <v>0.68543601915128705</v>
      </c>
      <c r="X129" s="192">
        <f>Tableau4[[#This Row],[Couverture 2 (%)]]*Tableau4[[#This Row],[Nombres appareils installés]]</f>
        <v>1.3708720383025741</v>
      </c>
      <c r="Y129" s="188">
        <f>($Y$4+$Z$4*(Tableau4[[#This Row],[Capacité (BTU)]]/1000))*Tableau4[[#This Row],[Nombres appareils installés]]</f>
        <v>6800</v>
      </c>
      <c r="Z129" s="188">
        <f>Tableau4[[#This Row],[AF 3 ($)]]/Tableau4[[#This Row],[Nombres appareils installés]]</f>
        <v>3400</v>
      </c>
      <c r="AA129" s="193">
        <f>Tableau4[[#This Row],[AF 3 par appareil ($)]]/Tableau4[[#This Row],[Surcoût par appareil ($)]]</f>
        <v>0.69566640749682862</v>
      </c>
      <c r="AB129" s="193">
        <f>Tableau4[[#This Row],[Couverture 3 (%)]]*Tableau4[[#This Row],[Nombres appareils installés]]</f>
        <v>1.3913328149936572</v>
      </c>
      <c r="AC129" s="188">
        <f>($AC$4+$AD$4*(Tableau4[[#This Row],[Capacité (BTU)]]/1000))*Tableau4[[#This Row],[Nombres appareils installés]]</f>
        <v>5840</v>
      </c>
      <c r="AD129" s="188">
        <f>Tableau4[[#This Row],[AF 4 ($)]]/Tableau4[[#This Row],[Nombres appareils installés]]</f>
        <v>2920</v>
      </c>
      <c r="AE129" s="194">
        <f>Tableau4[[#This Row],[Couverture 4 (%)]]*Tableau4[[#This Row],[Nombres appareils installés]]</f>
        <v>1.1949093587592585</v>
      </c>
      <c r="AF129" s="193">
        <f>Tableau4[[#This Row],[AF 4 par appareil  ($)]]/Tableau4[[#This Row],[Surcoût par appareil ($)]]</f>
        <v>0.59745467937962926</v>
      </c>
    </row>
    <row r="130" spans="2:32" x14ac:dyDescent="0.3">
      <c r="B130" s="195" t="s">
        <v>235</v>
      </c>
      <c r="C130" s="188" t="s">
        <v>168</v>
      </c>
      <c r="D130" s="188">
        <v>6</v>
      </c>
      <c r="E130" s="188">
        <v>180000</v>
      </c>
      <c r="F130" s="196">
        <f>Tableau4[[#This Row],[Economies totales (m3)]]/Tableau4[[#This Row],[Nombres appareils installés]]</f>
        <v>909</v>
      </c>
      <c r="G130" s="190">
        <v>5454</v>
      </c>
      <c r="H130" s="188">
        <f t="shared" si="2"/>
        <v>2487.4</v>
      </c>
      <c r="I130" s="188">
        <v>2400</v>
      </c>
      <c r="J130" s="188">
        <f>Tableau4[[#This Row],[Surcoût moyens de l''équipement ($)]]+Tableau4[[#This Row],[Surcoût moyen de l''installation ($)]]</f>
        <v>4887.3999999999996</v>
      </c>
      <c r="K130" s="188">
        <f>Tableau4[[#This Row],[Surcoût par appareil ($)]]*Tableau4[[#This Row],[Nombres appareils installés]]</f>
        <v>29324.399999999998</v>
      </c>
      <c r="L130" s="190">
        <v>10200</v>
      </c>
      <c r="M130" s="188">
        <f t="shared" si="3"/>
        <v>10800</v>
      </c>
      <c r="N130" s="188">
        <f>Tableau4[[#This Row],[AF 0 ($)]]/Tableau4[[#This Row],[Nombres appareils installés]]</f>
        <v>1800</v>
      </c>
      <c r="O130" s="191">
        <f>(Tableau4[[#This Row],[AF accordée ($)]])/($J$6*D130)</f>
        <v>0.42463905680171854</v>
      </c>
      <c r="P130" s="191">
        <f>Tableau4[[#This Row],[Couverture 0 (%)]]*Tableau4[[#This Row],[Nombres appareils installés]]</f>
        <v>2.5478343408103115</v>
      </c>
      <c r="Q130" s="188">
        <f>($Q$4+$R$4*(Tableau4[[#This Row],[Capacité (BTU)]]/1000))*Tableau4[[#This Row],[Nombres appareils installés]]</f>
        <v>17400</v>
      </c>
      <c r="R130" s="188">
        <f>Tableau4[[#This Row],[AF 1 ($)]]/Tableau4[[#This Row],[Nombres appareils installés]]</f>
        <v>2900</v>
      </c>
      <c r="S130" s="191">
        <f>Tableau4[[#This Row],[AF 1 ($)]]/(J130*D130)</f>
        <v>0.59336252404141265</v>
      </c>
      <c r="T130" s="191">
        <f>Tableau4[[#This Row],[Couverture 1 (%)]]*Tableau4[[#This Row],[Nombres appareils installés]]</f>
        <v>3.5601751442484759</v>
      </c>
      <c r="U130" s="188">
        <f>($U$4+($V$4*(Tableau4[[#This Row],[Capacité (BTU)]]/1000)))*Tableau4[[#This Row],[Nombres appareils installés]]</f>
        <v>20100</v>
      </c>
      <c r="V130" s="188">
        <f>Tableau4[[#This Row],[AF 2 ($)]]/Tableau4[[#This Row],[Nombres appareils installés]]</f>
        <v>3350</v>
      </c>
      <c r="W130" s="192">
        <f>Tableau4[[#This Row],[AF 2 par appareil ($)]]/Tableau4[[#This Row],[Surcoût par appareil ($)]]</f>
        <v>0.68543601915128705</v>
      </c>
      <c r="X130" s="192">
        <f>Tableau4[[#This Row],[Couverture 2 (%)]]*Tableau4[[#This Row],[Nombres appareils installés]]</f>
        <v>4.1126161149077225</v>
      </c>
      <c r="Y130" s="188">
        <f>($Y$4+$Z$4*(Tableau4[[#This Row],[Capacité (BTU)]]/1000))*Tableau4[[#This Row],[Nombres appareils installés]]</f>
        <v>20400</v>
      </c>
      <c r="Z130" s="188">
        <f>Tableau4[[#This Row],[AF 3 ($)]]/Tableau4[[#This Row],[Nombres appareils installés]]</f>
        <v>3400</v>
      </c>
      <c r="AA130" s="193">
        <f>Tableau4[[#This Row],[AF 3 par appareil ($)]]/Tableau4[[#This Row],[Surcoût par appareil ($)]]</f>
        <v>0.69566640749682862</v>
      </c>
      <c r="AB130" s="193">
        <f>Tableau4[[#This Row],[Couverture 3 (%)]]*Tableau4[[#This Row],[Nombres appareils installés]]</f>
        <v>4.1739984449809722</v>
      </c>
      <c r="AC130" s="188">
        <f>($AC$4+$AD$4*(Tableau4[[#This Row],[Capacité (BTU)]]/1000))*Tableau4[[#This Row],[Nombres appareils installés]]</f>
        <v>17520</v>
      </c>
      <c r="AD130" s="188">
        <f>Tableau4[[#This Row],[AF 4 ($)]]/Tableau4[[#This Row],[Nombres appareils installés]]</f>
        <v>2920</v>
      </c>
      <c r="AE130" s="194">
        <f>Tableau4[[#This Row],[Couverture 4 (%)]]*Tableau4[[#This Row],[Nombres appareils installés]]</f>
        <v>3.5847280762777753</v>
      </c>
      <c r="AF130" s="193">
        <f>Tableau4[[#This Row],[AF 4 par appareil  ($)]]/Tableau4[[#This Row],[Surcoût par appareil ($)]]</f>
        <v>0.59745467937962926</v>
      </c>
    </row>
    <row r="131" spans="2:32" x14ac:dyDescent="0.3">
      <c r="B131" s="195" t="s">
        <v>235</v>
      </c>
      <c r="C131" s="188" t="s">
        <v>250</v>
      </c>
      <c r="D131" s="188">
        <v>2</v>
      </c>
      <c r="E131" s="188">
        <v>200000</v>
      </c>
      <c r="F131" s="196">
        <f>Tableau4[[#This Row],[Economies totales (m3)]]/Tableau4[[#This Row],[Nombres appareils installés]]</f>
        <v>1010</v>
      </c>
      <c r="G131" s="190">
        <v>2020</v>
      </c>
      <c r="H131" s="188">
        <f t="shared" si="2"/>
        <v>2713.4</v>
      </c>
      <c r="I131" s="188">
        <v>2400</v>
      </c>
      <c r="J131" s="188">
        <f>Tableau4[[#This Row],[Surcoût moyens de l''équipement ($)]]+Tableau4[[#This Row],[Surcoût moyen de l''installation ($)]]</f>
        <v>5113.3999999999996</v>
      </c>
      <c r="K131" s="188">
        <f>Tableau4[[#This Row],[Surcoût par appareil ($)]]*Tableau4[[#This Row],[Nombres appareils installés]]</f>
        <v>10226.799999999999</v>
      </c>
      <c r="L131" s="190">
        <v>3800</v>
      </c>
      <c r="M131" s="188">
        <f t="shared" si="3"/>
        <v>3800</v>
      </c>
      <c r="N131" s="188">
        <f>Tableau4[[#This Row],[AF 0 ($)]]/Tableau4[[#This Row],[Nombres appareils installés]]</f>
        <v>1900</v>
      </c>
      <c r="O131" s="191">
        <f>(Tableau4[[#This Row],[AF accordée ($)]])/($J$6*D131)</f>
        <v>0.47459659289603834</v>
      </c>
      <c r="P131" s="191">
        <f>Tableau4[[#This Row],[Couverture 0 (%)]]*Tableau4[[#This Row],[Nombres appareils installés]]</f>
        <v>0.94919318579207668</v>
      </c>
      <c r="Q131" s="188">
        <f>($Q$4+$R$4*(Tableau4[[#This Row],[Capacité (BTU)]]/1000))*Tableau4[[#This Row],[Nombres appareils installés]]</f>
        <v>6000</v>
      </c>
      <c r="R131" s="188">
        <f>Tableau4[[#This Row],[AF 1 ($)]]/Tableau4[[#This Row],[Nombres appareils installés]]</f>
        <v>3000</v>
      </c>
      <c r="S131" s="191">
        <f>Tableau4[[#This Row],[AF 1 ($)]]/(J131*D131)</f>
        <v>0.58669378495717139</v>
      </c>
      <c r="T131" s="191">
        <f>Tableau4[[#This Row],[Couverture 1 (%)]]*Tableau4[[#This Row],[Nombres appareils installés]]</f>
        <v>1.1733875699143428</v>
      </c>
      <c r="U131" s="188">
        <f>($U$4+($V$4*(Tableau4[[#This Row],[Capacité (BTU)]]/1000)))*Tableau4[[#This Row],[Nombres appareils installés]]</f>
        <v>7000</v>
      </c>
      <c r="V131" s="188">
        <f>Tableau4[[#This Row],[AF 2 ($)]]/Tableau4[[#This Row],[Nombres appareils installés]]</f>
        <v>3500</v>
      </c>
      <c r="W131" s="192">
        <f>Tableau4[[#This Row],[AF 2 par appareil ($)]]/Tableau4[[#This Row],[Surcoût par appareil ($)]]</f>
        <v>0.68447608245003333</v>
      </c>
      <c r="X131" s="192">
        <f>Tableau4[[#This Row],[Couverture 2 (%)]]*Tableau4[[#This Row],[Nombres appareils installés]]</f>
        <v>1.3689521649000667</v>
      </c>
      <c r="Y131" s="188">
        <f>($Y$4+$Z$4*(Tableau4[[#This Row],[Capacité (BTU)]]/1000))*Tableau4[[#This Row],[Nombres appareils installés]]</f>
        <v>7000</v>
      </c>
      <c r="Z131" s="188">
        <f>Tableau4[[#This Row],[AF 3 ($)]]/Tableau4[[#This Row],[Nombres appareils installés]]</f>
        <v>3500</v>
      </c>
      <c r="AA131" s="193">
        <f>Tableau4[[#This Row],[AF 3 par appareil ($)]]/Tableau4[[#This Row],[Surcoût par appareil ($)]]</f>
        <v>0.68447608245003333</v>
      </c>
      <c r="AB131" s="193">
        <f>Tableau4[[#This Row],[Couverture 3 (%)]]*Tableau4[[#This Row],[Nombres appareils installés]]</f>
        <v>1.3689521649000667</v>
      </c>
      <c r="AC131" s="188">
        <f>($AC$4+$AD$4*(Tableau4[[#This Row],[Capacité (BTU)]]/1000))*Tableau4[[#This Row],[Nombres appareils installés]]</f>
        <v>6000</v>
      </c>
      <c r="AD131" s="188">
        <f>Tableau4[[#This Row],[AF 4 ($)]]/Tableau4[[#This Row],[Nombres appareils installés]]</f>
        <v>3000</v>
      </c>
      <c r="AE131" s="194">
        <f>Tableau4[[#This Row],[Couverture 4 (%)]]*Tableau4[[#This Row],[Nombres appareils installés]]</f>
        <v>1.1733875699143428</v>
      </c>
      <c r="AF131" s="193">
        <f>Tableau4[[#This Row],[AF 4 par appareil  ($)]]/Tableau4[[#This Row],[Surcoût par appareil ($)]]</f>
        <v>0.58669378495717139</v>
      </c>
    </row>
    <row r="132" spans="2:32" x14ac:dyDescent="0.3">
      <c r="B132" s="195" t="s">
        <v>235</v>
      </c>
      <c r="C132" s="188" t="s">
        <v>251</v>
      </c>
      <c r="D132" s="188">
        <v>4</v>
      </c>
      <c r="E132" s="188">
        <v>200000</v>
      </c>
      <c r="F132" s="196">
        <f>Tableau4[[#This Row],[Economies totales (m3)]]/Tableau4[[#This Row],[Nombres appareils installés]]</f>
        <v>1010</v>
      </c>
      <c r="G132" s="190">
        <v>4040</v>
      </c>
      <c r="H132" s="188">
        <f t="shared" si="2"/>
        <v>2713.4</v>
      </c>
      <c r="I132" s="188">
        <v>2400</v>
      </c>
      <c r="J132" s="188">
        <f>Tableau4[[#This Row],[Surcoût moyens de l''équipement ($)]]+Tableau4[[#This Row],[Surcoût moyen de l''installation ($)]]</f>
        <v>5113.3999999999996</v>
      </c>
      <c r="K132" s="188">
        <f>Tableau4[[#This Row],[Surcoût par appareil ($)]]*Tableau4[[#This Row],[Nombres appareils installés]]</f>
        <v>20453.599999999999</v>
      </c>
      <c r="L132" s="190">
        <v>6800</v>
      </c>
      <c r="M132" s="188">
        <f t="shared" si="3"/>
        <v>7600</v>
      </c>
      <c r="N132" s="188">
        <f>Tableau4[[#This Row],[AF 0 ($)]]/Tableau4[[#This Row],[Nombres appareils installés]]</f>
        <v>1900</v>
      </c>
      <c r="O132" s="191">
        <f>(Tableau4[[#This Row],[AF accordée ($)]])/($J$6*D132)</f>
        <v>0.42463905680171854</v>
      </c>
      <c r="P132" s="191">
        <f>Tableau4[[#This Row],[Couverture 0 (%)]]*Tableau4[[#This Row],[Nombres appareils installés]]</f>
        <v>1.6985562272068742</v>
      </c>
      <c r="Q132" s="188">
        <f>($Q$4+$R$4*(Tableau4[[#This Row],[Capacité (BTU)]]/1000))*Tableau4[[#This Row],[Nombres appareils installés]]</f>
        <v>12000</v>
      </c>
      <c r="R132" s="188">
        <f>Tableau4[[#This Row],[AF 1 ($)]]/Tableau4[[#This Row],[Nombres appareils installés]]</f>
        <v>3000</v>
      </c>
      <c r="S132" s="191">
        <f>Tableau4[[#This Row],[AF 1 ($)]]/(J132*D132)</f>
        <v>0.58669378495717139</v>
      </c>
      <c r="T132" s="191">
        <f>Tableau4[[#This Row],[Couverture 1 (%)]]*Tableau4[[#This Row],[Nombres appareils installés]]</f>
        <v>2.3467751398286856</v>
      </c>
      <c r="U132" s="188">
        <f>($U$4+($V$4*(Tableau4[[#This Row],[Capacité (BTU)]]/1000)))*Tableau4[[#This Row],[Nombres appareils installés]]</f>
        <v>14000</v>
      </c>
      <c r="V132" s="188">
        <f>Tableau4[[#This Row],[AF 2 ($)]]/Tableau4[[#This Row],[Nombres appareils installés]]</f>
        <v>3500</v>
      </c>
      <c r="W132" s="192">
        <f>Tableau4[[#This Row],[AF 2 par appareil ($)]]/Tableau4[[#This Row],[Surcoût par appareil ($)]]</f>
        <v>0.68447608245003333</v>
      </c>
      <c r="X132" s="192">
        <f>Tableau4[[#This Row],[Couverture 2 (%)]]*Tableau4[[#This Row],[Nombres appareils installés]]</f>
        <v>2.7379043298001333</v>
      </c>
      <c r="Y132" s="188">
        <f>($Y$4+$Z$4*(Tableau4[[#This Row],[Capacité (BTU)]]/1000))*Tableau4[[#This Row],[Nombres appareils installés]]</f>
        <v>14000</v>
      </c>
      <c r="Z132" s="188">
        <f>Tableau4[[#This Row],[AF 3 ($)]]/Tableau4[[#This Row],[Nombres appareils installés]]</f>
        <v>3500</v>
      </c>
      <c r="AA132" s="193">
        <f>Tableau4[[#This Row],[AF 3 par appareil ($)]]/Tableau4[[#This Row],[Surcoût par appareil ($)]]</f>
        <v>0.68447608245003333</v>
      </c>
      <c r="AB132" s="193">
        <f>Tableau4[[#This Row],[Couverture 3 (%)]]*Tableau4[[#This Row],[Nombres appareils installés]]</f>
        <v>2.7379043298001333</v>
      </c>
      <c r="AC132" s="188">
        <f>($AC$4+$AD$4*(Tableau4[[#This Row],[Capacité (BTU)]]/1000))*Tableau4[[#This Row],[Nombres appareils installés]]</f>
        <v>12000</v>
      </c>
      <c r="AD132" s="188">
        <f>Tableau4[[#This Row],[AF 4 ($)]]/Tableau4[[#This Row],[Nombres appareils installés]]</f>
        <v>3000</v>
      </c>
      <c r="AE132" s="194">
        <f>Tableau4[[#This Row],[Couverture 4 (%)]]*Tableau4[[#This Row],[Nombres appareils installés]]</f>
        <v>2.3467751398286856</v>
      </c>
      <c r="AF132" s="193">
        <f>Tableau4[[#This Row],[AF 4 par appareil  ($)]]/Tableau4[[#This Row],[Surcoût par appareil ($)]]</f>
        <v>0.58669378495717139</v>
      </c>
    </row>
    <row r="133" spans="2:32" x14ac:dyDescent="0.3">
      <c r="B133" s="195" t="s">
        <v>235</v>
      </c>
      <c r="C133" s="188" t="s">
        <v>243</v>
      </c>
      <c r="D133" s="188">
        <v>1</v>
      </c>
      <c r="E133" s="188">
        <v>215000</v>
      </c>
      <c r="F133" s="196">
        <f>Tableau4[[#This Row],[Economies totales (m3)]]/Tableau4[[#This Row],[Nombres appareils installés]]</f>
        <v>1085.75</v>
      </c>
      <c r="G133" s="190">
        <v>1085.75</v>
      </c>
      <c r="H133" s="188">
        <f t="shared" si="2"/>
        <v>2898.6499999999996</v>
      </c>
      <c r="I133" s="188">
        <v>2400</v>
      </c>
      <c r="J133" s="188">
        <f>Tableau4[[#This Row],[Surcoût moyens de l''équipement ($)]]+Tableau4[[#This Row],[Surcoût moyen de l''installation ($)]]</f>
        <v>5298.65</v>
      </c>
      <c r="K133" s="188">
        <f>Tableau4[[#This Row],[Surcoût par appareil ($)]]*Tableau4[[#This Row],[Nombres appareils installés]]</f>
        <v>5298.65</v>
      </c>
      <c r="L133" s="190">
        <v>1700</v>
      </c>
      <c r="M133" s="188">
        <f t="shared" si="3"/>
        <v>1975</v>
      </c>
      <c r="N133" s="188">
        <f>Tableau4[[#This Row],[AF 0 ($)]]/Tableau4[[#This Row],[Nombres appareils installés]]</f>
        <v>1975</v>
      </c>
      <c r="O133" s="191">
        <f>(Tableau4[[#This Row],[AF accordée ($)]])/($J$6*D133)</f>
        <v>0.42463905680171854</v>
      </c>
      <c r="P133" s="191">
        <f>Tableau4[[#This Row],[Couverture 0 (%)]]*Tableau4[[#This Row],[Nombres appareils installés]]</f>
        <v>0.42463905680171854</v>
      </c>
      <c r="Q133" s="188">
        <f>($Q$4+$R$4*(Tableau4[[#This Row],[Capacité (BTU)]]/1000))*Tableau4[[#This Row],[Nombres appareils installés]]</f>
        <v>3075</v>
      </c>
      <c r="R133" s="188">
        <f>Tableau4[[#This Row],[AF 1 ($)]]/Tableau4[[#This Row],[Nombres appareils installés]]</f>
        <v>3075</v>
      </c>
      <c r="S133" s="191">
        <f>Tableau4[[#This Row],[AF 1 ($)]]/(J133*D133)</f>
        <v>0.58033650080680932</v>
      </c>
      <c r="T133" s="191">
        <f>Tableau4[[#This Row],[Couverture 1 (%)]]*Tableau4[[#This Row],[Nombres appareils installés]]</f>
        <v>0.58033650080680932</v>
      </c>
      <c r="U133" s="188">
        <f>($U$4+($V$4*(Tableau4[[#This Row],[Capacité (BTU)]]/1000)))*Tableau4[[#This Row],[Nombres appareils installés]]</f>
        <v>3612.5</v>
      </c>
      <c r="V133" s="188">
        <f>Tableau4[[#This Row],[AF 2 ($)]]/Tableau4[[#This Row],[Nombres appareils installés]]</f>
        <v>3612.5</v>
      </c>
      <c r="W133" s="192">
        <f>Tableau4[[#This Row],[AF 2 par appareil ($)]]/Tableau4[[#This Row],[Surcoût par appareil ($)]]</f>
        <v>0.68177743387466627</v>
      </c>
      <c r="X133" s="192">
        <f>Tableau4[[#This Row],[Couverture 2 (%)]]*Tableau4[[#This Row],[Nombres appareils installés]]</f>
        <v>0.68177743387466627</v>
      </c>
      <c r="Y133" s="188">
        <f>($Y$4+$Z$4*(Tableau4[[#This Row],[Capacité (BTU)]]/1000))*Tableau4[[#This Row],[Nombres appareils installés]]</f>
        <v>3575</v>
      </c>
      <c r="Z133" s="188">
        <f>Tableau4[[#This Row],[AF 3 ($)]]/Tableau4[[#This Row],[Nombres appareils installés]]</f>
        <v>3575</v>
      </c>
      <c r="AA133" s="193">
        <f>Tableau4[[#This Row],[AF 3 par appareil ($)]]/Tableau4[[#This Row],[Surcoût par appareil ($)]]</f>
        <v>0.67470015947458317</v>
      </c>
      <c r="AB133" s="193">
        <f>Tableau4[[#This Row],[Couverture 3 (%)]]*Tableau4[[#This Row],[Nombres appareils installés]]</f>
        <v>0.67470015947458317</v>
      </c>
      <c r="AC133" s="188">
        <f>($AC$4+$AD$4*(Tableau4[[#This Row],[Capacité (BTU)]]/1000))*Tableau4[[#This Row],[Nombres appareils installés]]</f>
        <v>3060</v>
      </c>
      <c r="AD133" s="188">
        <f>Tableau4[[#This Row],[AF 4 ($)]]/Tableau4[[#This Row],[Nombres appareils installés]]</f>
        <v>3060</v>
      </c>
      <c r="AE133" s="194">
        <f>Tableau4[[#This Row],[Couverture 4 (%)]]*Tableau4[[#This Row],[Nombres appareils installés]]</f>
        <v>0.57750559104677612</v>
      </c>
      <c r="AF133" s="193">
        <f>Tableau4[[#This Row],[AF 4 par appareil  ($)]]/Tableau4[[#This Row],[Surcoût par appareil ($)]]</f>
        <v>0.57750559104677612</v>
      </c>
    </row>
    <row r="134" spans="2:32" x14ac:dyDescent="0.3">
      <c r="B134" s="195" t="s">
        <v>235</v>
      </c>
      <c r="C134" s="188" t="s">
        <v>252</v>
      </c>
      <c r="D134" s="188">
        <v>10</v>
      </c>
      <c r="E134" s="188">
        <v>215000</v>
      </c>
      <c r="F134" s="196">
        <f>Tableau4[[#This Row],[Economies totales (m3)]]/Tableau4[[#This Row],[Nombres appareils installés]]</f>
        <v>1085.75</v>
      </c>
      <c r="G134" s="190">
        <v>10857.5</v>
      </c>
      <c r="H134" s="188">
        <f t="shared" ref="H134:H187" si="4">(0.00000003*E134^2 - 0.0001*E134 + 1533.4)</f>
        <v>2898.6499999999996</v>
      </c>
      <c r="I134" s="188">
        <v>2400</v>
      </c>
      <c r="J134" s="188">
        <f>Tableau4[[#This Row],[Surcoût moyens de l''équipement ($)]]+Tableau4[[#This Row],[Surcoût moyen de l''installation ($)]]</f>
        <v>5298.65</v>
      </c>
      <c r="K134" s="188">
        <f>Tableau4[[#This Row],[Surcoût par appareil ($)]]*Tableau4[[#This Row],[Nombres appareils installés]]</f>
        <v>52986.5</v>
      </c>
      <c r="L134" s="190">
        <v>17000</v>
      </c>
      <c r="M134" s="188">
        <f t="shared" ref="M134:M187" si="5">($M$4+$N$4*(E134/1000))*D134</f>
        <v>19750</v>
      </c>
      <c r="N134" s="188">
        <f>Tableau4[[#This Row],[AF 0 ($)]]/Tableau4[[#This Row],[Nombres appareils installés]]</f>
        <v>1975</v>
      </c>
      <c r="O134" s="191">
        <f>(Tableau4[[#This Row],[AF accordée ($)]])/($J$6*D134)</f>
        <v>0.42463905680171854</v>
      </c>
      <c r="P134" s="191">
        <f>Tableau4[[#This Row],[Couverture 0 (%)]]*Tableau4[[#This Row],[Nombres appareils installés]]</f>
        <v>4.2463905680171852</v>
      </c>
      <c r="Q134" s="188">
        <f>($Q$4+$R$4*(Tableau4[[#This Row],[Capacité (BTU)]]/1000))*Tableau4[[#This Row],[Nombres appareils installés]]</f>
        <v>30750</v>
      </c>
      <c r="R134" s="188">
        <f>Tableau4[[#This Row],[AF 1 ($)]]/Tableau4[[#This Row],[Nombres appareils installés]]</f>
        <v>3075</v>
      </c>
      <c r="S134" s="191">
        <f>Tableau4[[#This Row],[AF 1 ($)]]/(J134*D134)</f>
        <v>0.58033650080680932</v>
      </c>
      <c r="T134" s="191">
        <f>Tableau4[[#This Row],[Couverture 1 (%)]]*Tableau4[[#This Row],[Nombres appareils installés]]</f>
        <v>5.8033650080680932</v>
      </c>
      <c r="U134" s="188">
        <f>($U$4+($V$4*(Tableau4[[#This Row],[Capacité (BTU)]]/1000)))*Tableau4[[#This Row],[Nombres appareils installés]]</f>
        <v>36125</v>
      </c>
      <c r="V134" s="188">
        <f>Tableau4[[#This Row],[AF 2 ($)]]/Tableau4[[#This Row],[Nombres appareils installés]]</f>
        <v>3612.5</v>
      </c>
      <c r="W134" s="192">
        <f>Tableau4[[#This Row],[AF 2 par appareil ($)]]/Tableau4[[#This Row],[Surcoût par appareil ($)]]</f>
        <v>0.68177743387466627</v>
      </c>
      <c r="X134" s="192">
        <f>Tableau4[[#This Row],[Couverture 2 (%)]]*Tableau4[[#This Row],[Nombres appareils installés]]</f>
        <v>6.8177743387466627</v>
      </c>
      <c r="Y134" s="188">
        <f>($Y$4+$Z$4*(Tableau4[[#This Row],[Capacité (BTU)]]/1000))*Tableau4[[#This Row],[Nombres appareils installés]]</f>
        <v>35750</v>
      </c>
      <c r="Z134" s="188">
        <f>Tableau4[[#This Row],[AF 3 ($)]]/Tableau4[[#This Row],[Nombres appareils installés]]</f>
        <v>3575</v>
      </c>
      <c r="AA134" s="193">
        <f>Tableau4[[#This Row],[AF 3 par appareil ($)]]/Tableau4[[#This Row],[Surcoût par appareil ($)]]</f>
        <v>0.67470015947458317</v>
      </c>
      <c r="AB134" s="193">
        <f>Tableau4[[#This Row],[Couverture 3 (%)]]*Tableau4[[#This Row],[Nombres appareils installés]]</f>
        <v>6.7470015947458322</v>
      </c>
      <c r="AC134" s="188">
        <f>($AC$4+$AD$4*(Tableau4[[#This Row],[Capacité (BTU)]]/1000))*Tableau4[[#This Row],[Nombres appareils installés]]</f>
        <v>30600</v>
      </c>
      <c r="AD134" s="188">
        <f>Tableau4[[#This Row],[AF 4 ($)]]/Tableau4[[#This Row],[Nombres appareils installés]]</f>
        <v>3060</v>
      </c>
      <c r="AE134" s="194">
        <f>Tableau4[[#This Row],[Couverture 4 (%)]]*Tableau4[[#This Row],[Nombres appareils installés]]</f>
        <v>5.7750559104677617</v>
      </c>
      <c r="AF134" s="193">
        <f>Tableau4[[#This Row],[AF 4 par appareil  ($)]]/Tableau4[[#This Row],[Surcoût par appareil ($)]]</f>
        <v>0.57750559104677612</v>
      </c>
    </row>
    <row r="135" spans="2:32" x14ac:dyDescent="0.3">
      <c r="B135" s="195" t="s">
        <v>235</v>
      </c>
      <c r="C135" s="188" t="s">
        <v>243</v>
      </c>
      <c r="D135" s="188">
        <v>1</v>
      </c>
      <c r="E135" s="188">
        <v>260000</v>
      </c>
      <c r="F135" s="196">
        <f>Tableau4[[#This Row],[Economies totales (m3)]]/Tableau4[[#This Row],[Nombres appareils installés]]</f>
        <v>1313</v>
      </c>
      <c r="G135" s="190">
        <v>1313</v>
      </c>
      <c r="H135" s="188">
        <f t="shared" si="4"/>
        <v>3535.3999999999996</v>
      </c>
      <c r="I135" s="188">
        <v>2400</v>
      </c>
      <c r="J135" s="188">
        <f>Tableau4[[#This Row],[Surcoût moyens de l''équipement ($)]]+Tableau4[[#This Row],[Surcoût moyen de l''installation ($)]]</f>
        <v>5935.4</v>
      </c>
      <c r="K135" s="188">
        <f>Tableau4[[#This Row],[Surcoût par appareil ($)]]*Tableau4[[#This Row],[Nombres appareils installés]]</f>
        <v>5935.4</v>
      </c>
      <c r="L135" s="190">
        <v>1700</v>
      </c>
      <c r="M135" s="188">
        <f t="shared" si="5"/>
        <v>2200</v>
      </c>
      <c r="N135" s="188">
        <f>Tableau4[[#This Row],[AF 0 ($)]]/Tableau4[[#This Row],[Nombres appareils installés]]</f>
        <v>2200</v>
      </c>
      <c r="O135" s="191">
        <f>(Tableau4[[#This Row],[AF accordée ($)]])/($J$6*D135)</f>
        <v>0.42463905680171854</v>
      </c>
      <c r="P135" s="191">
        <f>Tableau4[[#This Row],[Couverture 0 (%)]]*Tableau4[[#This Row],[Nombres appareils installés]]</f>
        <v>0.42463905680171854</v>
      </c>
      <c r="Q135" s="188">
        <f>($Q$4+$R$4*(Tableau4[[#This Row],[Capacité (BTU)]]/1000))*Tableau4[[#This Row],[Nombres appareils installés]]</f>
        <v>3300</v>
      </c>
      <c r="R135" s="188">
        <f>Tableau4[[#This Row],[AF 1 ($)]]/Tableau4[[#This Row],[Nombres appareils installés]]</f>
        <v>3300</v>
      </c>
      <c r="S135" s="191">
        <f>Tableau4[[#This Row],[AF 1 ($)]]/(J135*D135)</f>
        <v>0.55598611719513436</v>
      </c>
      <c r="T135" s="191">
        <f>Tableau4[[#This Row],[Couverture 1 (%)]]*Tableau4[[#This Row],[Nombres appareils installés]]</f>
        <v>0.55598611719513436</v>
      </c>
      <c r="U135" s="188">
        <f>($U$4+($V$4*(Tableau4[[#This Row],[Capacité (BTU)]]/1000)))*Tableau4[[#This Row],[Nombres appareils installés]]</f>
        <v>3950</v>
      </c>
      <c r="V135" s="188">
        <f>Tableau4[[#This Row],[AF 2 ($)]]/Tableau4[[#This Row],[Nombres appareils installés]]</f>
        <v>3950</v>
      </c>
      <c r="W135" s="192">
        <f>Tableau4[[#This Row],[AF 2 par appareil ($)]]/Tableau4[[#This Row],[Surcoût par appareil ($)]]</f>
        <v>0.66549853421841831</v>
      </c>
      <c r="X135" s="192">
        <f>Tableau4[[#This Row],[Couverture 2 (%)]]*Tableau4[[#This Row],[Nombres appareils installés]]</f>
        <v>0.66549853421841831</v>
      </c>
      <c r="Y135" s="188">
        <f>($Y$4+$Z$4*(Tableau4[[#This Row],[Capacité (BTU)]]/1000))*Tableau4[[#This Row],[Nombres appareils installés]]</f>
        <v>3800</v>
      </c>
      <c r="Z135" s="188">
        <f>Tableau4[[#This Row],[AF 3 ($)]]/Tableau4[[#This Row],[Nombres appareils installés]]</f>
        <v>3800</v>
      </c>
      <c r="AA135" s="193">
        <f>Tableau4[[#This Row],[AF 3 par appareil ($)]]/Tableau4[[#This Row],[Surcoût par appareil ($)]]</f>
        <v>0.64022643798227585</v>
      </c>
      <c r="AB135" s="193">
        <f>Tableau4[[#This Row],[Couverture 3 (%)]]*Tableau4[[#This Row],[Nombres appareils installés]]</f>
        <v>0.64022643798227585</v>
      </c>
      <c r="AC135" s="188">
        <f>($AC$4+$AD$4*(Tableau4[[#This Row],[Capacité (BTU)]]/1000))*Tableau4[[#This Row],[Nombres appareils installés]]</f>
        <v>3240</v>
      </c>
      <c r="AD135" s="188">
        <f>Tableau4[[#This Row],[AF 4 ($)]]/Tableau4[[#This Row],[Nombres appareils installés]]</f>
        <v>3240</v>
      </c>
      <c r="AE135" s="194">
        <f>Tableau4[[#This Row],[Couverture 4 (%)]]*Tableau4[[#This Row],[Nombres appareils installés]]</f>
        <v>0.54587727870067737</v>
      </c>
      <c r="AF135" s="193">
        <f>Tableau4[[#This Row],[AF 4 par appareil  ($)]]/Tableau4[[#This Row],[Surcoût par appareil ($)]]</f>
        <v>0.54587727870067737</v>
      </c>
    </row>
    <row r="136" spans="2:32" x14ac:dyDescent="0.3">
      <c r="B136" s="195" t="s">
        <v>235</v>
      </c>
      <c r="C136" s="188" t="s">
        <v>253</v>
      </c>
      <c r="D136" s="188">
        <v>1</v>
      </c>
      <c r="E136" s="188">
        <v>260000</v>
      </c>
      <c r="F136" s="196">
        <f>Tableau4[[#This Row],[Economies totales (m3)]]/Tableau4[[#This Row],[Nombres appareils installés]]</f>
        <v>1313</v>
      </c>
      <c r="G136" s="190">
        <v>1313</v>
      </c>
      <c r="H136" s="188">
        <f t="shared" si="4"/>
        <v>3535.3999999999996</v>
      </c>
      <c r="I136" s="188">
        <v>2400</v>
      </c>
      <c r="J136" s="188">
        <f>Tableau4[[#This Row],[Surcoût moyens de l''équipement ($)]]+Tableau4[[#This Row],[Surcoût moyen de l''installation ($)]]</f>
        <v>5935.4</v>
      </c>
      <c r="K136" s="188">
        <f>Tableau4[[#This Row],[Surcoût par appareil ($)]]*Tableau4[[#This Row],[Nombres appareils installés]]</f>
        <v>5935.4</v>
      </c>
      <c r="L136" s="190">
        <v>1700</v>
      </c>
      <c r="M136" s="188">
        <f t="shared" si="5"/>
        <v>2200</v>
      </c>
      <c r="N136" s="188">
        <f>Tableau4[[#This Row],[AF 0 ($)]]/Tableau4[[#This Row],[Nombres appareils installés]]</f>
        <v>2200</v>
      </c>
      <c r="O136" s="191">
        <f>(Tableau4[[#This Row],[AF accordée ($)]])/($J$6*D136)</f>
        <v>0.42463905680171854</v>
      </c>
      <c r="P136" s="191">
        <f>Tableau4[[#This Row],[Couverture 0 (%)]]*Tableau4[[#This Row],[Nombres appareils installés]]</f>
        <v>0.42463905680171854</v>
      </c>
      <c r="Q136" s="188">
        <f>($Q$4+$R$4*(Tableau4[[#This Row],[Capacité (BTU)]]/1000))*Tableau4[[#This Row],[Nombres appareils installés]]</f>
        <v>3300</v>
      </c>
      <c r="R136" s="188">
        <f>Tableau4[[#This Row],[AF 1 ($)]]/Tableau4[[#This Row],[Nombres appareils installés]]</f>
        <v>3300</v>
      </c>
      <c r="S136" s="191">
        <f>Tableau4[[#This Row],[AF 1 ($)]]/(J136*D136)</f>
        <v>0.55598611719513436</v>
      </c>
      <c r="T136" s="191">
        <f>Tableau4[[#This Row],[Couverture 1 (%)]]*Tableau4[[#This Row],[Nombres appareils installés]]</f>
        <v>0.55598611719513436</v>
      </c>
      <c r="U136" s="188">
        <f>($U$4+($V$4*(Tableau4[[#This Row],[Capacité (BTU)]]/1000)))*Tableau4[[#This Row],[Nombres appareils installés]]</f>
        <v>3950</v>
      </c>
      <c r="V136" s="188">
        <f>Tableau4[[#This Row],[AF 2 ($)]]/Tableau4[[#This Row],[Nombres appareils installés]]</f>
        <v>3950</v>
      </c>
      <c r="W136" s="192">
        <f>Tableau4[[#This Row],[AF 2 par appareil ($)]]/Tableau4[[#This Row],[Surcoût par appareil ($)]]</f>
        <v>0.66549853421841831</v>
      </c>
      <c r="X136" s="192">
        <f>Tableau4[[#This Row],[Couverture 2 (%)]]*Tableau4[[#This Row],[Nombres appareils installés]]</f>
        <v>0.66549853421841831</v>
      </c>
      <c r="Y136" s="188">
        <f>($Y$4+$Z$4*(Tableau4[[#This Row],[Capacité (BTU)]]/1000))*Tableau4[[#This Row],[Nombres appareils installés]]</f>
        <v>3800</v>
      </c>
      <c r="Z136" s="188">
        <f>Tableau4[[#This Row],[AF 3 ($)]]/Tableau4[[#This Row],[Nombres appareils installés]]</f>
        <v>3800</v>
      </c>
      <c r="AA136" s="193">
        <f>Tableau4[[#This Row],[AF 3 par appareil ($)]]/Tableau4[[#This Row],[Surcoût par appareil ($)]]</f>
        <v>0.64022643798227585</v>
      </c>
      <c r="AB136" s="193">
        <f>Tableau4[[#This Row],[Couverture 3 (%)]]*Tableau4[[#This Row],[Nombres appareils installés]]</f>
        <v>0.64022643798227585</v>
      </c>
      <c r="AC136" s="188">
        <f>($AC$4+$AD$4*(Tableau4[[#This Row],[Capacité (BTU)]]/1000))*Tableau4[[#This Row],[Nombres appareils installés]]</f>
        <v>3240</v>
      </c>
      <c r="AD136" s="188">
        <f>Tableau4[[#This Row],[AF 4 ($)]]/Tableau4[[#This Row],[Nombres appareils installés]]</f>
        <v>3240</v>
      </c>
      <c r="AE136" s="194">
        <f>Tableau4[[#This Row],[Couverture 4 (%)]]*Tableau4[[#This Row],[Nombres appareils installés]]</f>
        <v>0.54587727870067737</v>
      </c>
      <c r="AF136" s="193">
        <f>Tableau4[[#This Row],[AF 4 par appareil  ($)]]/Tableau4[[#This Row],[Surcoût par appareil ($)]]</f>
        <v>0.54587727870067737</v>
      </c>
    </row>
    <row r="137" spans="2:32" x14ac:dyDescent="0.3">
      <c r="B137" s="195" t="s">
        <v>235</v>
      </c>
      <c r="C137" s="188" t="s">
        <v>254</v>
      </c>
      <c r="D137" s="188">
        <v>1</v>
      </c>
      <c r="E137" s="188">
        <v>260000</v>
      </c>
      <c r="F137" s="196">
        <f>Tableau4[[#This Row],[Economies totales (m3)]]/Tableau4[[#This Row],[Nombres appareils installés]]</f>
        <v>1313</v>
      </c>
      <c r="G137" s="190">
        <v>1313</v>
      </c>
      <c r="H137" s="188">
        <f t="shared" si="4"/>
        <v>3535.3999999999996</v>
      </c>
      <c r="I137" s="188">
        <v>2400</v>
      </c>
      <c r="J137" s="188">
        <f>Tableau4[[#This Row],[Surcoût moyens de l''équipement ($)]]+Tableau4[[#This Row],[Surcoût moyen de l''installation ($)]]</f>
        <v>5935.4</v>
      </c>
      <c r="K137" s="188">
        <f>Tableau4[[#This Row],[Surcoût par appareil ($)]]*Tableau4[[#This Row],[Nombres appareils installés]]</f>
        <v>5935.4</v>
      </c>
      <c r="L137" s="190">
        <v>1700</v>
      </c>
      <c r="M137" s="188">
        <f t="shared" si="5"/>
        <v>2200</v>
      </c>
      <c r="N137" s="188">
        <f>Tableau4[[#This Row],[AF 0 ($)]]/Tableau4[[#This Row],[Nombres appareils installés]]</f>
        <v>2200</v>
      </c>
      <c r="O137" s="191">
        <f>(Tableau4[[#This Row],[AF accordée ($)]])/($J$6*D137)</f>
        <v>0.42463905680171854</v>
      </c>
      <c r="P137" s="191">
        <f>Tableau4[[#This Row],[Couverture 0 (%)]]*Tableau4[[#This Row],[Nombres appareils installés]]</f>
        <v>0.42463905680171854</v>
      </c>
      <c r="Q137" s="188">
        <f>($Q$4+$R$4*(Tableau4[[#This Row],[Capacité (BTU)]]/1000))*Tableau4[[#This Row],[Nombres appareils installés]]</f>
        <v>3300</v>
      </c>
      <c r="R137" s="188">
        <f>Tableau4[[#This Row],[AF 1 ($)]]/Tableau4[[#This Row],[Nombres appareils installés]]</f>
        <v>3300</v>
      </c>
      <c r="S137" s="191">
        <f>Tableau4[[#This Row],[AF 1 ($)]]/(J137*D137)</f>
        <v>0.55598611719513436</v>
      </c>
      <c r="T137" s="191">
        <f>Tableau4[[#This Row],[Couverture 1 (%)]]*Tableau4[[#This Row],[Nombres appareils installés]]</f>
        <v>0.55598611719513436</v>
      </c>
      <c r="U137" s="188">
        <f>($U$4+($V$4*(Tableau4[[#This Row],[Capacité (BTU)]]/1000)))*Tableau4[[#This Row],[Nombres appareils installés]]</f>
        <v>3950</v>
      </c>
      <c r="V137" s="188">
        <f>Tableau4[[#This Row],[AF 2 ($)]]/Tableau4[[#This Row],[Nombres appareils installés]]</f>
        <v>3950</v>
      </c>
      <c r="W137" s="192">
        <f>Tableau4[[#This Row],[AF 2 par appareil ($)]]/Tableau4[[#This Row],[Surcoût par appareil ($)]]</f>
        <v>0.66549853421841831</v>
      </c>
      <c r="X137" s="192">
        <f>Tableau4[[#This Row],[Couverture 2 (%)]]*Tableau4[[#This Row],[Nombres appareils installés]]</f>
        <v>0.66549853421841831</v>
      </c>
      <c r="Y137" s="188">
        <f>($Y$4+$Z$4*(Tableau4[[#This Row],[Capacité (BTU)]]/1000))*Tableau4[[#This Row],[Nombres appareils installés]]</f>
        <v>3800</v>
      </c>
      <c r="Z137" s="188">
        <f>Tableau4[[#This Row],[AF 3 ($)]]/Tableau4[[#This Row],[Nombres appareils installés]]</f>
        <v>3800</v>
      </c>
      <c r="AA137" s="193">
        <f>Tableau4[[#This Row],[AF 3 par appareil ($)]]/Tableau4[[#This Row],[Surcoût par appareil ($)]]</f>
        <v>0.64022643798227585</v>
      </c>
      <c r="AB137" s="193">
        <f>Tableau4[[#This Row],[Couverture 3 (%)]]*Tableau4[[#This Row],[Nombres appareils installés]]</f>
        <v>0.64022643798227585</v>
      </c>
      <c r="AC137" s="188">
        <f>($AC$4+$AD$4*(Tableau4[[#This Row],[Capacité (BTU)]]/1000))*Tableau4[[#This Row],[Nombres appareils installés]]</f>
        <v>3240</v>
      </c>
      <c r="AD137" s="188">
        <f>Tableau4[[#This Row],[AF 4 ($)]]/Tableau4[[#This Row],[Nombres appareils installés]]</f>
        <v>3240</v>
      </c>
      <c r="AE137" s="194">
        <f>Tableau4[[#This Row],[Couverture 4 (%)]]*Tableau4[[#This Row],[Nombres appareils installés]]</f>
        <v>0.54587727870067737</v>
      </c>
      <c r="AF137" s="193">
        <f>Tableau4[[#This Row],[AF 4 par appareil  ($)]]/Tableau4[[#This Row],[Surcoût par appareil ($)]]</f>
        <v>0.54587727870067737</v>
      </c>
    </row>
    <row r="138" spans="2:32" x14ac:dyDescent="0.3">
      <c r="B138" s="195" t="s">
        <v>235</v>
      </c>
      <c r="C138" s="188" t="s">
        <v>255</v>
      </c>
      <c r="D138" s="188">
        <v>2</v>
      </c>
      <c r="E138" s="188">
        <v>260000</v>
      </c>
      <c r="F138" s="196">
        <f>Tableau4[[#This Row],[Economies totales (m3)]]/Tableau4[[#This Row],[Nombres appareils installés]]</f>
        <v>1313</v>
      </c>
      <c r="G138" s="190">
        <v>2626</v>
      </c>
      <c r="H138" s="188">
        <f t="shared" si="4"/>
        <v>3535.3999999999996</v>
      </c>
      <c r="I138" s="188">
        <v>2400</v>
      </c>
      <c r="J138" s="188">
        <f>Tableau4[[#This Row],[Surcoût moyens de l''équipement ($)]]+Tableau4[[#This Row],[Surcoût moyen de l''installation ($)]]</f>
        <v>5935.4</v>
      </c>
      <c r="K138" s="188">
        <f>Tableau4[[#This Row],[Surcoût par appareil ($)]]*Tableau4[[#This Row],[Nombres appareils installés]]</f>
        <v>11870.8</v>
      </c>
      <c r="L138" s="190">
        <v>3400</v>
      </c>
      <c r="M138" s="188">
        <f t="shared" si="5"/>
        <v>4400</v>
      </c>
      <c r="N138" s="188">
        <f>Tableau4[[#This Row],[AF 0 ($)]]/Tableau4[[#This Row],[Nombres appareils installés]]</f>
        <v>2200</v>
      </c>
      <c r="O138" s="191">
        <f>(Tableau4[[#This Row],[AF accordée ($)]])/($J$6*D138)</f>
        <v>0.42463905680171854</v>
      </c>
      <c r="P138" s="191">
        <f>Tableau4[[#This Row],[Couverture 0 (%)]]*Tableau4[[#This Row],[Nombres appareils installés]]</f>
        <v>0.84927811360343708</v>
      </c>
      <c r="Q138" s="188">
        <f>($Q$4+$R$4*(Tableau4[[#This Row],[Capacité (BTU)]]/1000))*Tableau4[[#This Row],[Nombres appareils installés]]</f>
        <v>6600</v>
      </c>
      <c r="R138" s="188">
        <f>Tableau4[[#This Row],[AF 1 ($)]]/Tableau4[[#This Row],[Nombres appareils installés]]</f>
        <v>3300</v>
      </c>
      <c r="S138" s="191">
        <f>Tableau4[[#This Row],[AF 1 ($)]]/(J138*D138)</f>
        <v>0.55598611719513436</v>
      </c>
      <c r="T138" s="191">
        <f>Tableau4[[#This Row],[Couverture 1 (%)]]*Tableau4[[#This Row],[Nombres appareils installés]]</f>
        <v>1.1119722343902687</v>
      </c>
      <c r="U138" s="188">
        <f>($U$4+($V$4*(Tableau4[[#This Row],[Capacité (BTU)]]/1000)))*Tableau4[[#This Row],[Nombres appareils installés]]</f>
        <v>7900</v>
      </c>
      <c r="V138" s="188">
        <f>Tableau4[[#This Row],[AF 2 ($)]]/Tableau4[[#This Row],[Nombres appareils installés]]</f>
        <v>3950</v>
      </c>
      <c r="W138" s="192">
        <f>Tableau4[[#This Row],[AF 2 par appareil ($)]]/Tableau4[[#This Row],[Surcoût par appareil ($)]]</f>
        <v>0.66549853421841831</v>
      </c>
      <c r="X138" s="192">
        <f>Tableau4[[#This Row],[Couverture 2 (%)]]*Tableau4[[#This Row],[Nombres appareils installés]]</f>
        <v>1.3309970684368366</v>
      </c>
      <c r="Y138" s="188">
        <f>($Y$4+$Z$4*(Tableau4[[#This Row],[Capacité (BTU)]]/1000))*Tableau4[[#This Row],[Nombres appareils installés]]</f>
        <v>7600</v>
      </c>
      <c r="Z138" s="188">
        <f>Tableau4[[#This Row],[AF 3 ($)]]/Tableau4[[#This Row],[Nombres appareils installés]]</f>
        <v>3800</v>
      </c>
      <c r="AA138" s="193">
        <f>Tableau4[[#This Row],[AF 3 par appareil ($)]]/Tableau4[[#This Row],[Surcoût par appareil ($)]]</f>
        <v>0.64022643798227585</v>
      </c>
      <c r="AB138" s="193">
        <f>Tableau4[[#This Row],[Couverture 3 (%)]]*Tableau4[[#This Row],[Nombres appareils installés]]</f>
        <v>1.2804528759645517</v>
      </c>
      <c r="AC138" s="188">
        <f>($AC$4+$AD$4*(Tableau4[[#This Row],[Capacité (BTU)]]/1000))*Tableau4[[#This Row],[Nombres appareils installés]]</f>
        <v>6480</v>
      </c>
      <c r="AD138" s="188">
        <f>Tableau4[[#This Row],[AF 4 ($)]]/Tableau4[[#This Row],[Nombres appareils installés]]</f>
        <v>3240</v>
      </c>
      <c r="AE138" s="194">
        <f>Tableau4[[#This Row],[Couverture 4 (%)]]*Tableau4[[#This Row],[Nombres appareils installés]]</f>
        <v>1.0917545574013547</v>
      </c>
      <c r="AF138" s="193">
        <f>Tableau4[[#This Row],[AF 4 par appareil  ($)]]/Tableau4[[#This Row],[Surcoût par appareil ($)]]</f>
        <v>0.54587727870067737</v>
      </c>
    </row>
    <row r="139" spans="2:32" x14ac:dyDescent="0.3">
      <c r="B139" s="195" t="s">
        <v>235</v>
      </c>
      <c r="C139" s="188" t="s">
        <v>168</v>
      </c>
      <c r="D139" s="188">
        <v>2</v>
      </c>
      <c r="E139" s="188">
        <v>260000</v>
      </c>
      <c r="F139" s="196">
        <f>Tableau4[[#This Row],[Economies totales (m3)]]/Tableau4[[#This Row],[Nombres appareils installés]]</f>
        <v>1313</v>
      </c>
      <c r="G139" s="190">
        <v>2626</v>
      </c>
      <c r="H139" s="188">
        <f t="shared" si="4"/>
        <v>3535.3999999999996</v>
      </c>
      <c r="I139" s="188">
        <v>2400</v>
      </c>
      <c r="J139" s="188">
        <f>Tableau4[[#This Row],[Surcoût moyens de l''équipement ($)]]+Tableau4[[#This Row],[Surcoût moyen de l''installation ($)]]</f>
        <v>5935.4</v>
      </c>
      <c r="K139" s="188">
        <f>Tableau4[[#This Row],[Surcoût par appareil ($)]]*Tableau4[[#This Row],[Nombres appareils installés]]</f>
        <v>11870.8</v>
      </c>
      <c r="L139" s="190">
        <v>3400</v>
      </c>
      <c r="M139" s="188">
        <f t="shared" si="5"/>
        <v>4400</v>
      </c>
      <c r="N139" s="188">
        <f>Tableau4[[#This Row],[AF 0 ($)]]/Tableau4[[#This Row],[Nombres appareils installés]]</f>
        <v>2200</v>
      </c>
      <c r="O139" s="191">
        <f>(Tableau4[[#This Row],[AF accordée ($)]])/($J$6*D139)</f>
        <v>0.42463905680171854</v>
      </c>
      <c r="P139" s="191">
        <f>Tableau4[[#This Row],[Couverture 0 (%)]]*Tableau4[[#This Row],[Nombres appareils installés]]</f>
        <v>0.84927811360343708</v>
      </c>
      <c r="Q139" s="188">
        <f>($Q$4+$R$4*(Tableau4[[#This Row],[Capacité (BTU)]]/1000))*Tableau4[[#This Row],[Nombres appareils installés]]</f>
        <v>6600</v>
      </c>
      <c r="R139" s="188">
        <f>Tableau4[[#This Row],[AF 1 ($)]]/Tableau4[[#This Row],[Nombres appareils installés]]</f>
        <v>3300</v>
      </c>
      <c r="S139" s="191">
        <f>Tableau4[[#This Row],[AF 1 ($)]]/(J139*D139)</f>
        <v>0.55598611719513436</v>
      </c>
      <c r="T139" s="191">
        <f>Tableau4[[#This Row],[Couverture 1 (%)]]*Tableau4[[#This Row],[Nombres appareils installés]]</f>
        <v>1.1119722343902687</v>
      </c>
      <c r="U139" s="188">
        <f>($U$4+($V$4*(Tableau4[[#This Row],[Capacité (BTU)]]/1000)))*Tableau4[[#This Row],[Nombres appareils installés]]</f>
        <v>7900</v>
      </c>
      <c r="V139" s="188">
        <f>Tableau4[[#This Row],[AF 2 ($)]]/Tableau4[[#This Row],[Nombres appareils installés]]</f>
        <v>3950</v>
      </c>
      <c r="W139" s="192">
        <f>Tableau4[[#This Row],[AF 2 par appareil ($)]]/Tableau4[[#This Row],[Surcoût par appareil ($)]]</f>
        <v>0.66549853421841831</v>
      </c>
      <c r="X139" s="192">
        <f>Tableau4[[#This Row],[Couverture 2 (%)]]*Tableau4[[#This Row],[Nombres appareils installés]]</f>
        <v>1.3309970684368366</v>
      </c>
      <c r="Y139" s="188">
        <f>($Y$4+$Z$4*(Tableau4[[#This Row],[Capacité (BTU)]]/1000))*Tableau4[[#This Row],[Nombres appareils installés]]</f>
        <v>7600</v>
      </c>
      <c r="Z139" s="188">
        <f>Tableau4[[#This Row],[AF 3 ($)]]/Tableau4[[#This Row],[Nombres appareils installés]]</f>
        <v>3800</v>
      </c>
      <c r="AA139" s="193">
        <f>Tableau4[[#This Row],[AF 3 par appareil ($)]]/Tableau4[[#This Row],[Surcoût par appareil ($)]]</f>
        <v>0.64022643798227585</v>
      </c>
      <c r="AB139" s="193">
        <f>Tableau4[[#This Row],[Couverture 3 (%)]]*Tableau4[[#This Row],[Nombres appareils installés]]</f>
        <v>1.2804528759645517</v>
      </c>
      <c r="AC139" s="188">
        <f>($AC$4+$AD$4*(Tableau4[[#This Row],[Capacité (BTU)]]/1000))*Tableau4[[#This Row],[Nombres appareils installés]]</f>
        <v>6480</v>
      </c>
      <c r="AD139" s="188">
        <f>Tableau4[[#This Row],[AF 4 ($)]]/Tableau4[[#This Row],[Nombres appareils installés]]</f>
        <v>3240</v>
      </c>
      <c r="AE139" s="194">
        <f>Tableau4[[#This Row],[Couverture 4 (%)]]*Tableau4[[#This Row],[Nombres appareils installés]]</f>
        <v>1.0917545574013547</v>
      </c>
      <c r="AF139" s="193">
        <f>Tableau4[[#This Row],[AF 4 par appareil  ($)]]/Tableau4[[#This Row],[Surcoût par appareil ($)]]</f>
        <v>0.54587727870067737</v>
      </c>
    </row>
    <row r="140" spans="2:32" x14ac:dyDescent="0.3">
      <c r="B140" s="195" t="s">
        <v>235</v>
      </c>
      <c r="C140" s="188" t="s">
        <v>240</v>
      </c>
      <c r="D140" s="188">
        <v>6</v>
      </c>
      <c r="E140" s="188">
        <v>260000</v>
      </c>
      <c r="F140" s="196">
        <f>Tableau4[[#This Row],[Economies totales (m3)]]/Tableau4[[#This Row],[Nombres appareils installés]]</f>
        <v>1313</v>
      </c>
      <c r="G140" s="190">
        <v>7878</v>
      </c>
      <c r="H140" s="188">
        <f t="shared" si="4"/>
        <v>3535.3999999999996</v>
      </c>
      <c r="I140" s="188">
        <v>2400</v>
      </c>
      <c r="J140" s="188">
        <f>Tableau4[[#This Row],[Surcoût moyens de l''équipement ($)]]+Tableau4[[#This Row],[Surcoût moyen de l''installation ($)]]</f>
        <v>5935.4</v>
      </c>
      <c r="K140" s="188">
        <f>Tableau4[[#This Row],[Surcoût par appareil ($)]]*Tableau4[[#This Row],[Nombres appareils installés]]</f>
        <v>35612.399999999994</v>
      </c>
      <c r="L140" s="190">
        <v>13200</v>
      </c>
      <c r="M140" s="188">
        <f t="shared" si="5"/>
        <v>13200</v>
      </c>
      <c r="N140" s="188">
        <f>Tableau4[[#This Row],[AF 0 ($)]]/Tableau4[[#This Row],[Nombres appareils installés]]</f>
        <v>2200</v>
      </c>
      <c r="O140" s="191">
        <f>(Tableau4[[#This Row],[AF accordée ($)]])/($J$6*D140)</f>
        <v>0.54953289703751806</v>
      </c>
      <c r="P140" s="191">
        <f>Tableau4[[#This Row],[Couverture 0 (%)]]*Tableau4[[#This Row],[Nombres appareils installés]]</f>
        <v>3.2971973822251082</v>
      </c>
      <c r="Q140" s="188">
        <f>($Q$4+$R$4*(Tableau4[[#This Row],[Capacité (BTU)]]/1000))*Tableau4[[#This Row],[Nombres appareils installés]]</f>
        <v>19800</v>
      </c>
      <c r="R140" s="188">
        <f>Tableau4[[#This Row],[AF 1 ($)]]/Tableau4[[#This Row],[Nombres appareils installés]]</f>
        <v>3300</v>
      </c>
      <c r="S140" s="191">
        <f>Tableau4[[#This Row],[AF 1 ($)]]/(J140*D140)</f>
        <v>0.55598611719513436</v>
      </c>
      <c r="T140" s="191">
        <f>Tableau4[[#This Row],[Couverture 1 (%)]]*Tableau4[[#This Row],[Nombres appareils installés]]</f>
        <v>3.3359167031708061</v>
      </c>
      <c r="U140" s="188">
        <f>($U$4+($V$4*(Tableau4[[#This Row],[Capacité (BTU)]]/1000)))*Tableau4[[#This Row],[Nombres appareils installés]]</f>
        <v>23700</v>
      </c>
      <c r="V140" s="188">
        <f>Tableau4[[#This Row],[AF 2 ($)]]/Tableau4[[#This Row],[Nombres appareils installés]]</f>
        <v>3950</v>
      </c>
      <c r="W140" s="192">
        <f>Tableau4[[#This Row],[AF 2 par appareil ($)]]/Tableau4[[#This Row],[Surcoût par appareil ($)]]</f>
        <v>0.66549853421841831</v>
      </c>
      <c r="X140" s="192">
        <f>Tableau4[[#This Row],[Couverture 2 (%)]]*Tableau4[[#This Row],[Nombres appareils installés]]</f>
        <v>3.9929912053105099</v>
      </c>
      <c r="Y140" s="188">
        <f>($Y$4+$Z$4*(Tableau4[[#This Row],[Capacité (BTU)]]/1000))*Tableau4[[#This Row],[Nombres appareils installés]]</f>
        <v>22800</v>
      </c>
      <c r="Z140" s="188">
        <f>Tableau4[[#This Row],[AF 3 ($)]]/Tableau4[[#This Row],[Nombres appareils installés]]</f>
        <v>3800</v>
      </c>
      <c r="AA140" s="193">
        <f>Tableau4[[#This Row],[AF 3 par appareil ($)]]/Tableau4[[#This Row],[Surcoût par appareil ($)]]</f>
        <v>0.64022643798227585</v>
      </c>
      <c r="AB140" s="193">
        <f>Tableau4[[#This Row],[Couverture 3 (%)]]*Tableau4[[#This Row],[Nombres appareils installés]]</f>
        <v>3.8413586278936549</v>
      </c>
      <c r="AC140" s="188">
        <f>($AC$4+$AD$4*(Tableau4[[#This Row],[Capacité (BTU)]]/1000))*Tableau4[[#This Row],[Nombres appareils installés]]</f>
        <v>19440</v>
      </c>
      <c r="AD140" s="188">
        <f>Tableau4[[#This Row],[AF 4 ($)]]/Tableau4[[#This Row],[Nombres appareils installés]]</f>
        <v>3240</v>
      </c>
      <c r="AE140" s="194">
        <f>Tableau4[[#This Row],[Couverture 4 (%)]]*Tableau4[[#This Row],[Nombres appareils installés]]</f>
        <v>3.2752636722040642</v>
      </c>
      <c r="AF140" s="193">
        <f>Tableau4[[#This Row],[AF 4 par appareil  ($)]]/Tableau4[[#This Row],[Surcoût par appareil ($)]]</f>
        <v>0.54587727870067737</v>
      </c>
    </row>
    <row r="141" spans="2:32" x14ac:dyDescent="0.3">
      <c r="B141" s="195" t="s">
        <v>235</v>
      </c>
      <c r="C141" s="188" t="s">
        <v>256</v>
      </c>
      <c r="D141" s="188">
        <v>6</v>
      </c>
      <c r="E141" s="188">
        <v>260000</v>
      </c>
      <c r="F141" s="196">
        <f>Tableau4[[#This Row],[Economies totales (m3)]]/Tableau4[[#This Row],[Nombres appareils installés]]</f>
        <v>1313</v>
      </c>
      <c r="G141" s="190">
        <v>7878</v>
      </c>
      <c r="H141" s="188">
        <f t="shared" si="4"/>
        <v>3535.3999999999996</v>
      </c>
      <c r="I141" s="188">
        <v>2400</v>
      </c>
      <c r="J141" s="188">
        <f>Tableau4[[#This Row],[Surcoût moyens de l''équipement ($)]]+Tableau4[[#This Row],[Surcoût moyen de l''installation ($)]]</f>
        <v>5935.4</v>
      </c>
      <c r="K141" s="188">
        <f>Tableau4[[#This Row],[Surcoût par appareil ($)]]*Tableau4[[#This Row],[Nombres appareils installés]]</f>
        <v>35612.399999999994</v>
      </c>
      <c r="L141" s="190">
        <v>10200</v>
      </c>
      <c r="M141" s="188">
        <f t="shared" si="5"/>
        <v>13200</v>
      </c>
      <c r="N141" s="188">
        <f>Tableau4[[#This Row],[AF 0 ($)]]/Tableau4[[#This Row],[Nombres appareils installés]]</f>
        <v>2200</v>
      </c>
      <c r="O141" s="191">
        <f>(Tableau4[[#This Row],[AF accordée ($)]])/($J$6*D141)</f>
        <v>0.42463905680171854</v>
      </c>
      <c r="P141" s="191">
        <f>Tableau4[[#This Row],[Couverture 0 (%)]]*Tableau4[[#This Row],[Nombres appareils installés]]</f>
        <v>2.5478343408103115</v>
      </c>
      <c r="Q141" s="188">
        <f>($Q$4+$R$4*(Tableau4[[#This Row],[Capacité (BTU)]]/1000))*Tableau4[[#This Row],[Nombres appareils installés]]</f>
        <v>19800</v>
      </c>
      <c r="R141" s="188">
        <f>Tableau4[[#This Row],[AF 1 ($)]]/Tableau4[[#This Row],[Nombres appareils installés]]</f>
        <v>3300</v>
      </c>
      <c r="S141" s="191">
        <f>Tableau4[[#This Row],[AF 1 ($)]]/(J141*D141)</f>
        <v>0.55598611719513436</v>
      </c>
      <c r="T141" s="191">
        <f>Tableau4[[#This Row],[Couverture 1 (%)]]*Tableau4[[#This Row],[Nombres appareils installés]]</f>
        <v>3.3359167031708061</v>
      </c>
      <c r="U141" s="188">
        <f>($U$4+($V$4*(Tableau4[[#This Row],[Capacité (BTU)]]/1000)))*Tableau4[[#This Row],[Nombres appareils installés]]</f>
        <v>23700</v>
      </c>
      <c r="V141" s="188">
        <f>Tableau4[[#This Row],[AF 2 ($)]]/Tableau4[[#This Row],[Nombres appareils installés]]</f>
        <v>3950</v>
      </c>
      <c r="W141" s="192">
        <f>Tableau4[[#This Row],[AF 2 par appareil ($)]]/Tableau4[[#This Row],[Surcoût par appareil ($)]]</f>
        <v>0.66549853421841831</v>
      </c>
      <c r="X141" s="192">
        <f>Tableau4[[#This Row],[Couverture 2 (%)]]*Tableau4[[#This Row],[Nombres appareils installés]]</f>
        <v>3.9929912053105099</v>
      </c>
      <c r="Y141" s="188">
        <f>($Y$4+$Z$4*(Tableau4[[#This Row],[Capacité (BTU)]]/1000))*Tableau4[[#This Row],[Nombres appareils installés]]</f>
        <v>22800</v>
      </c>
      <c r="Z141" s="188">
        <f>Tableau4[[#This Row],[AF 3 ($)]]/Tableau4[[#This Row],[Nombres appareils installés]]</f>
        <v>3800</v>
      </c>
      <c r="AA141" s="193">
        <f>Tableau4[[#This Row],[AF 3 par appareil ($)]]/Tableau4[[#This Row],[Surcoût par appareil ($)]]</f>
        <v>0.64022643798227585</v>
      </c>
      <c r="AB141" s="193">
        <f>Tableau4[[#This Row],[Couverture 3 (%)]]*Tableau4[[#This Row],[Nombres appareils installés]]</f>
        <v>3.8413586278936549</v>
      </c>
      <c r="AC141" s="188">
        <f>($AC$4+$AD$4*(Tableau4[[#This Row],[Capacité (BTU)]]/1000))*Tableau4[[#This Row],[Nombres appareils installés]]</f>
        <v>19440</v>
      </c>
      <c r="AD141" s="188">
        <f>Tableau4[[#This Row],[AF 4 ($)]]/Tableau4[[#This Row],[Nombres appareils installés]]</f>
        <v>3240</v>
      </c>
      <c r="AE141" s="194">
        <f>Tableau4[[#This Row],[Couverture 4 (%)]]*Tableau4[[#This Row],[Nombres appareils installés]]</f>
        <v>3.2752636722040642</v>
      </c>
      <c r="AF141" s="193">
        <f>Tableau4[[#This Row],[AF 4 par appareil  ($)]]/Tableau4[[#This Row],[Surcoût par appareil ($)]]</f>
        <v>0.54587727870067737</v>
      </c>
    </row>
    <row r="142" spans="2:32" x14ac:dyDescent="0.3">
      <c r="B142" s="195" t="s">
        <v>235</v>
      </c>
      <c r="C142" s="188" t="s">
        <v>256</v>
      </c>
      <c r="D142" s="188">
        <v>2</v>
      </c>
      <c r="E142" s="188">
        <v>310000</v>
      </c>
      <c r="F142" s="196">
        <f>Tableau4[[#This Row],[Economies totales (m3)]]/Tableau4[[#This Row],[Nombres appareils installés]]</f>
        <v>1565.5</v>
      </c>
      <c r="G142" s="190">
        <v>3131</v>
      </c>
      <c r="H142" s="188">
        <f t="shared" si="4"/>
        <v>4385.3999999999996</v>
      </c>
      <c r="I142" s="188">
        <v>2400</v>
      </c>
      <c r="J142" s="188">
        <f>Tableau4[[#This Row],[Surcoût moyens de l''équipement ($)]]+Tableau4[[#This Row],[Surcoût moyen de l''installation ($)]]</f>
        <v>6785.4</v>
      </c>
      <c r="K142" s="188">
        <f>Tableau4[[#This Row],[Surcoût par appareil ($)]]*Tableau4[[#This Row],[Nombres appareils installés]]</f>
        <v>13570.8</v>
      </c>
      <c r="L142" s="190">
        <v>3400</v>
      </c>
      <c r="M142" s="188">
        <f t="shared" si="5"/>
        <v>4900</v>
      </c>
      <c r="N142" s="188">
        <f>Tableau4[[#This Row],[AF 0 ($)]]/Tableau4[[#This Row],[Nombres appareils installés]]</f>
        <v>2450</v>
      </c>
      <c r="O142" s="191">
        <f>(Tableau4[[#This Row],[AF accordée ($)]])/($J$6*D142)</f>
        <v>0.42463905680171854</v>
      </c>
      <c r="P142" s="191">
        <f>Tableau4[[#This Row],[Couverture 0 (%)]]*Tableau4[[#This Row],[Nombres appareils installés]]</f>
        <v>0.84927811360343708</v>
      </c>
      <c r="Q142" s="188">
        <f>($Q$4+$R$4*(Tableau4[[#This Row],[Capacité (BTU)]]/1000))*Tableau4[[#This Row],[Nombres appareils installés]]</f>
        <v>7100</v>
      </c>
      <c r="R142" s="188">
        <f>Tableau4[[#This Row],[AF 1 ($)]]/Tableau4[[#This Row],[Nombres appareils installés]]</f>
        <v>3550</v>
      </c>
      <c r="S142" s="191">
        <f>Tableau4[[#This Row],[AF 1 ($)]]/(J142*D142)</f>
        <v>0.52318212633006167</v>
      </c>
      <c r="T142" s="191">
        <f>Tableau4[[#This Row],[Couverture 1 (%)]]*Tableau4[[#This Row],[Nombres appareils installés]]</f>
        <v>1.0463642526601233</v>
      </c>
      <c r="U142" s="188">
        <f>($U$4+($V$4*(Tableau4[[#This Row],[Capacité (BTU)]]/1000)))*Tableau4[[#This Row],[Nombres appareils installés]]</f>
        <v>8650</v>
      </c>
      <c r="V142" s="188">
        <f>Tableau4[[#This Row],[AF 2 ($)]]/Tableau4[[#This Row],[Nombres appareils installés]]</f>
        <v>4325</v>
      </c>
      <c r="W142" s="192">
        <f>Tableau4[[#This Row],[AF 2 par appareil ($)]]/Tableau4[[#This Row],[Surcoût par appareil ($)]]</f>
        <v>0.63739794264155392</v>
      </c>
      <c r="X142" s="192">
        <f>Tableau4[[#This Row],[Couverture 2 (%)]]*Tableau4[[#This Row],[Nombres appareils installés]]</f>
        <v>1.2747958852831078</v>
      </c>
      <c r="Y142" s="188">
        <f>($Y$4+$Z$4*(Tableau4[[#This Row],[Capacité (BTU)]]/1000))*Tableau4[[#This Row],[Nombres appareils installés]]</f>
        <v>8100</v>
      </c>
      <c r="Z142" s="188">
        <f>Tableau4[[#This Row],[AF 3 ($)]]/Tableau4[[#This Row],[Nombres appareils installés]]</f>
        <v>4050</v>
      </c>
      <c r="AA142" s="193">
        <f>Tableau4[[#This Row],[AF 3 par appareil ($)]]/Tableau4[[#This Row],[Surcoût par appareil ($)]]</f>
        <v>0.59686974975683083</v>
      </c>
      <c r="AB142" s="193">
        <f>Tableau4[[#This Row],[Couverture 3 (%)]]*Tableau4[[#This Row],[Nombres appareils installés]]</f>
        <v>1.1937394995136617</v>
      </c>
      <c r="AC142" s="188">
        <f>($AC$4+$AD$4*(Tableau4[[#This Row],[Capacité (BTU)]]/1000))*Tableau4[[#This Row],[Nombres appareils installés]]</f>
        <v>6880</v>
      </c>
      <c r="AD142" s="188">
        <f>Tableau4[[#This Row],[AF 4 ($)]]/Tableau4[[#This Row],[Nombres appareils installés]]</f>
        <v>3440</v>
      </c>
      <c r="AE142" s="194">
        <f>Tableau4[[#This Row],[Couverture 4 (%)]]*Tableau4[[#This Row],[Nombres appareils installés]]</f>
        <v>1.0139416983523448</v>
      </c>
      <c r="AF142" s="193">
        <f>Tableau4[[#This Row],[AF 4 par appareil  ($)]]/Tableau4[[#This Row],[Surcoût par appareil ($)]]</f>
        <v>0.50697084917617241</v>
      </c>
    </row>
    <row r="143" spans="2:32" x14ac:dyDescent="0.3">
      <c r="B143" s="195" t="s">
        <v>235</v>
      </c>
      <c r="C143" s="188" t="s">
        <v>257</v>
      </c>
      <c r="D143" s="188">
        <v>8</v>
      </c>
      <c r="E143" s="188">
        <v>310000</v>
      </c>
      <c r="F143" s="196">
        <f>Tableau4[[#This Row],[Economies totales (m3)]]/Tableau4[[#This Row],[Nombres appareils installés]]</f>
        <v>1565.5</v>
      </c>
      <c r="G143" s="190">
        <v>12524</v>
      </c>
      <c r="H143" s="188">
        <f t="shared" si="4"/>
        <v>4385.3999999999996</v>
      </c>
      <c r="I143" s="188">
        <v>2400</v>
      </c>
      <c r="J143" s="188">
        <f>Tableau4[[#This Row],[Surcoût moyens de l''équipement ($)]]+Tableau4[[#This Row],[Surcoût moyen de l''installation ($)]]</f>
        <v>6785.4</v>
      </c>
      <c r="K143" s="188">
        <f>Tableau4[[#This Row],[Surcoût par appareil ($)]]*Tableau4[[#This Row],[Nombres appareils installés]]</f>
        <v>54283.199999999997</v>
      </c>
      <c r="L143" s="190">
        <v>13600</v>
      </c>
      <c r="M143" s="188">
        <f t="shared" si="5"/>
        <v>19600</v>
      </c>
      <c r="N143" s="188">
        <f>Tableau4[[#This Row],[AF 0 ($)]]/Tableau4[[#This Row],[Nombres appareils installés]]</f>
        <v>2450</v>
      </c>
      <c r="O143" s="191">
        <f>(Tableau4[[#This Row],[AF accordée ($)]])/($J$6*D143)</f>
        <v>0.42463905680171854</v>
      </c>
      <c r="P143" s="191">
        <f>Tableau4[[#This Row],[Couverture 0 (%)]]*Tableau4[[#This Row],[Nombres appareils installés]]</f>
        <v>3.3971124544137483</v>
      </c>
      <c r="Q143" s="188">
        <f>($Q$4+$R$4*(Tableau4[[#This Row],[Capacité (BTU)]]/1000))*Tableau4[[#This Row],[Nombres appareils installés]]</f>
        <v>28400</v>
      </c>
      <c r="R143" s="188">
        <f>Tableau4[[#This Row],[AF 1 ($)]]/Tableau4[[#This Row],[Nombres appareils installés]]</f>
        <v>3550</v>
      </c>
      <c r="S143" s="191">
        <f>Tableau4[[#This Row],[AF 1 ($)]]/(J143*D143)</f>
        <v>0.52318212633006167</v>
      </c>
      <c r="T143" s="191">
        <f>Tableau4[[#This Row],[Couverture 1 (%)]]*Tableau4[[#This Row],[Nombres appareils installés]]</f>
        <v>4.1854570106404934</v>
      </c>
      <c r="U143" s="188">
        <f>($U$4+($V$4*(Tableau4[[#This Row],[Capacité (BTU)]]/1000)))*Tableau4[[#This Row],[Nombres appareils installés]]</f>
        <v>34600</v>
      </c>
      <c r="V143" s="188">
        <f>Tableau4[[#This Row],[AF 2 ($)]]/Tableau4[[#This Row],[Nombres appareils installés]]</f>
        <v>4325</v>
      </c>
      <c r="W143" s="192">
        <f>Tableau4[[#This Row],[AF 2 par appareil ($)]]/Tableau4[[#This Row],[Surcoût par appareil ($)]]</f>
        <v>0.63739794264155392</v>
      </c>
      <c r="X143" s="192">
        <f>Tableau4[[#This Row],[Couverture 2 (%)]]*Tableau4[[#This Row],[Nombres appareils installés]]</f>
        <v>5.0991835411324313</v>
      </c>
      <c r="Y143" s="188">
        <f>($Y$4+$Z$4*(Tableau4[[#This Row],[Capacité (BTU)]]/1000))*Tableau4[[#This Row],[Nombres appareils installés]]</f>
        <v>32400</v>
      </c>
      <c r="Z143" s="188">
        <f>Tableau4[[#This Row],[AF 3 ($)]]/Tableau4[[#This Row],[Nombres appareils installés]]</f>
        <v>4050</v>
      </c>
      <c r="AA143" s="193">
        <f>Tableau4[[#This Row],[AF 3 par appareil ($)]]/Tableau4[[#This Row],[Surcoût par appareil ($)]]</f>
        <v>0.59686974975683083</v>
      </c>
      <c r="AB143" s="193">
        <f>Tableau4[[#This Row],[Couverture 3 (%)]]*Tableau4[[#This Row],[Nombres appareils installés]]</f>
        <v>4.7749579980546466</v>
      </c>
      <c r="AC143" s="188">
        <f>($AC$4+$AD$4*(Tableau4[[#This Row],[Capacité (BTU)]]/1000))*Tableau4[[#This Row],[Nombres appareils installés]]</f>
        <v>27520</v>
      </c>
      <c r="AD143" s="188">
        <f>Tableau4[[#This Row],[AF 4 ($)]]/Tableau4[[#This Row],[Nombres appareils installés]]</f>
        <v>3440</v>
      </c>
      <c r="AE143" s="194">
        <f>Tableau4[[#This Row],[Couverture 4 (%)]]*Tableau4[[#This Row],[Nombres appareils installés]]</f>
        <v>4.0557667934093793</v>
      </c>
      <c r="AF143" s="193">
        <f>Tableau4[[#This Row],[AF 4 par appareil  ($)]]/Tableau4[[#This Row],[Surcoût par appareil ($)]]</f>
        <v>0.50697084917617241</v>
      </c>
    </row>
    <row r="144" spans="2:32" x14ac:dyDescent="0.3">
      <c r="B144" s="195" t="s">
        <v>235</v>
      </c>
      <c r="C144" s="188" t="s">
        <v>168</v>
      </c>
      <c r="D144" s="188">
        <v>14</v>
      </c>
      <c r="E144" s="188">
        <v>310000</v>
      </c>
      <c r="F144" s="196">
        <f>Tableau4[[#This Row],[Economies totales (m3)]]/Tableau4[[#This Row],[Nombres appareils installés]]</f>
        <v>1565.5</v>
      </c>
      <c r="G144" s="190">
        <v>21917</v>
      </c>
      <c r="H144" s="188">
        <f t="shared" si="4"/>
        <v>4385.3999999999996</v>
      </c>
      <c r="I144" s="188">
        <v>2400</v>
      </c>
      <c r="J144" s="188">
        <f>Tableau4[[#This Row],[Surcoût moyens de l''équipement ($)]]+Tableau4[[#This Row],[Surcoût moyen de l''installation ($)]]</f>
        <v>6785.4</v>
      </c>
      <c r="K144" s="188">
        <f>Tableau4[[#This Row],[Surcoût par appareil ($)]]*Tableau4[[#This Row],[Nombres appareils installés]]</f>
        <v>94995.599999999991</v>
      </c>
      <c r="L144" s="190">
        <v>23800</v>
      </c>
      <c r="M144" s="188">
        <f t="shared" si="5"/>
        <v>34300</v>
      </c>
      <c r="N144" s="188">
        <f>Tableau4[[#This Row],[AF 0 ($)]]/Tableau4[[#This Row],[Nombres appareils installés]]</f>
        <v>2450</v>
      </c>
      <c r="O144" s="191">
        <f>(Tableau4[[#This Row],[AF accordée ($)]])/($J$6*D144)</f>
        <v>0.42463905680171854</v>
      </c>
      <c r="P144" s="191">
        <f>Tableau4[[#This Row],[Couverture 0 (%)]]*Tableau4[[#This Row],[Nombres appareils installés]]</f>
        <v>5.9449467952240598</v>
      </c>
      <c r="Q144" s="188">
        <f>($Q$4+$R$4*(Tableau4[[#This Row],[Capacité (BTU)]]/1000))*Tableau4[[#This Row],[Nombres appareils installés]]</f>
        <v>49700</v>
      </c>
      <c r="R144" s="188">
        <f>Tableau4[[#This Row],[AF 1 ($)]]/Tableau4[[#This Row],[Nombres appareils installés]]</f>
        <v>3550</v>
      </c>
      <c r="S144" s="191">
        <f>Tableau4[[#This Row],[AF 1 ($)]]/(J144*D144)</f>
        <v>0.52318212633006167</v>
      </c>
      <c r="T144" s="191">
        <f>Tableau4[[#This Row],[Couverture 1 (%)]]*Tableau4[[#This Row],[Nombres appareils installés]]</f>
        <v>7.3245497686208632</v>
      </c>
      <c r="U144" s="188">
        <f>($U$4+($V$4*(Tableau4[[#This Row],[Capacité (BTU)]]/1000)))*Tableau4[[#This Row],[Nombres appareils installés]]</f>
        <v>60550</v>
      </c>
      <c r="V144" s="188">
        <f>Tableau4[[#This Row],[AF 2 ($)]]/Tableau4[[#This Row],[Nombres appareils installés]]</f>
        <v>4325</v>
      </c>
      <c r="W144" s="192">
        <f>Tableau4[[#This Row],[AF 2 par appareil ($)]]/Tableau4[[#This Row],[Surcoût par appareil ($)]]</f>
        <v>0.63739794264155392</v>
      </c>
      <c r="X144" s="192">
        <f>Tableau4[[#This Row],[Couverture 2 (%)]]*Tableau4[[#This Row],[Nombres appareils installés]]</f>
        <v>8.9235711969817544</v>
      </c>
      <c r="Y144" s="188">
        <f>($Y$4+$Z$4*(Tableau4[[#This Row],[Capacité (BTU)]]/1000))*Tableau4[[#This Row],[Nombres appareils installés]]</f>
        <v>56700</v>
      </c>
      <c r="Z144" s="188">
        <f>Tableau4[[#This Row],[AF 3 ($)]]/Tableau4[[#This Row],[Nombres appareils installés]]</f>
        <v>4050</v>
      </c>
      <c r="AA144" s="193">
        <f>Tableau4[[#This Row],[AF 3 par appareil ($)]]/Tableau4[[#This Row],[Surcoût par appareil ($)]]</f>
        <v>0.59686974975683083</v>
      </c>
      <c r="AB144" s="193">
        <f>Tableau4[[#This Row],[Couverture 3 (%)]]*Tableau4[[#This Row],[Nombres appareils installés]]</f>
        <v>8.3561764965956318</v>
      </c>
      <c r="AC144" s="188">
        <f>($AC$4+$AD$4*(Tableau4[[#This Row],[Capacité (BTU)]]/1000))*Tableau4[[#This Row],[Nombres appareils installés]]</f>
        <v>48160</v>
      </c>
      <c r="AD144" s="188">
        <f>Tableau4[[#This Row],[AF 4 ($)]]/Tableau4[[#This Row],[Nombres appareils installés]]</f>
        <v>3440</v>
      </c>
      <c r="AE144" s="194">
        <f>Tableau4[[#This Row],[Couverture 4 (%)]]*Tableau4[[#This Row],[Nombres appareils installés]]</f>
        <v>7.0975918884664138</v>
      </c>
      <c r="AF144" s="193">
        <f>Tableau4[[#This Row],[AF 4 par appareil  ($)]]/Tableau4[[#This Row],[Surcoût par appareil ($)]]</f>
        <v>0.50697084917617241</v>
      </c>
    </row>
    <row r="145" spans="2:32" x14ac:dyDescent="0.3">
      <c r="B145" s="195" t="s">
        <v>235</v>
      </c>
      <c r="C145" s="188" t="s">
        <v>251</v>
      </c>
      <c r="D145" s="188">
        <v>2</v>
      </c>
      <c r="E145" s="188">
        <v>400000</v>
      </c>
      <c r="F145" s="196">
        <f>Tableau4[[#This Row],[Economies totales (m3)]]/Tableau4[[#This Row],[Nombres appareils installés]]</f>
        <v>2020</v>
      </c>
      <c r="G145" s="190">
        <v>4040</v>
      </c>
      <c r="H145" s="188">
        <f t="shared" si="4"/>
        <v>6293.4</v>
      </c>
      <c r="I145" s="188">
        <v>2400</v>
      </c>
      <c r="J145" s="188">
        <f>Tableau4[[#This Row],[Surcoût moyens de l''équipement ($)]]+Tableau4[[#This Row],[Surcoût moyen de l''installation ($)]]</f>
        <v>8693.4</v>
      </c>
      <c r="K145" s="188">
        <f>Tableau4[[#This Row],[Surcoût par appareil ($)]]*Tableau4[[#This Row],[Nombres appareils installés]]</f>
        <v>17386.8</v>
      </c>
      <c r="L145" s="190">
        <v>3400</v>
      </c>
      <c r="M145" s="188">
        <f t="shared" si="5"/>
        <v>5800</v>
      </c>
      <c r="N145" s="188">
        <f>Tableau4[[#This Row],[AF 0 ($)]]/Tableau4[[#This Row],[Nombres appareils installés]]</f>
        <v>2900</v>
      </c>
      <c r="O145" s="191">
        <f>(Tableau4[[#This Row],[AF accordée ($)]])/($J$6*D145)</f>
        <v>0.42463905680171854</v>
      </c>
      <c r="P145" s="191">
        <f>Tableau4[[#This Row],[Couverture 0 (%)]]*Tableau4[[#This Row],[Nombres appareils installés]]</f>
        <v>0.84927811360343708</v>
      </c>
      <c r="Q145" s="188">
        <f>($Q$4+$R$4*(Tableau4[[#This Row],[Capacité (BTU)]]/1000))*Tableau4[[#This Row],[Nombres appareils installés]]</f>
        <v>8000</v>
      </c>
      <c r="R145" s="188">
        <f>Tableau4[[#This Row],[AF 1 ($)]]/Tableau4[[#This Row],[Nombres appareils installés]]</f>
        <v>4000</v>
      </c>
      <c r="S145" s="191">
        <f>Tableau4[[#This Row],[AF 1 ($)]]/(J145*D145)</f>
        <v>0.46011917086525411</v>
      </c>
      <c r="T145" s="191">
        <f>Tableau4[[#This Row],[Couverture 1 (%)]]*Tableau4[[#This Row],[Nombres appareils installés]]</f>
        <v>0.92023834173050822</v>
      </c>
      <c r="U145" s="188">
        <f>($U$4+($V$4*(Tableau4[[#This Row],[Capacité (BTU)]]/1000)))*Tableau4[[#This Row],[Nombres appareils installés]]</f>
        <v>10000</v>
      </c>
      <c r="V145" s="188">
        <f>Tableau4[[#This Row],[AF 2 ($)]]/Tableau4[[#This Row],[Nombres appareils installés]]</f>
        <v>5000</v>
      </c>
      <c r="W145" s="192">
        <f>Tableau4[[#This Row],[AF 2 par appareil ($)]]/Tableau4[[#This Row],[Surcoût par appareil ($)]]</f>
        <v>0.57514896358156764</v>
      </c>
      <c r="X145" s="192">
        <f>Tableau4[[#This Row],[Couverture 2 (%)]]*Tableau4[[#This Row],[Nombres appareils installés]]</f>
        <v>1.1502979271631353</v>
      </c>
      <c r="Y145" s="188">
        <f>($Y$4+$Z$4*(Tableau4[[#This Row],[Capacité (BTU)]]/1000))*Tableau4[[#This Row],[Nombres appareils installés]]</f>
        <v>9000</v>
      </c>
      <c r="Z145" s="188">
        <f>Tableau4[[#This Row],[AF 3 ($)]]/Tableau4[[#This Row],[Nombres appareils installés]]</f>
        <v>4500</v>
      </c>
      <c r="AA145" s="193">
        <f>Tableau4[[#This Row],[AF 3 par appareil ($)]]/Tableau4[[#This Row],[Surcoût par appareil ($)]]</f>
        <v>0.51763406722341088</v>
      </c>
      <c r="AB145" s="193">
        <f>Tableau4[[#This Row],[Couverture 3 (%)]]*Tableau4[[#This Row],[Nombres appareils installés]]</f>
        <v>1.0352681344468218</v>
      </c>
      <c r="AC145" s="188">
        <f>($AC$4+$AD$4*(Tableau4[[#This Row],[Capacité (BTU)]]/1000))*Tableau4[[#This Row],[Nombres appareils installés]]</f>
        <v>7600</v>
      </c>
      <c r="AD145" s="188">
        <f>Tableau4[[#This Row],[AF 4 ($)]]/Tableau4[[#This Row],[Nombres appareils installés]]</f>
        <v>3800</v>
      </c>
      <c r="AE145" s="194">
        <f>Tableau4[[#This Row],[Couverture 4 (%)]]*Tableau4[[#This Row],[Nombres appareils installés]]</f>
        <v>0.87422642464398281</v>
      </c>
      <c r="AF145" s="193">
        <f>Tableau4[[#This Row],[AF 4 par appareil  ($)]]/Tableau4[[#This Row],[Surcoût par appareil ($)]]</f>
        <v>0.43711321232199141</v>
      </c>
    </row>
    <row r="146" spans="2:32" x14ac:dyDescent="0.3">
      <c r="B146" s="195" t="s">
        <v>258</v>
      </c>
      <c r="C146" s="188" t="s">
        <v>168</v>
      </c>
      <c r="D146" s="188">
        <v>1</v>
      </c>
      <c r="E146" s="188">
        <v>55000</v>
      </c>
      <c r="F146" s="196">
        <f>Tableau4[[#This Row],[Economies totales (m3)]]/Tableau4[[#This Row],[Nombres appareils installés]]</f>
        <v>277.75</v>
      </c>
      <c r="G146" s="190">
        <v>277.75</v>
      </c>
      <c r="H146" s="188">
        <f t="shared" si="4"/>
        <v>1618.65</v>
      </c>
      <c r="I146" s="188">
        <v>2400</v>
      </c>
      <c r="J146" s="188">
        <f>Tableau4[[#This Row],[Surcoût moyens de l''équipement ($)]]+Tableau4[[#This Row],[Surcoût moyen de l''installation ($)]]</f>
        <v>4018.65</v>
      </c>
      <c r="K146" s="188">
        <f>Tableau4[[#This Row],[Surcoût par appareil ($)]]*Tableau4[[#This Row],[Nombres appareils installés]]</f>
        <v>4018.65</v>
      </c>
      <c r="L146" s="190">
        <v>1700</v>
      </c>
      <c r="M146" s="188">
        <f t="shared" si="5"/>
        <v>1175</v>
      </c>
      <c r="N146" s="188">
        <f>Tableau4[[#This Row],[AF 0 ($)]]/Tableau4[[#This Row],[Nombres appareils installés]]</f>
        <v>1175</v>
      </c>
      <c r="O146" s="191">
        <f>(Tableau4[[#This Row],[AF accordée ($)]])/($J$6*D146)</f>
        <v>0.42463905680171854</v>
      </c>
      <c r="P146" s="191">
        <f>Tableau4[[#This Row],[Couverture 0 (%)]]*Tableau4[[#This Row],[Nombres appareils installés]]</f>
        <v>0.42463905680171854</v>
      </c>
      <c r="Q146" s="188">
        <f>($Q$4+$R$4*(Tableau4[[#This Row],[Capacité (BTU)]]/1000))*Tableau4[[#This Row],[Nombres appareils installés]]</f>
        <v>2275</v>
      </c>
      <c r="R146" s="188">
        <f>Tableau4[[#This Row],[AF 1 ($)]]/Tableau4[[#This Row],[Nombres appareils installés]]</f>
        <v>2275</v>
      </c>
      <c r="S146" s="191">
        <f>Tableau4[[#This Row],[AF 1 ($)]]/(J146*D146)</f>
        <v>0.56611050974829857</v>
      </c>
      <c r="T146" s="191">
        <f>Tableau4[[#This Row],[Couverture 1 (%)]]*Tableau4[[#This Row],[Nombres appareils installés]]</f>
        <v>0.56611050974829857</v>
      </c>
      <c r="U146" s="188">
        <f>($U$4+($V$4*(Tableau4[[#This Row],[Capacité (BTU)]]/1000)))*Tableau4[[#This Row],[Nombres appareils installés]]</f>
        <v>2412.5</v>
      </c>
      <c r="V146" s="188">
        <f>Tableau4[[#This Row],[AF 2 ($)]]/Tableau4[[#This Row],[Nombres appareils installés]]</f>
        <v>2412.5</v>
      </c>
      <c r="W146" s="192">
        <f>Tableau4[[#This Row],[AF 2 par appareil ($)]]/Tableau4[[#This Row],[Surcoût par appareil ($)]]</f>
        <v>0.60032598011770122</v>
      </c>
      <c r="X146" s="192">
        <f>Tableau4[[#This Row],[Couverture 2 (%)]]*Tableau4[[#This Row],[Nombres appareils installés]]</f>
        <v>0.60032598011770122</v>
      </c>
      <c r="Y146" s="188">
        <f>($Y$4+$Z$4*(Tableau4[[#This Row],[Capacité (BTU)]]/1000))*Tableau4[[#This Row],[Nombres appareils installés]]</f>
        <v>2775</v>
      </c>
      <c r="Z146" s="188">
        <f>Tableau4[[#This Row],[AF 3 ($)]]/Tableau4[[#This Row],[Nombres appareils installés]]</f>
        <v>2775</v>
      </c>
      <c r="AA146" s="193">
        <f>Tableau4[[#This Row],[AF 3 par appareil ($)]]/Tableau4[[#This Row],[Surcoût par appareil ($)]]</f>
        <v>0.69053040200067184</v>
      </c>
      <c r="AB146" s="193">
        <f>Tableau4[[#This Row],[Couverture 3 (%)]]*Tableau4[[#This Row],[Nombres appareils installés]]</f>
        <v>0.69053040200067184</v>
      </c>
      <c r="AC146" s="188">
        <f>($AC$4+$AD$4*(Tableau4[[#This Row],[Capacité (BTU)]]/1000))*Tableau4[[#This Row],[Nombres appareils installés]]</f>
        <v>2420</v>
      </c>
      <c r="AD146" s="188">
        <f>Tableau4[[#This Row],[AF 4 ($)]]/Tableau4[[#This Row],[Nombres appareils installés]]</f>
        <v>2420</v>
      </c>
      <c r="AE146" s="194">
        <f>Tableau4[[#This Row],[Couverture 4 (%)]]*Tableau4[[#This Row],[Nombres appareils installés]]</f>
        <v>0.60219227850148682</v>
      </c>
      <c r="AF146" s="193">
        <f>Tableau4[[#This Row],[AF 4 par appareil  ($)]]/Tableau4[[#This Row],[Surcoût par appareil ($)]]</f>
        <v>0.60219227850148682</v>
      </c>
    </row>
    <row r="147" spans="2:32" x14ac:dyDescent="0.3">
      <c r="B147" s="195" t="s">
        <v>258</v>
      </c>
      <c r="C147" s="188" t="s">
        <v>259</v>
      </c>
      <c r="D147" s="188">
        <v>1</v>
      </c>
      <c r="E147" s="188">
        <v>155000</v>
      </c>
      <c r="F147" s="196">
        <f>Tableau4[[#This Row],[Economies totales (m3)]]/Tableau4[[#This Row],[Nombres appareils installés]]</f>
        <v>782.75</v>
      </c>
      <c r="G147" s="190">
        <v>782.75</v>
      </c>
      <c r="H147" s="188">
        <f t="shared" si="4"/>
        <v>2238.65</v>
      </c>
      <c r="I147" s="188">
        <v>2400</v>
      </c>
      <c r="J147" s="188">
        <f>Tableau4[[#This Row],[Surcoût moyens de l''équipement ($)]]+Tableau4[[#This Row],[Surcoût moyen de l''installation ($)]]</f>
        <v>4638.6499999999996</v>
      </c>
      <c r="K147" s="188">
        <f>Tableau4[[#This Row],[Surcoût par appareil ($)]]*Tableau4[[#This Row],[Nombres appareils installés]]</f>
        <v>4638.6499999999996</v>
      </c>
      <c r="L147" s="190">
        <v>1700</v>
      </c>
      <c r="M147" s="188">
        <f t="shared" si="5"/>
        <v>1675</v>
      </c>
      <c r="N147" s="188">
        <f>Tableau4[[#This Row],[AF 0 ($)]]/Tableau4[[#This Row],[Nombres appareils installés]]</f>
        <v>1675</v>
      </c>
      <c r="O147" s="191">
        <f>(Tableau4[[#This Row],[AF accordée ($)]])/($J$6*D147)</f>
        <v>0.42463905680171854</v>
      </c>
      <c r="P147" s="191">
        <f>Tableau4[[#This Row],[Couverture 0 (%)]]*Tableau4[[#This Row],[Nombres appareils installés]]</f>
        <v>0.42463905680171854</v>
      </c>
      <c r="Q147" s="188">
        <f>($Q$4+$R$4*(Tableau4[[#This Row],[Capacité (BTU)]]/1000))*Tableau4[[#This Row],[Nombres appareils installés]]</f>
        <v>2775</v>
      </c>
      <c r="R147" s="188">
        <f>Tableau4[[#This Row],[AF 1 ($)]]/Tableau4[[#This Row],[Nombres appareils installés]]</f>
        <v>2775</v>
      </c>
      <c r="S147" s="191">
        <f>Tableau4[[#This Row],[AF 1 ($)]]/(J147*D147)</f>
        <v>0.59823440009485518</v>
      </c>
      <c r="T147" s="191">
        <f>Tableau4[[#This Row],[Couverture 1 (%)]]*Tableau4[[#This Row],[Nombres appareils installés]]</f>
        <v>0.59823440009485518</v>
      </c>
      <c r="U147" s="188">
        <f>($U$4+($V$4*(Tableau4[[#This Row],[Capacité (BTU)]]/1000)))*Tableau4[[#This Row],[Nombres appareils installés]]</f>
        <v>3162.5</v>
      </c>
      <c r="V147" s="188">
        <f>Tableau4[[#This Row],[AF 2 ($)]]/Tableau4[[#This Row],[Nombres appareils installés]]</f>
        <v>3162.5</v>
      </c>
      <c r="W147" s="192">
        <f>Tableau4[[#This Row],[AF 2 par appareil ($)]]/Tableau4[[#This Row],[Surcoût par appareil ($)]]</f>
        <v>0.68177163614413683</v>
      </c>
      <c r="X147" s="192">
        <f>Tableau4[[#This Row],[Couverture 2 (%)]]*Tableau4[[#This Row],[Nombres appareils installés]]</f>
        <v>0.68177163614413683</v>
      </c>
      <c r="Y147" s="188">
        <f>($Y$4+$Z$4*(Tableau4[[#This Row],[Capacité (BTU)]]/1000))*Tableau4[[#This Row],[Nombres appareils installés]]</f>
        <v>3275</v>
      </c>
      <c r="Z147" s="188">
        <f>Tableau4[[#This Row],[AF 3 ($)]]/Tableau4[[#This Row],[Nombres appareils installés]]</f>
        <v>3275</v>
      </c>
      <c r="AA147" s="193">
        <f>Tableau4[[#This Row],[AF 3 par appareil ($)]]/Tableau4[[#This Row],[Surcoût par appareil ($)]]</f>
        <v>0.70602438209392826</v>
      </c>
      <c r="AB147" s="193">
        <f>Tableau4[[#This Row],[Couverture 3 (%)]]*Tableau4[[#This Row],[Nombres appareils installés]]</f>
        <v>0.70602438209392826</v>
      </c>
      <c r="AC147" s="188">
        <f>($AC$4+$AD$4*(Tableau4[[#This Row],[Capacité (BTU)]]/1000))*Tableau4[[#This Row],[Nombres appareils installés]]</f>
        <v>2820</v>
      </c>
      <c r="AD147" s="188">
        <f>Tableau4[[#This Row],[AF 4 ($)]]/Tableau4[[#This Row],[Nombres appareils installés]]</f>
        <v>2820</v>
      </c>
      <c r="AE147" s="194">
        <f>Tableau4[[#This Row],[Couverture 4 (%)]]*Tableau4[[#This Row],[Nombres appareils installés]]</f>
        <v>0.6079354984747718</v>
      </c>
      <c r="AF147" s="193">
        <f>Tableau4[[#This Row],[AF 4 par appareil  ($)]]/Tableau4[[#This Row],[Surcoût par appareil ($)]]</f>
        <v>0.6079354984747718</v>
      </c>
    </row>
    <row r="148" spans="2:32" x14ac:dyDescent="0.3">
      <c r="B148" s="195" t="s">
        <v>258</v>
      </c>
      <c r="C148" s="188" t="s">
        <v>168</v>
      </c>
      <c r="D148" s="188">
        <v>1</v>
      </c>
      <c r="E148" s="188">
        <v>155000</v>
      </c>
      <c r="F148" s="196">
        <f>Tableau4[[#This Row],[Economies totales (m3)]]/Tableau4[[#This Row],[Nombres appareils installés]]</f>
        <v>782.75</v>
      </c>
      <c r="G148" s="190">
        <v>782.75</v>
      </c>
      <c r="H148" s="188">
        <f t="shared" si="4"/>
        <v>2238.65</v>
      </c>
      <c r="I148" s="188">
        <v>2400</v>
      </c>
      <c r="J148" s="188">
        <f>Tableau4[[#This Row],[Surcoût moyens de l''équipement ($)]]+Tableau4[[#This Row],[Surcoût moyen de l''installation ($)]]</f>
        <v>4638.6499999999996</v>
      </c>
      <c r="K148" s="188">
        <f>Tableau4[[#This Row],[Surcoût par appareil ($)]]*Tableau4[[#This Row],[Nombres appareils installés]]</f>
        <v>4638.6499999999996</v>
      </c>
      <c r="L148" s="190">
        <v>1675</v>
      </c>
      <c r="M148" s="188">
        <f t="shared" si="5"/>
        <v>1675</v>
      </c>
      <c r="N148" s="188">
        <f>Tableau4[[#This Row],[AF 0 ($)]]/Tableau4[[#This Row],[Nombres appareils installés]]</f>
        <v>1675</v>
      </c>
      <c r="O148" s="191">
        <f>(Tableau4[[#This Row],[AF accordée ($)]])/($J$6*D148)</f>
        <v>0.41839436478992853</v>
      </c>
      <c r="P148" s="191">
        <f>Tableau4[[#This Row],[Couverture 0 (%)]]*Tableau4[[#This Row],[Nombres appareils installés]]</f>
        <v>0.41839436478992853</v>
      </c>
      <c r="Q148" s="188">
        <f>($Q$4+$R$4*(Tableau4[[#This Row],[Capacité (BTU)]]/1000))*Tableau4[[#This Row],[Nombres appareils installés]]</f>
        <v>2775</v>
      </c>
      <c r="R148" s="188">
        <f>Tableau4[[#This Row],[AF 1 ($)]]/Tableau4[[#This Row],[Nombres appareils installés]]</f>
        <v>2775</v>
      </c>
      <c r="S148" s="191">
        <f>Tableau4[[#This Row],[AF 1 ($)]]/(J148*D148)</f>
        <v>0.59823440009485518</v>
      </c>
      <c r="T148" s="191">
        <f>Tableau4[[#This Row],[Couverture 1 (%)]]*Tableau4[[#This Row],[Nombres appareils installés]]</f>
        <v>0.59823440009485518</v>
      </c>
      <c r="U148" s="188">
        <f>($U$4+($V$4*(Tableau4[[#This Row],[Capacité (BTU)]]/1000)))*Tableau4[[#This Row],[Nombres appareils installés]]</f>
        <v>3162.5</v>
      </c>
      <c r="V148" s="188">
        <f>Tableau4[[#This Row],[AF 2 ($)]]/Tableau4[[#This Row],[Nombres appareils installés]]</f>
        <v>3162.5</v>
      </c>
      <c r="W148" s="192">
        <f>Tableau4[[#This Row],[AF 2 par appareil ($)]]/Tableau4[[#This Row],[Surcoût par appareil ($)]]</f>
        <v>0.68177163614413683</v>
      </c>
      <c r="X148" s="192">
        <f>Tableau4[[#This Row],[Couverture 2 (%)]]*Tableau4[[#This Row],[Nombres appareils installés]]</f>
        <v>0.68177163614413683</v>
      </c>
      <c r="Y148" s="188">
        <f>($Y$4+$Z$4*(Tableau4[[#This Row],[Capacité (BTU)]]/1000))*Tableau4[[#This Row],[Nombres appareils installés]]</f>
        <v>3275</v>
      </c>
      <c r="Z148" s="188">
        <f>Tableau4[[#This Row],[AF 3 ($)]]/Tableau4[[#This Row],[Nombres appareils installés]]</f>
        <v>3275</v>
      </c>
      <c r="AA148" s="193">
        <f>Tableau4[[#This Row],[AF 3 par appareil ($)]]/Tableau4[[#This Row],[Surcoût par appareil ($)]]</f>
        <v>0.70602438209392826</v>
      </c>
      <c r="AB148" s="193">
        <f>Tableau4[[#This Row],[Couverture 3 (%)]]*Tableau4[[#This Row],[Nombres appareils installés]]</f>
        <v>0.70602438209392826</v>
      </c>
      <c r="AC148" s="188">
        <f>($AC$4+$AD$4*(Tableau4[[#This Row],[Capacité (BTU)]]/1000))*Tableau4[[#This Row],[Nombres appareils installés]]</f>
        <v>2820</v>
      </c>
      <c r="AD148" s="188">
        <f>Tableau4[[#This Row],[AF 4 ($)]]/Tableau4[[#This Row],[Nombres appareils installés]]</f>
        <v>2820</v>
      </c>
      <c r="AE148" s="194">
        <f>Tableau4[[#This Row],[Couverture 4 (%)]]*Tableau4[[#This Row],[Nombres appareils installés]]</f>
        <v>0.6079354984747718</v>
      </c>
      <c r="AF148" s="193">
        <f>Tableau4[[#This Row],[AF 4 par appareil  ($)]]/Tableau4[[#This Row],[Surcoût par appareil ($)]]</f>
        <v>0.6079354984747718</v>
      </c>
    </row>
    <row r="149" spans="2:32" x14ac:dyDescent="0.3">
      <c r="B149" s="195" t="s">
        <v>258</v>
      </c>
      <c r="C149" s="188" t="s">
        <v>260</v>
      </c>
      <c r="D149" s="188">
        <v>1</v>
      </c>
      <c r="E149" s="188">
        <v>175000</v>
      </c>
      <c r="F149" s="196">
        <f>Tableau4[[#This Row],[Economies totales (m3)]]/Tableau4[[#This Row],[Nombres appareils installés]]</f>
        <v>883.75</v>
      </c>
      <c r="G149" s="190">
        <v>883.75</v>
      </c>
      <c r="H149" s="188">
        <f t="shared" si="4"/>
        <v>2434.65</v>
      </c>
      <c r="I149" s="188">
        <v>2400</v>
      </c>
      <c r="J149" s="188">
        <f>Tableau4[[#This Row],[Surcoût moyens de l''équipement ($)]]+Tableau4[[#This Row],[Surcoût moyen de l''installation ($)]]</f>
        <v>4834.6499999999996</v>
      </c>
      <c r="K149" s="188">
        <f>Tableau4[[#This Row],[Surcoût par appareil ($)]]*Tableau4[[#This Row],[Nombres appareils installés]]</f>
        <v>4834.6499999999996</v>
      </c>
      <c r="L149" s="190">
        <v>1775</v>
      </c>
      <c r="M149" s="188">
        <f t="shared" si="5"/>
        <v>1775</v>
      </c>
      <c r="N149" s="188">
        <f>Tableau4[[#This Row],[AF 0 ($)]]/Tableau4[[#This Row],[Nombres appareils installés]]</f>
        <v>1775</v>
      </c>
      <c r="O149" s="191">
        <f>(Tableau4[[#This Row],[AF accordée ($)]])/($J$6*D149)</f>
        <v>0.44337313283708846</v>
      </c>
      <c r="P149" s="191">
        <f>Tableau4[[#This Row],[Couverture 0 (%)]]*Tableau4[[#This Row],[Nombres appareils installés]]</f>
        <v>0.44337313283708846</v>
      </c>
      <c r="Q149" s="188">
        <f>($Q$4+$R$4*(Tableau4[[#This Row],[Capacité (BTU)]]/1000))*Tableau4[[#This Row],[Nombres appareils installés]]</f>
        <v>2875</v>
      </c>
      <c r="R149" s="188">
        <f>Tableau4[[#This Row],[AF 1 ($)]]/Tableau4[[#This Row],[Nombres appareils installés]]</f>
        <v>2875</v>
      </c>
      <c r="S149" s="191">
        <f>Tableau4[[#This Row],[AF 1 ($)]]/(J149*D149)</f>
        <v>0.59466559109759765</v>
      </c>
      <c r="T149" s="191">
        <f>Tableau4[[#This Row],[Couverture 1 (%)]]*Tableau4[[#This Row],[Nombres appareils installés]]</f>
        <v>0.59466559109759765</v>
      </c>
      <c r="U149" s="188">
        <f>($U$4+($V$4*(Tableau4[[#This Row],[Capacité (BTU)]]/1000)))*Tableau4[[#This Row],[Nombres appareils installés]]</f>
        <v>3312.5</v>
      </c>
      <c r="V149" s="188">
        <f>Tableau4[[#This Row],[AF 2 ($)]]/Tableau4[[#This Row],[Nombres appareils installés]]</f>
        <v>3312.5</v>
      </c>
      <c r="W149" s="192">
        <f>Tableau4[[#This Row],[AF 2 par appareil ($)]]/Tableau4[[#This Row],[Surcoût par appareil ($)]]</f>
        <v>0.68515818104723203</v>
      </c>
      <c r="X149" s="192">
        <f>Tableau4[[#This Row],[Couverture 2 (%)]]*Tableau4[[#This Row],[Nombres appareils installés]]</f>
        <v>0.68515818104723203</v>
      </c>
      <c r="Y149" s="188">
        <f>($Y$4+$Z$4*(Tableau4[[#This Row],[Capacité (BTU)]]/1000))*Tableau4[[#This Row],[Nombres appareils installés]]</f>
        <v>3375</v>
      </c>
      <c r="Z149" s="188">
        <f>Tableau4[[#This Row],[AF 3 ($)]]/Tableau4[[#This Row],[Nombres appareils installés]]</f>
        <v>3375</v>
      </c>
      <c r="AA149" s="193">
        <f>Tableau4[[#This Row],[AF 3 par appareil ($)]]/Tableau4[[#This Row],[Surcoût par appareil ($)]]</f>
        <v>0.69808569389717978</v>
      </c>
      <c r="AB149" s="193">
        <f>Tableau4[[#This Row],[Couverture 3 (%)]]*Tableau4[[#This Row],[Nombres appareils installés]]</f>
        <v>0.69808569389717978</v>
      </c>
      <c r="AC149" s="188">
        <f>($AC$4+$AD$4*(Tableau4[[#This Row],[Capacité (BTU)]]/1000))*Tableau4[[#This Row],[Nombres appareils installés]]</f>
        <v>2900</v>
      </c>
      <c r="AD149" s="188">
        <f>Tableau4[[#This Row],[AF 4 ($)]]/Tableau4[[#This Row],[Nombres appareils installés]]</f>
        <v>2900</v>
      </c>
      <c r="AE149" s="194">
        <f>Tableau4[[#This Row],[Couverture 4 (%)]]*Tableau4[[#This Row],[Nombres appareils installés]]</f>
        <v>0.59983659623757668</v>
      </c>
      <c r="AF149" s="193">
        <f>Tableau4[[#This Row],[AF 4 par appareil  ($)]]/Tableau4[[#This Row],[Surcoût par appareil ($)]]</f>
        <v>0.59983659623757668</v>
      </c>
    </row>
    <row r="150" spans="2:32" x14ac:dyDescent="0.3">
      <c r="B150" s="195" t="s">
        <v>258</v>
      </c>
      <c r="C150" s="188" t="s">
        <v>261</v>
      </c>
      <c r="D150" s="188">
        <v>1</v>
      </c>
      <c r="E150" s="188">
        <v>175000</v>
      </c>
      <c r="F150" s="196">
        <f>Tableau4[[#This Row],[Economies totales (m3)]]/Tableau4[[#This Row],[Nombres appareils installés]]</f>
        <v>883.75</v>
      </c>
      <c r="G150" s="190">
        <v>883.75</v>
      </c>
      <c r="H150" s="188">
        <f t="shared" si="4"/>
        <v>2434.65</v>
      </c>
      <c r="I150" s="188">
        <v>2400</v>
      </c>
      <c r="J150" s="188">
        <f>Tableau4[[#This Row],[Surcoût moyens de l''équipement ($)]]+Tableau4[[#This Row],[Surcoût moyen de l''installation ($)]]</f>
        <v>4834.6499999999996</v>
      </c>
      <c r="K150" s="188">
        <f>Tableau4[[#This Row],[Surcoût par appareil ($)]]*Tableau4[[#This Row],[Nombres appareils installés]]</f>
        <v>4834.6499999999996</v>
      </c>
      <c r="L150" s="190">
        <v>1775</v>
      </c>
      <c r="M150" s="188">
        <f t="shared" si="5"/>
        <v>1775</v>
      </c>
      <c r="N150" s="188">
        <f>Tableau4[[#This Row],[AF 0 ($)]]/Tableau4[[#This Row],[Nombres appareils installés]]</f>
        <v>1775</v>
      </c>
      <c r="O150" s="191">
        <f>(Tableau4[[#This Row],[AF accordée ($)]])/($J$6*D150)</f>
        <v>0.44337313283708846</v>
      </c>
      <c r="P150" s="191">
        <f>Tableau4[[#This Row],[Couverture 0 (%)]]*Tableau4[[#This Row],[Nombres appareils installés]]</f>
        <v>0.44337313283708846</v>
      </c>
      <c r="Q150" s="188">
        <f>($Q$4+$R$4*(Tableau4[[#This Row],[Capacité (BTU)]]/1000))*Tableau4[[#This Row],[Nombres appareils installés]]</f>
        <v>2875</v>
      </c>
      <c r="R150" s="188">
        <f>Tableau4[[#This Row],[AF 1 ($)]]/Tableau4[[#This Row],[Nombres appareils installés]]</f>
        <v>2875</v>
      </c>
      <c r="S150" s="191">
        <f>Tableau4[[#This Row],[AF 1 ($)]]/(J150*D150)</f>
        <v>0.59466559109759765</v>
      </c>
      <c r="T150" s="191">
        <f>Tableau4[[#This Row],[Couverture 1 (%)]]*Tableau4[[#This Row],[Nombres appareils installés]]</f>
        <v>0.59466559109759765</v>
      </c>
      <c r="U150" s="188">
        <f>($U$4+($V$4*(Tableau4[[#This Row],[Capacité (BTU)]]/1000)))*Tableau4[[#This Row],[Nombres appareils installés]]</f>
        <v>3312.5</v>
      </c>
      <c r="V150" s="188">
        <f>Tableau4[[#This Row],[AF 2 ($)]]/Tableau4[[#This Row],[Nombres appareils installés]]</f>
        <v>3312.5</v>
      </c>
      <c r="W150" s="192">
        <f>Tableau4[[#This Row],[AF 2 par appareil ($)]]/Tableau4[[#This Row],[Surcoût par appareil ($)]]</f>
        <v>0.68515818104723203</v>
      </c>
      <c r="X150" s="192">
        <f>Tableau4[[#This Row],[Couverture 2 (%)]]*Tableau4[[#This Row],[Nombres appareils installés]]</f>
        <v>0.68515818104723203</v>
      </c>
      <c r="Y150" s="188">
        <f>($Y$4+$Z$4*(Tableau4[[#This Row],[Capacité (BTU)]]/1000))*Tableau4[[#This Row],[Nombres appareils installés]]</f>
        <v>3375</v>
      </c>
      <c r="Z150" s="188">
        <f>Tableau4[[#This Row],[AF 3 ($)]]/Tableau4[[#This Row],[Nombres appareils installés]]</f>
        <v>3375</v>
      </c>
      <c r="AA150" s="193">
        <f>Tableau4[[#This Row],[AF 3 par appareil ($)]]/Tableau4[[#This Row],[Surcoût par appareil ($)]]</f>
        <v>0.69808569389717978</v>
      </c>
      <c r="AB150" s="193">
        <f>Tableau4[[#This Row],[Couverture 3 (%)]]*Tableau4[[#This Row],[Nombres appareils installés]]</f>
        <v>0.69808569389717978</v>
      </c>
      <c r="AC150" s="188">
        <f>($AC$4+$AD$4*(Tableau4[[#This Row],[Capacité (BTU)]]/1000))*Tableau4[[#This Row],[Nombres appareils installés]]</f>
        <v>2900</v>
      </c>
      <c r="AD150" s="188">
        <f>Tableau4[[#This Row],[AF 4 ($)]]/Tableau4[[#This Row],[Nombres appareils installés]]</f>
        <v>2900</v>
      </c>
      <c r="AE150" s="194">
        <f>Tableau4[[#This Row],[Couverture 4 (%)]]*Tableau4[[#This Row],[Nombres appareils installés]]</f>
        <v>0.59983659623757668</v>
      </c>
      <c r="AF150" s="193">
        <f>Tableau4[[#This Row],[AF 4 par appareil  ($)]]/Tableau4[[#This Row],[Surcoût par appareil ($)]]</f>
        <v>0.59983659623757668</v>
      </c>
    </row>
    <row r="151" spans="2:32" x14ac:dyDescent="0.3">
      <c r="B151" s="195" t="s">
        <v>258</v>
      </c>
      <c r="C151" s="188" t="s">
        <v>262</v>
      </c>
      <c r="D151" s="188">
        <v>2</v>
      </c>
      <c r="E151" s="188">
        <v>175000</v>
      </c>
      <c r="F151" s="196">
        <f>Tableau4[[#This Row],[Economies totales (m3)]]/Tableau4[[#This Row],[Nombres appareils installés]]</f>
        <v>883.75</v>
      </c>
      <c r="G151" s="190">
        <v>1767.5</v>
      </c>
      <c r="H151" s="188">
        <f t="shared" si="4"/>
        <v>2434.65</v>
      </c>
      <c r="I151" s="188">
        <v>2400</v>
      </c>
      <c r="J151" s="188">
        <f>Tableau4[[#This Row],[Surcoût moyens de l''équipement ($)]]+Tableau4[[#This Row],[Surcoût moyen de l''installation ($)]]</f>
        <v>4834.6499999999996</v>
      </c>
      <c r="K151" s="188">
        <f>Tableau4[[#This Row],[Surcoût par appareil ($)]]*Tableau4[[#This Row],[Nombres appareils installés]]</f>
        <v>9669.2999999999993</v>
      </c>
      <c r="L151" s="190">
        <v>3550</v>
      </c>
      <c r="M151" s="188">
        <f t="shared" si="5"/>
        <v>3550</v>
      </c>
      <c r="N151" s="188">
        <f>Tableau4[[#This Row],[AF 0 ($)]]/Tableau4[[#This Row],[Nombres appareils installés]]</f>
        <v>1775</v>
      </c>
      <c r="O151" s="191">
        <f>(Tableau4[[#This Row],[AF accordée ($)]])/($J$6*D151)</f>
        <v>0.44337313283708846</v>
      </c>
      <c r="P151" s="191">
        <f>Tableau4[[#This Row],[Couverture 0 (%)]]*Tableau4[[#This Row],[Nombres appareils installés]]</f>
        <v>0.88674626567417691</v>
      </c>
      <c r="Q151" s="188">
        <f>($Q$4+$R$4*(Tableau4[[#This Row],[Capacité (BTU)]]/1000))*Tableau4[[#This Row],[Nombres appareils installés]]</f>
        <v>5750</v>
      </c>
      <c r="R151" s="188">
        <f>Tableau4[[#This Row],[AF 1 ($)]]/Tableau4[[#This Row],[Nombres appareils installés]]</f>
        <v>2875</v>
      </c>
      <c r="S151" s="191">
        <f>Tableau4[[#This Row],[AF 1 ($)]]/(J151*D151)</f>
        <v>0.59466559109759765</v>
      </c>
      <c r="T151" s="191">
        <f>Tableau4[[#This Row],[Couverture 1 (%)]]*Tableau4[[#This Row],[Nombres appareils installés]]</f>
        <v>1.1893311821951953</v>
      </c>
      <c r="U151" s="188">
        <f>($U$4+($V$4*(Tableau4[[#This Row],[Capacité (BTU)]]/1000)))*Tableau4[[#This Row],[Nombres appareils installés]]</f>
        <v>6625</v>
      </c>
      <c r="V151" s="188">
        <f>Tableau4[[#This Row],[AF 2 ($)]]/Tableau4[[#This Row],[Nombres appareils installés]]</f>
        <v>3312.5</v>
      </c>
      <c r="W151" s="192">
        <f>Tableau4[[#This Row],[AF 2 par appareil ($)]]/Tableau4[[#This Row],[Surcoût par appareil ($)]]</f>
        <v>0.68515818104723203</v>
      </c>
      <c r="X151" s="192">
        <f>Tableau4[[#This Row],[Couverture 2 (%)]]*Tableau4[[#This Row],[Nombres appareils installés]]</f>
        <v>1.3703163620944641</v>
      </c>
      <c r="Y151" s="188">
        <f>($Y$4+$Z$4*(Tableau4[[#This Row],[Capacité (BTU)]]/1000))*Tableau4[[#This Row],[Nombres appareils installés]]</f>
        <v>6750</v>
      </c>
      <c r="Z151" s="188">
        <f>Tableau4[[#This Row],[AF 3 ($)]]/Tableau4[[#This Row],[Nombres appareils installés]]</f>
        <v>3375</v>
      </c>
      <c r="AA151" s="193">
        <f>Tableau4[[#This Row],[AF 3 par appareil ($)]]/Tableau4[[#This Row],[Surcoût par appareil ($)]]</f>
        <v>0.69808569389717978</v>
      </c>
      <c r="AB151" s="193">
        <f>Tableau4[[#This Row],[Couverture 3 (%)]]*Tableau4[[#This Row],[Nombres appareils installés]]</f>
        <v>1.3961713877943596</v>
      </c>
      <c r="AC151" s="188">
        <f>($AC$4+$AD$4*(Tableau4[[#This Row],[Capacité (BTU)]]/1000))*Tableau4[[#This Row],[Nombres appareils installés]]</f>
        <v>5800</v>
      </c>
      <c r="AD151" s="188">
        <f>Tableau4[[#This Row],[AF 4 ($)]]/Tableau4[[#This Row],[Nombres appareils installés]]</f>
        <v>2900</v>
      </c>
      <c r="AE151" s="194">
        <f>Tableau4[[#This Row],[Couverture 4 (%)]]*Tableau4[[#This Row],[Nombres appareils installés]]</f>
        <v>1.1996731924751534</v>
      </c>
      <c r="AF151" s="193">
        <f>Tableau4[[#This Row],[AF 4 par appareil  ($)]]/Tableau4[[#This Row],[Surcoût par appareil ($)]]</f>
        <v>0.59983659623757668</v>
      </c>
    </row>
    <row r="152" spans="2:32" x14ac:dyDescent="0.3">
      <c r="B152" s="195" t="s">
        <v>258</v>
      </c>
      <c r="C152" s="188" t="s">
        <v>263</v>
      </c>
      <c r="D152" s="188">
        <v>2</v>
      </c>
      <c r="E152" s="188">
        <v>175000</v>
      </c>
      <c r="F152" s="196">
        <f>Tableau4[[#This Row],[Economies totales (m3)]]/Tableau4[[#This Row],[Nombres appareils installés]]</f>
        <v>883.75</v>
      </c>
      <c r="G152" s="190">
        <v>1767.5</v>
      </c>
      <c r="H152" s="188">
        <f t="shared" si="4"/>
        <v>2434.65</v>
      </c>
      <c r="I152" s="188">
        <v>2400</v>
      </c>
      <c r="J152" s="188">
        <f>Tableau4[[#This Row],[Surcoût moyens de l''équipement ($)]]+Tableau4[[#This Row],[Surcoût moyen de l''installation ($)]]</f>
        <v>4834.6499999999996</v>
      </c>
      <c r="K152" s="188">
        <f>Tableau4[[#This Row],[Surcoût par appareil ($)]]*Tableau4[[#This Row],[Nombres appareils installés]]</f>
        <v>9669.2999999999993</v>
      </c>
      <c r="L152" s="190">
        <v>3550</v>
      </c>
      <c r="M152" s="188">
        <f t="shared" si="5"/>
        <v>3550</v>
      </c>
      <c r="N152" s="188">
        <f>Tableau4[[#This Row],[AF 0 ($)]]/Tableau4[[#This Row],[Nombres appareils installés]]</f>
        <v>1775</v>
      </c>
      <c r="O152" s="191">
        <f>(Tableau4[[#This Row],[AF accordée ($)]])/($J$6*D152)</f>
        <v>0.44337313283708846</v>
      </c>
      <c r="P152" s="191">
        <f>Tableau4[[#This Row],[Couverture 0 (%)]]*Tableau4[[#This Row],[Nombres appareils installés]]</f>
        <v>0.88674626567417691</v>
      </c>
      <c r="Q152" s="188">
        <f>($Q$4+$R$4*(Tableau4[[#This Row],[Capacité (BTU)]]/1000))*Tableau4[[#This Row],[Nombres appareils installés]]</f>
        <v>5750</v>
      </c>
      <c r="R152" s="188">
        <f>Tableau4[[#This Row],[AF 1 ($)]]/Tableau4[[#This Row],[Nombres appareils installés]]</f>
        <v>2875</v>
      </c>
      <c r="S152" s="191">
        <f>Tableau4[[#This Row],[AF 1 ($)]]/(J152*D152)</f>
        <v>0.59466559109759765</v>
      </c>
      <c r="T152" s="191">
        <f>Tableau4[[#This Row],[Couverture 1 (%)]]*Tableau4[[#This Row],[Nombres appareils installés]]</f>
        <v>1.1893311821951953</v>
      </c>
      <c r="U152" s="188">
        <f>($U$4+($V$4*(Tableau4[[#This Row],[Capacité (BTU)]]/1000)))*Tableau4[[#This Row],[Nombres appareils installés]]</f>
        <v>6625</v>
      </c>
      <c r="V152" s="188">
        <f>Tableau4[[#This Row],[AF 2 ($)]]/Tableau4[[#This Row],[Nombres appareils installés]]</f>
        <v>3312.5</v>
      </c>
      <c r="W152" s="192">
        <f>Tableau4[[#This Row],[AF 2 par appareil ($)]]/Tableau4[[#This Row],[Surcoût par appareil ($)]]</f>
        <v>0.68515818104723203</v>
      </c>
      <c r="X152" s="192">
        <f>Tableau4[[#This Row],[Couverture 2 (%)]]*Tableau4[[#This Row],[Nombres appareils installés]]</f>
        <v>1.3703163620944641</v>
      </c>
      <c r="Y152" s="188">
        <f>($Y$4+$Z$4*(Tableau4[[#This Row],[Capacité (BTU)]]/1000))*Tableau4[[#This Row],[Nombres appareils installés]]</f>
        <v>6750</v>
      </c>
      <c r="Z152" s="188">
        <f>Tableau4[[#This Row],[AF 3 ($)]]/Tableau4[[#This Row],[Nombres appareils installés]]</f>
        <v>3375</v>
      </c>
      <c r="AA152" s="193">
        <f>Tableau4[[#This Row],[AF 3 par appareil ($)]]/Tableau4[[#This Row],[Surcoût par appareil ($)]]</f>
        <v>0.69808569389717978</v>
      </c>
      <c r="AB152" s="193">
        <f>Tableau4[[#This Row],[Couverture 3 (%)]]*Tableau4[[#This Row],[Nombres appareils installés]]</f>
        <v>1.3961713877943596</v>
      </c>
      <c r="AC152" s="188">
        <f>($AC$4+$AD$4*(Tableau4[[#This Row],[Capacité (BTU)]]/1000))*Tableau4[[#This Row],[Nombres appareils installés]]</f>
        <v>5800</v>
      </c>
      <c r="AD152" s="188">
        <f>Tableau4[[#This Row],[AF 4 ($)]]/Tableau4[[#This Row],[Nombres appareils installés]]</f>
        <v>2900</v>
      </c>
      <c r="AE152" s="194">
        <f>Tableau4[[#This Row],[Couverture 4 (%)]]*Tableau4[[#This Row],[Nombres appareils installés]]</f>
        <v>1.1996731924751534</v>
      </c>
      <c r="AF152" s="193">
        <f>Tableau4[[#This Row],[AF 4 par appareil  ($)]]/Tableau4[[#This Row],[Surcoût par appareil ($)]]</f>
        <v>0.59983659623757668</v>
      </c>
    </row>
    <row r="153" spans="2:32" x14ac:dyDescent="0.3">
      <c r="B153" s="195" t="s">
        <v>258</v>
      </c>
      <c r="C153" s="188" t="s">
        <v>168</v>
      </c>
      <c r="D153" s="188">
        <v>1</v>
      </c>
      <c r="E153" s="188">
        <v>180000</v>
      </c>
      <c r="F153" s="196">
        <f>Tableau4[[#This Row],[Economies totales (m3)]]/Tableau4[[#This Row],[Nombres appareils installés]]</f>
        <v>909</v>
      </c>
      <c r="G153" s="190">
        <v>909</v>
      </c>
      <c r="H153" s="188">
        <f t="shared" si="4"/>
        <v>2487.4</v>
      </c>
      <c r="I153" s="188">
        <v>2400</v>
      </c>
      <c r="J153" s="188">
        <f>Tableau4[[#This Row],[Surcoût moyens de l''équipement ($)]]+Tableau4[[#This Row],[Surcoût moyen de l''installation ($)]]</f>
        <v>4887.3999999999996</v>
      </c>
      <c r="K153" s="188">
        <f>Tableau4[[#This Row],[Surcoût par appareil ($)]]*Tableau4[[#This Row],[Nombres appareils installés]]</f>
        <v>4887.3999999999996</v>
      </c>
      <c r="L153" s="190">
        <v>1700</v>
      </c>
      <c r="M153" s="188">
        <f t="shared" si="5"/>
        <v>1800</v>
      </c>
      <c r="N153" s="188">
        <f>Tableau4[[#This Row],[AF 0 ($)]]/Tableau4[[#This Row],[Nombres appareils installés]]</f>
        <v>1800</v>
      </c>
      <c r="O153" s="191">
        <f>(Tableau4[[#This Row],[AF accordée ($)]])/($J$6*D153)</f>
        <v>0.42463905680171854</v>
      </c>
      <c r="P153" s="191">
        <f>Tableau4[[#This Row],[Couverture 0 (%)]]*Tableau4[[#This Row],[Nombres appareils installés]]</f>
        <v>0.42463905680171854</v>
      </c>
      <c r="Q153" s="188">
        <f>($Q$4+$R$4*(Tableau4[[#This Row],[Capacité (BTU)]]/1000))*Tableau4[[#This Row],[Nombres appareils installés]]</f>
        <v>2900</v>
      </c>
      <c r="R153" s="188">
        <f>Tableau4[[#This Row],[AF 1 ($)]]/Tableau4[[#This Row],[Nombres appareils installés]]</f>
        <v>2900</v>
      </c>
      <c r="S153" s="191">
        <f>Tableau4[[#This Row],[AF 1 ($)]]/(J153*D153)</f>
        <v>0.59336252404141265</v>
      </c>
      <c r="T153" s="191">
        <f>Tableau4[[#This Row],[Couverture 1 (%)]]*Tableau4[[#This Row],[Nombres appareils installés]]</f>
        <v>0.59336252404141265</v>
      </c>
      <c r="U153" s="188">
        <f>($U$4+($V$4*(Tableau4[[#This Row],[Capacité (BTU)]]/1000)))*Tableau4[[#This Row],[Nombres appareils installés]]</f>
        <v>3350</v>
      </c>
      <c r="V153" s="188">
        <f>Tableau4[[#This Row],[AF 2 ($)]]/Tableau4[[#This Row],[Nombres appareils installés]]</f>
        <v>3350</v>
      </c>
      <c r="W153" s="192">
        <f>Tableau4[[#This Row],[AF 2 par appareil ($)]]/Tableau4[[#This Row],[Surcoût par appareil ($)]]</f>
        <v>0.68543601915128705</v>
      </c>
      <c r="X153" s="192">
        <f>Tableau4[[#This Row],[Couverture 2 (%)]]*Tableau4[[#This Row],[Nombres appareils installés]]</f>
        <v>0.68543601915128705</v>
      </c>
      <c r="Y153" s="188">
        <f>($Y$4+$Z$4*(Tableau4[[#This Row],[Capacité (BTU)]]/1000))*Tableau4[[#This Row],[Nombres appareils installés]]</f>
        <v>3400</v>
      </c>
      <c r="Z153" s="188">
        <f>Tableau4[[#This Row],[AF 3 ($)]]/Tableau4[[#This Row],[Nombres appareils installés]]</f>
        <v>3400</v>
      </c>
      <c r="AA153" s="193">
        <f>Tableau4[[#This Row],[AF 3 par appareil ($)]]/Tableau4[[#This Row],[Surcoût par appareil ($)]]</f>
        <v>0.69566640749682862</v>
      </c>
      <c r="AB153" s="193">
        <f>Tableau4[[#This Row],[Couverture 3 (%)]]*Tableau4[[#This Row],[Nombres appareils installés]]</f>
        <v>0.69566640749682862</v>
      </c>
      <c r="AC153" s="188">
        <f>($AC$4+$AD$4*(Tableau4[[#This Row],[Capacité (BTU)]]/1000))*Tableau4[[#This Row],[Nombres appareils installés]]</f>
        <v>2920</v>
      </c>
      <c r="AD153" s="188">
        <f>Tableau4[[#This Row],[AF 4 ($)]]/Tableau4[[#This Row],[Nombres appareils installés]]</f>
        <v>2920</v>
      </c>
      <c r="AE153" s="194">
        <f>Tableau4[[#This Row],[Couverture 4 (%)]]*Tableau4[[#This Row],[Nombres appareils installés]]</f>
        <v>0.59745467937962926</v>
      </c>
      <c r="AF153" s="193">
        <f>Tableau4[[#This Row],[AF 4 par appareil  ($)]]/Tableau4[[#This Row],[Surcoût par appareil ($)]]</f>
        <v>0.59745467937962926</v>
      </c>
    </row>
    <row r="154" spans="2:32" x14ac:dyDescent="0.3">
      <c r="B154" s="195" t="s">
        <v>258</v>
      </c>
      <c r="C154" s="188" t="s">
        <v>168</v>
      </c>
      <c r="D154" s="188">
        <v>3</v>
      </c>
      <c r="E154" s="188">
        <v>180000</v>
      </c>
      <c r="F154" s="196">
        <f>Tableau4[[#This Row],[Economies totales (m3)]]/Tableau4[[#This Row],[Nombres appareils installés]]</f>
        <v>909</v>
      </c>
      <c r="G154" s="190">
        <v>2727</v>
      </c>
      <c r="H154" s="188">
        <f t="shared" si="4"/>
        <v>2487.4</v>
      </c>
      <c r="I154" s="188">
        <v>2400</v>
      </c>
      <c r="J154" s="188">
        <f>Tableau4[[#This Row],[Surcoût moyens de l''équipement ($)]]+Tableau4[[#This Row],[Surcoût moyen de l''installation ($)]]</f>
        <v>4887.3999999999996</v>
      </c>
      <c r="K154" s="188">
        <f>Tableau4[[#This Row],[Surcoût par appareil ($)]]*Tableau4[[#This Row],[Nombres appareils installés]]</f>
        <v>14662.199999999999</v>
      </c>
      <c r="L154" s="190">
        <v>5100</v>
      </c>
      <c r="M154" s="188">
        <f t="shared" si="5"/>
        <v>5400</v>
      </c>
      <c r="N154" s="188">
        <f>Tableau4[[#This Row],[AF 0 ($)]]/Tableau4[[#This Row],[Nombres appareils installés]]</f>
        <v>1800</v>
      </c>
      <c r="O154" s="191">
        <f>(Tableau4[[#This Row],[AF accordée ($)]])/($J$6*D154)</f>
        <v>0.42463905680171854</v>
      </c>
      <c r="P154" s="191">
        <f>Tableau4[[#This Row],[Couverture 0 (%)]]*Tableau4[[#This Row],[Nombres appareils installés]]</f>
        <v>1.2739171704051557</v>
      </c>
      <c r="Q154" s="188">
        <f>($Q$4+$R$4*(Tableau4[[#This Row],[Capacité (BTU)]]/1000))*Tableau4[[#This Row],[Nombres appareils installés]]</f>
        <v>8700</v>
      </c>
      <c r="R154" s="188">
        <f>Tableau4[[#This Row],[AF 1 ($)]]/Tableau4[[#This Row],[Nombres appareils installés]]</f>
        <v>2900</v>
      </c>
      <c r="S154" s="191">
        <f>Tableau4[[#This Row],[AF 1 ($)]]/(J154*D154)</f>
        <v>0.59336252404141265</v>
      </c>
      <c r="T154" s="191">
        <f>Tableau4[[#This Row],[Couverture 1 (%)]]*Tableau4[[#This Row],[Nombres appareils installés]]</f>
        <v>1.780087572124238</v>
      </c>
      <c r="U154" s="188">
        <f>($U$4+($V$4*(Tableau4[[#This Row],[Capacité (BTU)]]/1000)))*Tableau4[[#This Row],[Nombres appareils installés]]</f>
        <v>10050</v>
      </c>
      <c r="V154" s="188">
        <f>Tableau4[[#This Row],[AF 2 ($)]]/Tableau4[[#This Row],[Nombres appareils installés]]</f>
        <v>3350</v>
      </c>
      <c r="W154" s="192">
        <f>Tableau4[[#This Row],[AF 2 par appareil ($)]]/Tableau4[[#This Row],[Surcoût par appareil ($)]]</f>
        <v>0.68543601915128705</v>
      </c>
      <c r="X154" s="192">
        <f>Tableau4[[#This Row],[Couverture 2 (%)]]*Tableau4[[#This Row],[Nombres appareils installés]]</f>
        <v>2.0563080574538612</v>
      </c>
      <c r="Y154" s="188">
        <f>($Y$4+$Z$4*(Tableau4[[#This Row],[Capacité (BTU)]]/1000))*Tableau4[[#This Row],[Nombres appareils installés]]</f>
        <v>10200</v>
      </c>
      <c r="Z154" s="188">
        <f>Tableau4[[#This Row],[AF 3 ($)]]/Tableau4[[#This Row],[Nombres appareils installés]]</f>
        <v>3400</v>
      </c>
      <c r="AA154" s="193">
        <f>Tableau4[[#This Row],[AF 3 par appareil ($)]]/Tableau4[[#This Row],[Surcoût par appareil ($)]]</f>
        <v>0.69566640749682862</v>
      </c>
      <c r="AB154" s="193">
        <f>Tableau4[[#This Row],[Couverture 3 (%)]]*Tableau4[[#This Row],[Nombres appareils installés]]</f>
        <v>2.0869992224904861</v>
      </c>
      <c r="AC154" s="188">
        <f>($AC$4+$AD$4*(Tableau4[[#This Row],[Capacité (BTU)]]/1000))*Tableau4[[#This Row],[Nombres appareils installés]]</f>
        <v>8760</v>
      </c>
      <c r="AD154" s="188">
        <f>Tableau4[[#This Row],[AF 4 ($)]]/Tableau4[[#This Row],[Nombres appareils installés]]</f>
        <v>2920</v>
      </c>
      <c r="AE154" s="194">
        <f>Tableau4[[#This Row],[Couverture 4 (%)]]*Tableau4[[#This Row],[Nombres appareils installés]]</f>
        <v>1.7923640381388877</v>
      </c>
      <c r="AF154" s="193">
        <f>Tableau4[[#This Row],[AF 4 par appareil  ($)]]/Tableau4[[#This Row],[Surcoût par appareil ($)]]</f>
        <v>0.59745467937962926</v>
      </c>
    </row>
    <row r="155" spans="2:32" x14ac:dyDescent="0.3">
      <c r="B155" s="195" t="s">
        <v>258</v>
      </c>
      <c r="C155" s="188" t="s">
        <v>264</v>
      </c>
      <c r="D155" s="188">
        <v>1</v>
      </c>
      <c r="E155" s="188">
        <v>200000</v>
      </c>
      <c r="F155" s="196">
        <f>Tableau4[[#This Row],[Economies totales (m3)]]/Tableau4[[#This Row],[Nombres appareils installés]]</f>
        <v>1010</v>
      </c>
      <c r="G155" s="190">
        <v>1010</v>
      </c>
      <c r="H155" s="188">
        <f t="shared" si="4"/>
        <v>2713.4</v>
      </c>
      <c r="I155" s="188">
        <v>2400</v>
      </c>
      <c r="J155" s="188">
        <f>Tableau4[[#This Row],[Surcoût moyens de l''équipement ($)]]+Tableau4[[#This Row],[Surcoût moyen de l''installation ($)]]</f>
        <v>5113.3999999999996</v>
      </c>
      <c r="K155" s="188">
        <f>Tableau4[[#This Row],[Surcoût par appareil ($)]]*Tableau4[[#This Row],[Nombres appareils installés]]</f>
        <v>5113.3999999999996</v>
      </c>
      <c r="L155" s="190">
        <v>1900</v>
      </c>
      <c r="M155" s="188">
        <f t="shared" si="5"/>
        <v>1900</v>
      </c>
      <c r="N155" s="188">
        <f>Tableau4[[#This Row],[AF 0 ($)]]/Tableau4[[#This Row],[Nombres appareils installés]]</f>
        <v>1900</v>
      </c>
      <c r="O155" s="191">
        <f>(Tableau4[[#This Row],[AF accordée ($)]])/($J$6*D155)</f>
        <v>0.47459659289603834</v>
      </c>
      <c r="P155" s="191">
        <f>Tableau4[[#This Row],[Couverture 0 (%)]]*Tableau4[[#This Row],[Nombres appareils installés]]</f>
        <v>0.47459659289603834</v>
      </c>
      <c r="Q155" s="188">
        <f>($Q$4+$R$4*(Tableau4[[#This Row],[Capacité (BTU)]]/1000))*Tableau4[[#This Row],[Nombres appareils installés]]</f>
        <v>3000</v>
      </c>
      <c r="R155" s="188">
        <f>Tableau4[[#This Row],[AF 1 ($)]]/Tableau4[[#This Row],[Nombres appareils installés]]</f>
        <v>3000</v>
      </c>
      <c r="S155" s="191">
        <f>Tableau4[[#This Row],[AF 1 ($)]]/(J155*D155)</f>
        <v>0.58669378495717139</v>
      </c>
      <c r="T155" s="191">
        <f>Tableau4[[#This Row],[Couverture 1 (%)]]*Tableau4[[#This Row],[Nombres appareils installés]]</f>
        <v>0.58669378495717139</v>
      </c>
      <c r="U155" s="188">
        <f>($U$4+($V$4*(Tableau4[[#This Row],[Capacité (BTU)]]/1000)))*Tableau4[[#This Row],[Nombres appareils installés]]</f>
        <v>3500</v>
      </c>
      <c r="V155" s="188">
        <f>Tableau4[[#This Row],[AF 2 ($)]]/Tableau4[[#This Row],[Nombres appareils installés]]</f>
        <v>3500</v>
      </c>
      <c r="W155" s="192">
        <f>Tableau4[[#This Row],[AF 2 par appareil ($)]]/Tableau4[[#This Row],[Surcoût par appareil ($)]]</f>
        <v>0.68447608245003333</v>
      </c>
      <c r="X155" s="192">
        <f>Tableau4[[#This Row],[Couverture 2 (%)]]*Tableau4[[#This Row],[Nombres appareils installés]]</f>
        <v>0.68447608245003333</v>
      </c>
      <c r="Y155" s="188">
        <f>($Y$4+$Z$4*(Tableau4[[#This Row],[Capacité (BTU)]]/1000))*Tableau4[[#This Row],[Nombres appareils installés]]</f>
        <v>3500</v>
      </c>
      <c r="Z155" s="188">
        <f>Tableau4[[#This Row],[AF 3 ($)]]/Tableau4[[#This Row],[Nombres appareils installés]]</f>
        <v>3500</v>
      </c>
      <c r="AA155" s="193">
        <f>Tableau4[[#This Row],[AF 3 par appareil ($)]]/Tableau4[[#This Row],[Surcoût par appareil ($)]]</f>
        <v>0.68447608245003333</v>
      </c>
      <c r="AB155" s="193">
        <f>Tableau4[[#This Row],[Couverture 3 (%)]]*Tableau4[[#This Row],[Nombres appareils installés]]</f>
        <v>0.68447608245003333</v>
      </c>
      <c r="AC155" s="188">
        <f>($AC$4+$AD$4*(Tableau4[[#This Row],[Capacité (BTU)]]/1000))*Tableau4[[#This Row],[Nombres appareils installés]]</f>
        <v>3000</v>
      </c>
      <c r="AD155" s="188">
        <f>Tableau4[[#This Row],[AF 4 ($)]]/Tableau4[[#This Row],[Nombres appareils installés]]</f>
        <v>3000</v>
      </c>
      <c r="AE155" s="194">
        <f>Tableau4[[#This Row],[Couverture 4 (%)]]*Tableau4[[#This Row],[Nombres appareils installés]]</f>
        <v>0.58669378495717139</v>
      </c>
      <c r="AF155" s="193">
        <f>Tableau4[[#This Row],[AF 4 par appareil  ($)]]/Tableau4[[#This Row],[Surcoût par appareil ($)]]</f>
        <v>0.58669378495717139</v>
      </c>
    </row>
    <row r="156" spans="2:32" x14ac:dyDescent="0.3">
      <c r="B156" s="195" t="s">
        <v>258</v>
      </c>
      <c r="C156" s="188" t="s">
        <v>265</v>
      </c>
      <c r="D156" s="188">
        <v>1</v>
      </c>
      <c r="E156" s="188">
        <v>215000</v>
      </c>
      <c r="F156" s="196">
        <f>Tableau4[[#This Row],[Economies totales (m3)]]/Tableau4[[#This Row],[Nombres appareils installés]]</f>
        <v>1085.75</v>
      </c>
      <c r="G156" s="190">
        <v>1085.75</v>
      </c>
      <c r="H156" s="188">
        <f t="shared" si="4"/>
        <v>2898.6499999999996</v>
      </c>
      <c r="I156" s="188">
        <v>2400</v>
      </c>
      <c r="J156" s="188">
        <f>Tableau4[[#This Row],[Surcoût moyens de l''équipement ($)]]+Tableau4[[#This Row],[Surcoût moyen de l''installation ($)]]</f>
        <v>5298.65</v>
      </c>
      <c r="K156" s="188">
        <f>Tableau4[[#This Row],[Surcoût par appareil ($)]]*Tableau4[[#This Row],[Nombres appareils installés]]</f>
        <v>5298.65</v>
      </c>
      <c r="L156" s="190">
        <v>1975</v>
      </c>
      <c r="M156" s="188">
        <f t="shared" si="5"/>
        <v>1975</v>
      </c>
      <c r="N156" s="188">
        <f>Tableau4[[#This Row],[AF 0 ($)]]/Tableau4[[#This Row],[Nombres appareils installés]]</f>
        <v>1975</v>
      </c>
      <c r="O156" s="191">
        <f>(Tableau4[[#This Row],[AF accordée ($)]])/($J$6*D156)</f>
        <v>0.49333066893140831</v>
      </c>
      <c r="P156" s="191">
        <f>Tableau4[[#This Row],[Couverture 0 (%)]]*Tableau4[[#This Row],[Nombres appareils installés]]</f>
        <v>0.49333066893140831</v>
      </c>
      <c r="Q156" s="188">
        <f>($Q$4+$R$4*(Tableau4[[#This Row],[Capacité (BTU)]]/1000))*Tableau4[[#This Row],[Nombres appareils installés]]</f>
        <v>3075</v>
      </c>
      <c r="R156" s="188">
        <f>Tableau4[[#This Row],[AF 1 ($)]]/Tableau4[[#This Row],[Nombres appareils installés]]</f>
        <v>3075</v>
      </c>
      <c r="S156" s="191">
        <f>Tableau4[[#This Row],[AF 1 ($)]]/(J156*D156)</f>
        <v>0.58033650080680932</v>
      </c>
      <c r="T156" s="191">
        <f>Tableau4[[#This Row],[Couverture 1 (%)]]*Tableau4[[#This Row],[Nombres appareils installés]]</f>
        <v>0.58033650080680932</v>
      </c>
      <c r="U156" s="188">
        <f>($U$4+($V$4*(Tableau4[[#This Row],[Capacité (BTU)]]/1000)))*Tableau4[[#This Row],[Nombres appareils installés]]</f>
        <v>3612.5</v>
      </c>
      <c r="V156" s="188">
        <f>Tableau4[[#This Row],[AF 2 ($)]]/Tableau4[[#This Row],[Nombres appareils installés]]</f>
        <v>3612.5</v>
      </c>
      <c r="W156" s="192">
        <f>Tableau4[[#This Row],[AF 2 par appareil ($)]]/Tableau4[[#This Row],[Surcoût par appareil ($)]]</f>
        <v>0.68177743387466627</v>
      </c>
      <c r="X156" s="192">
        <f>Tableau4[[#This Row],[Couverture 2 (%)]]*Tableau4[[#This Row],[Nombres appareils installés]]</f>
        <v>0.68177743387466627</v>
      </c>
      <c r="Y156" s="188">
        <f>($Y$4+$Z$4*(Tableau4[[#This Row],[Capacité (BTU)]]/1000))*Tableau4[[#This Row],[Nombres appareils installés]]</f>
        <v>3575</v>
      </c>
      <c r="Z156" s="188">
        <f>Tableau4[[#This Row],[AF 3 ($)]]/Tableau4[[#This Row],[Nombres appareils installés]]</f>
        <v>3575</v>
      </c>
      <c r="AA156" s="193">
        <f>Tableau4[[#This Row],[AF 3 par appareil ($)]]/Tableau4[[#This Row],[Surcoût par appareil ($)]]</f>
        <v>0.67470015947458317</v>
      </c>
      <c r="AB156" s="193">
        <f>Tableau4[[#This Row],[Couverture 3 (%)]]*Tableau4[[#This Row],[Nombres appareils installés]]</f>
        <v>0.67470015947458317</v>
      </c>
      <c r="AC156" s="188">
        <f>($AC$4+$AD$4*(Tableau4[[#This Row],[Capacité (BTU)]]/1000))*Tableau4[[#This Row],[Nombres appareils installés]]</f>
        <v>3060</v>
      </c>
      <c r="AD156" s="188">
        <f>Tableau4[[#This Row],[AF 4 ($)]]/Tableau4[[#This Row],[Nombres appareils installés]]</f>
        <v>3060</v>
      </c>
      <c r="AE156" s="194">
        <f>Tableau4[[#This Row],[Couverture 4 (%)]]*Tableau4[[#This Row],[Nombres appareils installés]]</f>
        <v>0.57750559104677612</v>
      </c>
      <c r="AF156" s="193">
        <f>Tableau4[[#This Row],[AF 4 par appareil  ($)]]/Tableau4[[#This Row],[Surcoût par appareil ($)]]</f>
        <v>0.57750559104677612</v>
      </c>
    </row>
    <row r="157" spans="2:32" x14ac:dyDescent="0.3">
      <c r="B157" s="195" t="s">
        <v>258</v>
      </c>
      <c r="C157" s="188" t="s">
        <v>266</v>
      </c>
      <c r="D157" s="188">
        <v>2</v>
      </c>
      <c r="E157" s="188">
        <v>260000</v>
      </c>
      <c r="F157" s="196">
        <f>Tableau4[[#This Row],[Economies totales (m3)]]/Tableau4[[#This Row],[Nombres appareils installés]]</f>
        <v>1313</v>
      </c>
      <c r="G157" s="190">
        <v>2626</v>
      </c>
      <c r="H157" s="188">
        <f t="shared" si="4"/>
        <v>3535.3999999999996</v>
      </c>
      <c r="I157" s="188">
        <v>2400</v>
      </c>
      <c r="J157" s="188">
        <f>Tableau4[[#This Row],[Surcoût moyens de l''équipement ($)]]+Tableau4[[#This Row],[Surcoût moyen de l''installation ($)]]</f>
        <v>5935.4</v>
      </c>
      <c r="K157" s="188">
        <f>Tableau4[[#This Row],[Surcoût par appareil ($)]]*Tableau4[[#This Row],[Nombres appareils installés]]</f>
        <v>11870.8</v>
      </c>
      <c r="L157" s="190">
        <v>4400</v>
      </c>
      <c r="M157" s="188">
        <f t="shared" si="5"/>
        <v>4400</v>
      </c>
      <c r="N157" s="188">
        <f>Tableau4[[#This Row],[AF 0 ($)]]/Tableau4[[#This Row],[Nombres appareils installés]]</f>
        <v>2200</v>
      </c>
      <c r="O157" s="191">
        <f>(Tableau4[[#This Row],[AF accordée ($)]])/($J$6*D157)</f>
        <v>0.54953289703751806</v>
      </c>
      <c r="P157" s="191">
        <f>Tableau4[[#This Row],[Couverture 0 (%)]]*Tableau4[[#This Row],[Nombres appareils installés]]</f>
        <v>1.0990657940750361</v>
      </c>
      <c r="Q157" s="188">
        <f>($Q$4+$R$4*(Tableau4[[#This Row],[Capacité (BTU)]]/1000))*Tableau4[[#This Row],[Nombres appareils installés]]</f>
        <v>6600</v>
      </c>
      <c r="R157" s="188">
        <f>Tableau4[[#This Row],[AF 1 ($)]]/Tableau4[[#This Row],[Nombres appareils installés]]</f>
        <v>3300</v>
      </c>
      <c r="S157" s="191">
        <f>Tableau4[[#This Row],[AF 1 ($)]]/(J157*D157)</f>
        <v>0.55598611719513436</v>
      </c>
      <c r="T157" s="191">
        <f>Tableau4[[#This Row],[Couverture 1 (%)]]*Tableau4[[#This Row],[Nombres appareils installés]]</f>
        <v>1.1119722343902687</v>
      </c>
      <c r="U157" s="188">
        <f>($U$4+($V$4*(Tableau4[[#This Row],[Capacité (BTU)]]/1000)))*Tableau4[[#This Row],[Nombres appareils installés]]</f>
        <v>7900</v>
      </c>
      <c r="V157" s="188">
        <f>Tableau4[[#This Row],[AF 2 ($)]]/Tableau4[[#This Row],[Nombres appareils installés]]</f>
        <v>3950</v>
      </c>
      <c r="W157" s="192">
        <f>Tableau4[[#This Row],[AF 2 par appareil ($)]]/Tableau4[[#This Row],[Surcoût par appareil ($)]]</f>
        <v>0.66549853421841831</v>
      </c>
      <c r="X157" s="192">
        <f>Tableau4[[#This Row],[Couverture 2 (%)]]*Tableau4[[#This Row],[Nombres appareils installés]]</f>
        <v>1.3309970684368366</v>
      </c>
      <c r="Y157" s="188">
        <f>($Y$4+$Z$4*(Tableau4[[#This Row],[Capacité (BTU)]]/1000))*Tableau4[[#This Row],[Nombres appareils installés]]</f>
        <v>7600</v>
      </c>
      <c r="Z157" s="188">
        <f>Tableau4[[#This Row],[AF 3 ($)]]/Tableau4[[#This Row],[Nombres appareils installés]]</f>
        <v>3800</v>
      </c>
      <c r="AA157" s="193">
        <f>Tableau4[[#This Row],[AF 3 par appareil ($)]]/Tableau4[[#This Row],[Surcoût par appareil ($)]]</f>
        <v>0.64022643798227585</v>
      </c>
      <c r="AB157" s="193">
        <f>Tableau4[[#This Row],[Couverture 3 (%)]]*Tableau4[[#This Row],[Nombres appareils installés]]</f>
        <v>1.2804528759645517</v>
      </c>
      <c r="AC157" s="188">
        <f>($AC$4+$AD$4*(Tableau4[[#This Row],[Capacité (BTU)]]/1000))*Tableau4[[#This Row],[Nombres appareils installés]]</f>
        <v>6480</v>
      </c>
      <c r="AD157" s="188">
        <f>Tableau4[[#This Row],[AF 4 ($)]]/Tableau4[[#This Row],[Nombres appareils installés]]</f>
        <v>3240</v>
      </c>
      <c r="AE157" s="194">
        <f>Tableau4[[#This Row],[Couverture 4 (%)]]*Tableau4[[#This Row],[Nombres appareils installés]]</f>
        <v>1.0917545574013547</v>
      </c>
      <c r="AF157" s="193">
        <f>Tableau4[[#This Row],[AF 4 par appareil  ($)]]/Tableau4[[#This Row],[Surcoût par appareil ($)]]</f>
        <v>0.54587727870067737</v>
      </c>
    </row>
    <row r="158" spans="2:32" x14ac:dyDescent="0.3">
      <c r="B158" s="195" t="s">
        <v>258</v>
      </c>
      <c r="C158" s="188" t="s">
        <v>267</v>
      </c>
      <c r="D158" s="188">
        <v>6</v>
      </c>
      <c r="E158" s="188">
        <v>260000</v>
      </c>
      <c r="F158" s="196">
        <f>Tableau4[[#This Row],[Economies totales (m3)]]/Tableau4[[#This Row],[Nombres appareils installés]]</f>
        <v>1313</v>
      </c>
      <c r="G158" s="190">
        <v>7878</v>
      </c>
      <c r="H158" s="188">
        <f t="shared" si="4"/>
        <v>3535.3999999999996</v>
      </c>
      <c r="I158" s="188">
        <v>2400</v>
      </c>
      <c r="J158" s="188">
        <f>Tableau4[[#This Row],[Surcoût moyens de l''équipement ($)]]+Tableau4[[#This Row],[Surcoût moyen de l''installation ($)]]</f>
        <v>5935.4</v>
      </c>
      <c r="K158" s="188">
        <f>Tableau4[[#This Row],[Surcoût par appareil ($)]]*Tableau4[[#This Row],[Nombres appareils installés]]</f>
        <v>35612.399999999994</v>
      </c>
      <c r="L158" s="190">
        <v>13200</v>
      </c>
      <c r="M158" s="188">
        <f t="shared" si="5"/>
        <v>13200</v>
      </c>
      <c r="N158" s="188">
        <f>Tableau4[[#This Row],[AF 0 ($)]]/Tableau4[[#This Row],[Nombres appareils installés]]</f>
        <v>2200</v>
      </c>
      <c r="O158" s="191">
        <f>(Tableau4[[#This Row],[AF accordée ($)]])/($J$6*D158)</f>
        <v>0.54953289703751806</v>
      </c>
      <c r="P158" s="191">
        <f>Tableau4[[#This Row],[Couverture 0 (%)]]*Tableau4[[#This Row],[Nombres appareils installés]]</f>
        <v>3.2971973822251082</v>
      </c>
      <c r="Q158" s="188">
        <f>($Q$4+$R$4*(Tableau4[[#This Row],[Capacité (BTU)]]/1000))*Tableau4[[#This Row],[Nombres appareils installés]]</f>
        <v>19800</v>
      </c>
      <c r="R158" s="188">
        <f>Tableau4[[#This Row],[AF 1 ($)]]/Tableau4[[#This Row],[Nombres appareils installés]]</f>
        <v>3300</v>
      </c>
      <c r="S158" s="191">
        <f>Tableau4[[#This Row],[AF 1 ($)]]/(J158*D158)</f>
        <v>0.55598611719513436</v>
      </c>
      <c r="T158" s="191">
        <f>Tableau4[[#This Row],[Couverture 1 (%)]]*Tableau4[[#This Row],[Nombres appareils installés]]</f>
        <v>3.3359167031708061</v>
      </c>
      <c r="U158" s="188">
        <f>($U$4+($V$4*(Tableau4[[#This Row],[Capacité (BTU)]]/1000)))*Tableau4[[#This Row],[Nombres appareils installés]]</f>
        <v>23700</v>
      </c>
      <c r="V158" s="188">
        <f>Tableau4[[#This Row],[AF 2 ($)]]/Tableau4[[#This Row],[Nombres appareils installés]]</f>
        <v>3950</v>
      </c>
      <c r="W158" s="192">
        <f>Tableau4[[#This Row],[AF 2 par appareil ($)]]/Tableau4[[#This Row],[Surcoût par appareil ($)]]</f>
        <v>0.66549853421841831</v>
      </c>
      <c r="X158" s="192">
        <f>Tableau4[[#This Row],[Couverture 2 (%)]]*Tableau4[[#This Row],[Nombres appareils installés]]</f>
        <v>3.9929912053105099</v>
      </c>
      <c r="Y158" s="188">
        <f>($Y$4+$Z$4*(Tableau4[[#This Row],[Capacité (BTU)]]/1000))*Tableau4[[#This Row],[Nombres appareils installés]]</f>
        <v>22800</v>
      </c>
      <c r="Z158" s="188">
        <f>Tableau4[[#This Row],[AF 3 ($)]]/Tableau4[[#This Row],[Nombres appareils installés]]</f>
        <v>3800</v>
      </c>
      <c r="AA158" s="193">
        <f>Tableau4[[#This Row],[AF 3 par appareil ($)]]/Tableau4[[#This Row],[Surcoût par appareil ($)]]</f>
        <v>0.64022643798227585</v>
      </c>
      <c r="AB158" s="193">
        <f>Tableau4[[#This Row],[Couverture 3 (%)]]*Tableau4[[#This Row],[Nombres appareils installés]]</f>
        <v>3.8413586278936549</v>
      </c>
      <c r="AC158" s="188">
        <f>($AC$4+$AD$4*(Tableau4[[#This Row],[Capacité (BTU)]]/1000))*Tableau4[[#This Row],[Nombres appareils installés]]</f>
        <v>19440</v>
      </c>
      <c r="AD158" s="188">
        <f>Tableau4[[#This Row],[AF 4 ($)]]/Tableau4[[#This Row],[Nombres appareils installés]]</f>
        <v>3240</v>
      </c>
      <c r="AE158" s="194">
        <f>Tableau4[[#This Row],[Couverture 4 (%)]]*Tableau4[[#This Row],[Nombres appareils installés]]</f>
        <v>3.2752636722040642</v>
      </c>
      <c r="AF158" s="193">
        <f>Tableau4[[#This Row],[AF 4 par appareil  ($)]]/Tableau4[[#This Row],[Surcoût par appareil ($)]]</f>
        <v>0.54587727870067737</v>
      </c>
    </row>
    <row r="159" spans="2:32" x14ac:dyDescent="0.3">
      <c r="B159" s="195" t="s">
        <v>258</v>
      </c>
      <c r="C159" s="188" t="s">
        <v>268</v>
      </c>
      <c r="D159" s="188">
        <v>6</v>
      </c>
      <c r="E159" s="188">
        <v>260000</v>
      </c>
      <c r="F159" s="196">
        <f>Tableau4[[#This Row],[Economies totales (m3)]]/Tableau4[[#This Row],[Nombres appareils installés]]</f>
        <v>1313</v>
      </c>
      <c r="G159" s="190">
        <v>7878</v>
      </c>
      <c r="H159" s="188">
        <f t="shared" si="4"/>
        <v>3535.3999999999996</v>
      </c>
      <c r="I159" s="188">
        <v>2400</v>
      </c>
      <c r="J159" s="188">
        <f>Tableau4[[#This Row],[Surcoût moyens de l''équipement ($)]]+Tableau4[[#This Row],[Surcoût moyen de l''installation ($)]]</f>
        <v>5935.4</v>
      </c>
      <c r="K159" s="188">
        <f>Tableau4[[#This Row],[Surcoût par appareil ($)]]*Tableau4[[#This Row],[Nombres appareils installés]]</f>
        <v>35612.399999999994</v>
      </c>
      <c r="L159" s="190">
        <v>10200</v>
      </c>
      <c r="M159" s="188">
        <f t="shared" si="5"/>
        <v>13200</v>
      </c>
      <c r="N159" s="188">
        <f>Tableau4[[#This Row],[AF 0 ($)]]/Tableau4[[#This Row],[Nombres appareils installés]]</f>
        <v>2200</v>
      </c>
      <c r="O159" s="191">
        <f>(Tableau4[[#This Row],[AF accordée ($)]])/($J$6*D159)</f>
        <v>0.42463905680171854</v>
      </c>
      <c r="P159" s="191">
        <f>Tableau4[[#This Row],[Couverture 0 (%)]]*Tableau4[[#This Row],[Nombres appareils installés]]</f>
        <v>2.5478343408103115</v>
      </c>
      <c r="Q159" s="188">
        <f>($Q$4+$R$4*(Tableau4[[#This Row],[Capacité (BTU)]]/1000))*Tableau4[[#This Row],[Nombres appareils installés]]</f>
        <v>19800</v>
      </c>
      <c r="R159" s="188">
        <f>Tableau4[[#This Row],[AF 1 ($)]]/Tableau4[[#This Row],[Nombres appareils installés]]</f>
        <v>3300</v>
      </c>
      <c r="S159" s="191">
        <f>Tableau4[[#This Row],[AF 1 ($)]]/(J159*D159)</f>
        <v>0.55598611719513436</v>
      </c>
      <c r="T159" s="191">
        <f>Tableau4[[#This Row],[Couverture 1 (%)]]*Tableau4[[#This Row],[Nombres appareils installés]]</f>
        <v>3.3359167031708061</v>
      </c>
      <c r="U159" s="188">
        <f>($U$4+($V$4*(Tableau4[[#This Row],[Capacité (BTU)]]/1000)))*Tableau4[[#This Row],[Nombres appareils installés]]</f>
        <v>23700</v>
      </c>
      <c r="V159" s="188">
        <f>Tableau4[[#This Row],[AF 2 ($)]]/Tableau4[[#This Row],[Nombres appareils installés]]</f>
        <v>3950</v>
      </c>
      <c r="W159" s="192">
        <f>Tableau4[[#This Row],[AF 2 par appareil ($)]]/Tableau4[[#This Row],[Surcoût par appareil ($)]]</f>
        <v>0.66549853421841831</v>
      </c>
      <c r="X159" s="192">
        <f>Tableau4[[#This Row],[Couverture 2 (%)]]*Tableau4[[#This Row],[Nombres appareils installés]]</f>
        <v>3.9929912053105099</v>
      </c>
      <c r="Y159" s="188">
        <f>($Y$4+$Z$4*(Tableau4[[#This Row],[Capacité (BTU)]]/1000))*Tableau4[[#This Row],[Nombres appareils installés]]</f>
        <v>22800</v>
      </c>
      <c r="Z159" s="188">
        <f>Tableau4[[#This Row],[AF 3 ($)]]/Tableau4[[#This Row],[Nombres appareils installés]]</f>
        <v>3800</v>
      </c>
      <c r="AA159" s="193">
        <f>Tableau4[[#This Row],[AF 3 par appareil ($)]]/Tableau4[[#This Row],[Surcoût par appareil ($)]]</f>
        <v>0.64022643798227585</v>
      </c>
      <c r="AB159" s="193">
        <f>Tableau4[[#This Row],[Couverture 3 (%)]]*Tableau4[[#This Row],[Nombres appareils installés]]</f>
        <v>3.8413586278936549</v>
      </c>
      <c r="AC159" s="188">
        <f>($AC$4+$AD$4*(Tableau4[[#This Row],[Capacité (BTU)]]/1000))*Tableau4[[#This Row],[Nombres appareils installés]]</f>
        <v>19440</v>
      </c>
      <c r="AD159" s="188">
        <f>Tableau4[[#This Row],[AF 4 ($)]]/Tableau4[[#This Row],[Nombres appareils installés]]</f>
        <v>3240</v>
      </c>
      <c r="AE159" s="194">
        <f>Tableau4[[#This Row],[Couverture 4 (%)]]*Tableau4[[#This Row],[Nombres appareils installés]]</f>
        <v>3.2752636722040642</v>
      </c>
      <c r="AF159" s="193">
        <f>Tableau4[[#This Row],[AF 4 par appareil  ($)]]/Tableau4[[#This Row],[Surcoût par appareil ($)]]</f>
        <v>0.54587727870067737</v>
      </c>
    </row>
    <row r="160" spans="2:32" x14ac:dyDescent="0.3">
      <c r="B160" s="195" t="s">
        <v>258</v>
      </c>
      <c r="C160" s="188" t="s">
        <v>269</v>
      </c>
      <c r="D160" s="188">
        <v>4</v>
      </c>
      <c r="E160" s="188">
        <v>300000</v>
      </c>
      <c r="F160" s="196">
        <f>Tableau4[[#This Row],[Economies totales (m3)]]/Tableau4[[#This Row],[Nombres appareils installés]]</f>
        <v>1515</v>
      </c>
      <c r="G160" s="190">
        <v>6060</v>
      </c>
      <c r="H160" s="188">
        <f t="shared" si="4"/>
        <v>4203.3999999999996</v>
      </c>
      <c r="I160" s="188">
        <v>2400</v>
      </c>
      <c r="J160" s="188">
        <f>Tableau4[[#This Row],[Surcoût moyens de l''équipement ($)]]+Tableau4[[#This Row],[Surcoût moyen de l''installation ($)]]</f>
        <v>6603.4</v>
      </c>
      <c r="K160" s="188">
        <f>Tableau4[[#This Row],[Surcoût par appareil ($)]]*Tableau4[[#This Row],[Nombres appareils installés]]</f>
        <v>26413.599999999999</v>
      </c>
      <c r="L160" s="190">
        <v>9600</v>
      </c>
      <c r="M160" s="188">
        <f t="shared" si="5"/>
        <v>9600</v>
      </c>
      <c r="N160" s="188">
        <f>Tableau4[[#This Row],[AF 0 ($)]]/Tableau4[[#This Row],[Nombres appareils installés]]</f>
        <v>2400</v>
      </c>
      <c r="O160" s="191">
        <f>(Tableau4[[#This Row],[AF accordée ($)]])/($J$6*D160)</f>
        <v>0.59949043313183792</v>
      </c>
      <c r="P160" s="191">
        <f>Tableau4[[#This Row],[Couverture 0 (%)]]*Tableau4[[#This Row],[Nombres appareils installés]]</f>
        <v>2.3979617325273517</v>
      </c>
      <c r="Q160" s="188">
        <f>($Q$4+$R$4*(Tableau4[[#This Row],[Capacité (BTU)]]/1000))*Tableau4[[#This Row],[Nombres appareils installés]]</f>
        <v>14000</v>
      </c>
      <c r="R160" s="188">
        <f>Tableau4[[#This Row],[AF 1 ($)]]/Tableau4[[#This Row],[Nombres appareils installés]]</f>
        <v>3500</v>
      </c>
      <c r="S160" s="191">
        <f>Tableau4[[#This Row],[AF 1 ($)]]/(J160*D160)</f>
        <v>0.53002998455341188</v>
      </c>
      <c r="T160" s="191">
        <f>Tableau4[[#This Row],[Couverture 1 (%)]]*Tableau4[[#This Row],[Nombres appareils installés]]</f>
        <v>2.1201199382136475</v>
      </c>
      <c r="U160" s="188">
        <f>($U$4+($V$4*(Tableau4[[#This Row],[Capacité (BTU)]]/1000)))*Tableau4[[#This Row],[Nombres appareils installés]]</f>
        <v>17000</v>
      </c>
      <c r="V160" s="188">
        <f>Tableau4[[#This Row],[AF 2 ($)]]/Tableau4[[#This Row],[Nombres appareils installés]]</f>
        <v>4250</v>
      </c>
      <c r="W160" s="192">
        <f>Tableau4[[#This Row],[AF 2 par appareil ($)]]/Tableau4[[#This Row],[Surcoût par appareil ($)]]</f>
        <v>0.64360783838628588</v>
      </c>
      <c r="X160" s="192">
        <f>Tableau4[[#This Row],[Couverture 2 (%)]]*Tableau4[[#This Row],[Nombres appareils installés]]</f>
        <v>2.5744313535451435</v>
      </c>
      <c r="Y160" s="188">
        <f>($Y$4+$Z$4*(Tableau4[[#This Row],[Capacité (BTU)]]/1000))*Tableau4[[#This Row],[Nombres appareils installés]]</f>
        <v>16000</v>
      </c>
      <c r="Z160" s="188">
        <f>Tableau4[[#This Row],[AF 3 ($)]]/Tableau4[[#This Row],[Nombres appareils installés]]</f>
        <v>4000</v>
      </c>
      <c r="AA160" s="193">
        <f>Tableau4[[#This Row],[AF 3 par appareil ($)]]/Tableau4[[#This Row],[Surcoût par appareil ($)]]</f>
        <v>0.60574855377532788</v>
      </c>
      <c r="AB160" s="193">
        <f>Tableau4[[#This Row],[Couverture 3 (%)]]*Tableau4[[#This Row],[Nombres appareils installés]]</f>
        <v>2.4229942151013115</v>
      </c>
      <c r="AC160" s="188">
        <f>($AC$4+$AD$4*(Tableau4[[#This Row],[Capacité (BTU)]]/1000))*Tableau4[[#This Row],[Nombres appareils installés]]</f>
        <v>13600</v>
      </c>
      <c r="AD160" s="188">
        <f>Tableau4[[#This Row],[AF 4 ($)]]/Tableau4[[#This Row],[Nombres appareils installés]]</f>
        <v>3400</v>
      </c>
      <c r="AE160" s="194">
        <f>Tableau4[[#This Row],[Couverture 4 (%)]]*Tableau4[[#This Row],[Nombres appareils installés]]</f>
        <v>2.0595450828361148</v>
      </c>
      <c r="AF160" s="193">
        <f>Tableau4[[#This Row],[AF 4 par appareil  ($)]]/Tableau4[[#This Row],[Surcoût par appareil ($)]]</f>
        <v>0.5148862707090287</v>
      </c>
    </row>
    <row r="161" spans="2:32" x14ac:dyDescent="0.3">
      <c r="B161" s="195" t="s">
        <v>258</v>
      </c>
      <c r="C161" s="188" t="s">
        <v>262</v>
      </c>
      <c r="D161" s="188">
        <v>1</v>
      </c>
      <c r="E161" s="188">
        <v>305000</v>
      </c>
      <c r="F161" s="196">
        <f>Tableau4[[#This Row],[Economies totales (m3)]]/Tableau4[[#This Row],[Nombres appareils installés]]</f>
        <v>1540.25</v>
      </c>
      <c r="G161" s="190">
        <v>1540.25</v>
      </c>
      <c r="H161" s="188">
        <f t="shared" si="4"/>
        <v>4293.6499999999996</v>
      </c>
      <c r="I161" s="188">
        <v>2400</v>
      </c>
      <c r="J161" s="188">
        <f>Tableau4[[#This Row],[Surcoût moyens de l''équipement ($)]]+Tableau4[[#This Row],[Surcoût moyen de l''installation ($)]]</f>
        <v>6693.65</v>
      </c>
      <c r="K161" s="188">
        <f>Tableau4[[#This Row],[Surcoût par appareil ($)]]*Tableau4[[#This Row],[Nombres appareils installés]]</f>
        <v>6693.65</v>
      </c>
      <c r="L161" s="190">
        <v>2425</v>
      </c>
      <c r="M161" s="188">
        <f t="shared" si="5"/>
        <v>2425</v>
      </c>
      <c r="N161" s="188">
        <f>Tableau4[[#This Row],[AF 0 ($)]]/Tableau4[[#This Row],[Nombres appareils installés]]</f>
        <v>2425</v>
      </c>
      <c r="O161" s="191">
        <f>(Tableau4[[#This Row],[AF accordée ($)]])/($J$6*D161)</f>
        <v>0.60573512514362793</v>
      </c>
      <c r="P161" s="191">
        <f>Tableau4[[#This Row],[Couverture 0 (%)]]*Tableau4[[#This Row],[Nombres appareils installés]]</f>
        <v>0.60573512514362793</v>
      </c>
      <c r="Q161" s="188">
        <f>($Q$4+$R$4*(Tableau4[[#This Row],[Capacité (BTU)]]/1000))*Tableau4[[#This Row],[Nombres appareils installés]]</f>
        <v>3525</v>
      </c>
      <c r="R161" s="188">
        <f>Tableau4[[#This Row],[AF 1 ($)]]/Tableau4[[#This Row],[Nombres appareils installés]]</f>
        <v>3525</v>
      </c>
      <c r="S161" s="191">
        <f>Tableau4[[#This Row],[AF 1 ($)]]/(J161*D161)</f>
        <v>0.52661851157440265</v>
      </c>
      <c r="T161" s="191">
        <f>Tableau4[[#This Row],[Couverture 1 (%)]]*Tableau4[[#This Row],[Nombres appareils installés]]</f>
        <v>0.52661851157440265</v>
      </c>
      <c r="U161" s="188">
        <f>($U$4+($V$4*(Tableau4[[#This Row],[Capacité (BTU)]]/1000)))*Tableau4[[#This Row],[Nombres appareils installés]]</f>
        <v>4287.5</v>
      </c>
      <c r="V161" s="188">
        <f>Tableau4[[#This Row],[AF 2 ($)]]/Tableau4[[#This Row],[Nombres appareils installés]]</f>
        <v>4287.5</v>
      </c>
      <c r="W161" s="192">
        <f>Tableau4[[#This Row],[AF 2 par appareil ($)]]/Tableau4[[#This Row],[Surcoût par appareil ($)]]</f>
        <v>0.64053244492914929</v>
      </c>
      <c r="X161" s="192">
        <f>Tableau4[[#This Row],[Couverture 2 (%)]]*Tableau4[[#This Row],[Nombres appareils installés]]</f>
        <v>0.64053244492914929</v>
      </c>
      <c r="Y161" s="188">
        <f>($Y$4+$Z$4*(Tableau4[[#This Row],[Capacité (BTU)]]/1000))*Tableau4[[#This Row],[Nombres appareils installés]]</f>
        <v>4025</v>
      </c>
      <c r="Z161" s="188">
        <f>Tableau4[[#This Row],[AF 3 ($)]]/Tableau4[[#This Row],[Nombres appareils installés]]</f>
        <v>4025</v>
      </c>
      <c r="AA161" s="193">
        <f>Tableau4[[#This Row],[AF 3 par appareil ($)]]/Tableau4[[#This Row],[Surcoût par appareil ($)]]</f>
        <v>0.60131617279062999</v>
      </c>
      <c r="AB161" s="193">
        <f>Tableau4[[#This Row],[Couverture 3 (%)]]*Tableau4[[#This Row],[Nombres appareils installés]]</f>
        <v>0.60131617279062999</v>
      </c>
      <c r="AC161" s="188">
        <f>($AC$4+$AD$4*(Tableau4[[#This Row],[Capacité (BTU)]]/1000))*Tableau4[[#This Row],[Nombres appareils installés]]</f>
        <v>3420</v>
      </c>
      <c r="AD161" s="188">
        <f>Tableau4[[#This Row],[AF 4 ($)]]/Tableau4[[#This Row],[Nombres appareils installés]]</f>
        <v>3420</v>
      </c>
      <c r="AE161" s="194">
        <f>Tableau4[[#This Row],[Couverture 4 (%)]]*Tableau4[[#This Row],[Nombres appareils installés]]</f>
        <v>0.51093200271899486</v>
      </c>
      <c r="AF161" s="193">
        <f>Tableau4[[#This Row],[AF 4 par appareil  ($)]]/Tableau4[[#This Row],[Surcoût par appareil ($)]]</f>
        <v>0.51093200271899486</v>
      </c>
    </row>
    <row r="162" spans="2:32" x14ac:dyDescent="0.3">
      <c r="B162" s="195" t="s">
        <v>258</v>
      </c>
      <c r="C162" s="188" t="s">
        <v>263</v>
      </c>
      <c r="D162" s="188">
        <v>4</v>
      </c>
      <c r="E162" s="188">
        <v>305000</v>
      </c>
      <c r="F162" s="196">
        <f>Tableau4[[#This Row],[Economies totales (m3)]]/Tableau4[[#This Row],[Nombres appareils installés]]</f>
        <v>1540.25</v>
      </c>
      <c r="G162" s="190">
        <v>6161</v>
      </c>
      <c r="H162" s="188">
        <f t="shared" si="4"/>
        <v>4293.6499999999996</v>
      </c>
      <c r="I162" s="188">
        <v>2400</v>
      </c>
      <c r="J162" s="188">
        <f>Tableau4[[#This Row],[Surcoût moyens de l''équipement ($)]]+Tableau4[[#This Row],[Surcoût moyen de l''installation ($)]]</f>
        <v>6693.65</v>
      </c>
      <c r="K162" s="188">
        <f>Tableau4[[#This Row],[Surcoût par appareil ($)]]*Tableau4[[#This Row],[Nombres appareils installés]]</f>
        <v>26774.6</v>
      </c>
      <c r="L162" s="190">
        <v>9700</v>
      </c>
      <c r="M162" s="188">
        <f t="shared" si="5"/>
        <v>9700</v>
      </c>
      <c r="N162" s="188">
        <f>Tableau4[[#This Row],[AF 0 ($)]]/Tableau4[[#This Row],[Nombres appareils installés]]</f>
        <v>2425</v>
      </c>
      <c r="O162" s="191">
        <f>(Tableau4[[#This Row],[AF accordée ($)]])/($J$6*D162)</f>
        <v>0.60573512514362793</v>
      </c>
      <c r="P162" s="191">
        <f>Tableau4[[#This Row],[Couverture 0 (%)]]*Tableau4[[#This Row],[Nombres appareils installés]]</f>
        <v>2.4229405005745117</v>
      </c>
      <c r="Q162" s="188">
        <f>($Q$4+$R$4*(Tableau4[[#This Row],[Capacité (BTU)]]/1000))*Tableau4[[#This Row],[Nombres appareils installés]]</f>
        <v>14100</v>
      </c>
      <c r="R162" s="188">
        <f>Tableau4[[#This Row],[AF 1 ($)]]/Tableau4[[#This Row],[Nombres appareils installés]]</f>
        <v>3525</v>
      </c>
      <c r="S162" s="191">
        <f>Tableau4[[#This Row],[AF 1 ($)]]/(J162*D162)</f>
        <v>0.52661851157440265</v>
      </c>
      <c r="T162" s="191">
        <f>Tableau4[[#This Row],[Couverture 1 (%)]]*Tableau4[[#This Row],[Nombres appareils installés]]</f>
        <v>2.1064740462976106</v>
      </c>
      <c r="U162" s="188">
        <f>($U$4+($V$4*(Tableau4[[#This Row],[Capacité (BTU)]]/1000)))*Tableau4[[#This Row],[Nombres appareils installés]]</f>
        <v>17150</v>
      </c>
      <c r="V162" s="188">
        <f>Tableau4[[#This Row],[AF 2 ($)]]/Tableau4[[#This Row],[Nombres appareils installés]]</f>
        <v>4287.5</v>
      </c>
      <c r="W162" s="192">
        <f>Tableau4[[#This Row],[AF 2 par appareil ($)]]/Tableau4[[#This Row],[Surcoût par appareil ($)]]</f>
        <v>0.64053244492914929</v>
      </c>
      <c r="X162" s="192">
        <f>Tableau4[[#This Row],[Couverture 2 (%)]]*Tableau4[[#This Row],[Nombres appareils installés]]</f>
        <v>2.5621297797165972</v>
      </c>
      <c r="Y162" s="188">
        <f>($Y$4+$Z$4*(Tableau4[[#This Row],[Capacité (BTU)]]/1000))*Tableau4[[#This Row],[Nombres appareils installés]]</f>
        <v>16100</v>
      </c>
      <c r="Z162" s="188">
        <f>Tableau4[[#This Row],[AF 3 ($)]]/Tableau4[[#This Row],[Nombres appareils installés]]</f>
        <v>4025</v>
      </c>
      <c r="AA162" s="193">
        <f>Tableau4[[#This Row],[AF 3 par appareil ($)]]/Tableau4[[#This Row],[Surcoût par appareil ($)]]</f>
        <v>0.60131617279062999</v>
      </c>
      <c r="AB162" s="193">
        <f>Tableau4[[#This Row],[Couverture 3 (%)]]*Tableau4[[#This Row],[Nombres appareils installés]]</f>
        <v>2.40526469116252</v>
      </c>
      <c r="AC162" s="188">
        <f>($AC$4+$AD$4*(Tableau4[[#This Row],[Capacité (BTU)]]/1000))*Tableau4[[#This Row],[Nombres appareils installés]]</f>
        <v>13680</v>
      </c>
      <c r="AD162" s="188">
        <f>Tableau4[[#This Row],[AF 4 ($)]]/Tableau4[[#This Row],[Nombres appareils installés]]</f>
        <v>3420</v>
      </c>
      <c r="AE162" s="194">
        <f>Tableau4[[#This Row],[Couverture 4 (%)]]*Tableau4[[#This Row],[Nombres appareils installés]]</f>
        <v>2.0437280108759794</v>
      </c>
      <c r="AF162" s="193">
        <f>Tableau4[[#This Row],[AF 4 par appareil  ($)]]/Tableau4[[#This Row],[Surcoût par appareil ($)]]</f>
        <v>0.51093200271899486</v>
      </c>
    </row>
    <row r="163" spans="2:32" x14ac:dyDescent="0.3">
      <c r="B163" s="195" t="s">
        <v>258</v>
      </c>
      <c r="C163" s="188" t="s">
        <v>266</v>
      </c>
      <c r="D163" s="188">
        <v>1</v>
      </c>
      <c r="E163" s="188">
        <v>310000</v>
      </c>
      <c r="F163" s="196">
        <f>Tableau4[[#This Row],[Economies totales (m3)]]/Tableau4[[#This Row],[Nombres appareils installés]]</f>
        <v>1565.5</v>
      </c>
      <c r="G163" s="190">
        <v>1565.5</v>
      </c>
      <c r="H163" s="188">
        <f t="shared" si="4"/>
        <v>4385.3999999999996</v>
      </c>
      <c r="I163" s="188">
        <v>2400</v>
      </c>
      <c r="J163" s="188">
        <f>Tableau4[[#This Row],[Surcoût moyens de l''équipement ($)]]+Tableau4[[#This Row],[Surcoût moyen de l''installation ($)]]</f>
        <v>6785.4</v>
      </c>
      <c r="K163" s="188">
        <f>Tableau4[[#This Row],[Surcoût par appareil ($)]]*Tableau4[[#This Row],[Nombres appareils installés]]</f>
        <v>6785.4</v>
      </c>
      <c r="L163" s="190">
        <v>2450</v>
      </c>
      <c r="M163" s="188">
        <f t="shared" si="5"/>
        <v>2450</v>
      </c>
      <c r="N163" s="188">
        <f>Tableau4[[#This Row],[AF 0 ($)]]/Tableau4[[#This Row],[Nombres appareils installés]]</f>
        <v>2450</v>
      </c>
      <c r="O163" s="191">
        <f>(Tableau4[[#This Row],[AF accordée ($)]])/($J$6*D163)</f>
        <v>0.61197981715541783</v>
      </c>
      <c r="P163" s="191">
        <f>Tableau4[[#This Row],[Couverture 0 (%)]]*Tableau4[[#This Row],[Nombres appareils installés]]</f>
        <v>0.61197981715541783</v>
      </c>
      <c r="Q163" s="188">
        <f>($Q$4+$R$4*(Tableau4[[#This Row],[Capacité (BTU)]]/1000))*Tableau4[[#This Row],[Nombres appareils installés]]</f>
        <v>3550</v>
      </c>
      <c r="R163" s="188">
        <f>Tableau4[[#This Row],[AF 1 ($)]]/Tableau4[[#This Row],[Nombres appareils installés]]</f>
        <v>3550</v>
      </c>
      <c r="S163" s="191">
        <f>Tableau4[[#This Row],[AF 1 ($)]]/(J163*D163)</f>
        <v>0.52318212633006167</v>
      </c>
      <c r="T163" s="191">
        <f>Tableau4[[#This Row],[Couverture 1 (%)]]*Tableau4[[#This Row],[Nombres appareils installés]]</f>
        <v>0.52318212633006167</v>
      </c>
      <c r="U163" s="188">
        <f>($U$4+($V$4*(Tableau4[[#This Row],[Capacité (BTU)]]/1000)))*Tableau4[[#This Row],[Nombres appareils installés]]</f>
        <v>4325</v>
      </c>
      <c r="V163" s="188">
        <f>Tableau4[[#This Row],[AF 2 ($)]]/Tableau4[[#This Row],[Nombres appareils installés]]</f>
        <v>4325</v>
      </c>
      <c r="W163" s="192">
        <f>Tableau4[[#This Row],[AF 2 par appareil ($)]]/Tableau4[[#This Row],[Surcoût par appareil ($)]]</f>
        <v>0.63739794264155392</v>
      </c>
      <c r="X163" s="192">
        <f>Tableau4[[#This Row],[Couverture 2 (%)]]*Tableau4[[#This Row],[Nombres appareils installés]]</f>
        <v>0.63739794264155392</v>
      </c>
      <c r="Y163" s="188">
        <f>($Y$4+$Z$4*(Tableau4[[#This Row],[Capacité (BTU)]]/1000))*Tableau4[[#This Row],[Nombres appareils installés]]</f>
        <v>4050</v>
      </c>
      <c r="Z163" s="188">
        <f>Tableau4[[#This Row],[AF 3 ($)]]/Tableau4[[#This Row],[Nombres appareils installés]]</f>
        <v>4050</v>
      </c>
      <c r="AA163" s="193">
        <f>Tableau4[[#This Row],[AF 3 par appareil ($)]]/Tableau4[[#This Row],[Surcoût par appareil ($)]]</f>
        <v>0.59686974975683083</v>
      </c>
      <c r="AB163" s="193">
        <f>Tableau4[[#This Row],[Couverture 3 (%)]]*Tableau4[[#This Row],[Nombres appareils installés]]</f>
        <v>0.59686974975683083</v>
      </c>
      <c r="AC163" s="188">
        <f>($AC$4+$AD$4*(Tableau4[[#This Row],[Capacité (BTU)]]/1000))*Tableau4[[#This Row],[Nombres appareils installés]]</f>
        <v>3440</v>
      </c>
      <c r="AD163" s="188">
        <f>Tableau4[[#This Row],[AF 4 ($)]]/Tableau4[[#This Row],[Nombres appareils installés]]</f>
        <v>3440</v>
      </c>
      <c r="AE163" s="194">
        <f>Tableau4[[#This Row],[Couverture 4 (%)]]*Tableau4[[#This Row],[Nombres appareils installés]]</f>
        <v>0.50697084917617241</v>
      </c>
      <c r="AF163" s="193">
        <f>Tableau4[[#This Row],[AF 4 par appareil  ($)]]/Tableau4[[#This Row],[Surcoût par appareil ($)]]</f>
        <v>0.50697084917617241</v>
      </c>
    </row>
    <row r="164" spans="2:32" x14ac:dyDescent="0.3">
      <c r="B164" s="195" t="s">
        <v>258</v>
      </c>
      <c r="C164" s="188" t="s">
        <v>168</v>
      </c>
      <c r="D164" s="188">
        <v>2</v>
      </c>
      <c r="E164" s="188">
        <v>310000</v>
      </c>
      <c r="F164" s="196">
        <f>Tableau4[[#This Row],[Economies totales (m3)]]/Tableau4[[#This Row],[Nombres appareils installés]]</f>
        <v>1565.5</v>
      </c>
      <c r="G164" s="190">
        <v>3131</v>
      </c>
      <c r="H164" s="188">
        <f t="shared" si="4"/>
        <v>4385.3999999999996</v>
      </c>
      <c r="I164" s="188">
        <v>2400</v>
      </c>
      <c r="J164" s="188">
        <f>Tableau4[[#This Row],[Surcoût moyens de l''équipement ($)]]+Tableau4[[#This Row],[Surcoût moyen de l''installation ($)]]</f>
        <v>6785.4</v>
      </c>
      <c r="K164" s="188">
        <f>Tableau4[[#This Row],[Surcoût par appareil ($)]]*Tableau4[[#This Row],[Nombres appareils installés]]</f>
        <v>13570.8</v>
      </c>
      <c r="L164" s="190">
        <v>3400</v>
      </c>
      <c r="M164" s="188">
        <f t="shared" si="5"/>
        <v>4900</v>
      </c>
      <c r="N164" s="188">
        <f>Tableau4[[#This Row],[AF 0 ($)]]/Tableau4[[#This Row],[Nombres appareils installés]]</f>
        <v>2450</v>
      </c>
      <c r="O164" s="191">
        <f>(Tableau4[[#This Row],[AF accordée ($)]])/($J$6*D164)</f>
        <v>0.42463905680171854</v>
      </c>
      <c r="P164" s="191">
        <f>Tableau4[[#This Row],[Couverture 0 (%)]]*Tableau4[[#This Row],[Nombres appareils installés]]</f>
        <v>0.84927811360343708</v>
      </c>
      <c r="Q164" s="188">
        <f>($Q$4+$R$4*(Tableau4[[#This Row],[Capacité (BTU)]]/1000))*Tableau4[[#This Row],[Nombres appareils installés]]</f>
        <v>7100</v>
      </c>
      <c r="R164" s="188">
        <f>Tableau4[[#This Row],[AF 1 ($)]]/Tableau4[[#This Row],[Nombres appareils installés]]</f>
        <v>3550</v>
      </c>
      <c r="S164" s="191">
        <f>Tableau4[[#This Row],[AF 1 ($)]]/(J164*D164)</f>
        <v>0.52318212633006167</v>
      </c>
      <c r="T164" s="191">
        <f>Tableau4[[#This Row],[Couverture 1 (%)]]*Tableau4[[#This Row],[Nombres appareils installés]]</f>
        <v>1.0463642526601233</v>
      </c>
      <c r="U164" s="188">
        <f>($U$4+($V$4*(Tableau4[[#This Row],[Capacité (BTU)]]/1000)))*Tableau4[[#This Row],[Nombres appareils installés]]</f>
        <v>8650</v>
      </c>
      <c r="V164" s="188">
        <f>Tableau4[[#This Row],[AF 2 ($)]]/Tableau4[[#This Row],[Nombres appareils installés]]</f>
        <v>4325</v>
      </c>
      <c r="W164" s="192">
        <f>Tableau4[[#This Row],[AF 2 par appareil ($)]]/Tableau4[[#This Row],[Surcoût par appareil ($)]]</f>
        <v>0.63739794264155392</v>
      </c>
      <c r="X164" s="192">
        <f>Tableau4[[#This Row],[Couverture 2 (%)]]*Tableau4[[#This Row],[Nombres appareils installés]]</f>
        <v>1.2747958852831078</v>
      </c>
      <c r="Y164" s="188">
        <f>($Y$4+$Z$4*(Tableau4[[#This Row],[Capacité (BTU)]]/1000))*Tableau4[[#This Row],[Nombres appareils installés]]</f>
        <v>8100</v>
      </c>
      <c r="Z164" s="188">
        <f>Tableau4[[#This Row],[AF 3 ($)]]/Tableau4[[#This Row],[Nombres appareils installés]]</f>
        <v>4050</v>
      </c>
      <c r="AA164" s="193">
        <f>Tableau4[[#This Row],[AF 3 par appareil ($)]]/Tableau4[[#This Row],[Surcoût par appareil ($)]]</f>
        <v>0.59686974975683083</v>
      </c>
      <c r="AB164" s="193">
        <f>Tableau4[[#This Row],[Couverture 3 (%)]]*Tableau4[[#This Row],[Nombres appareils installés]]</f>
        <v>1.1937394995136617</v>
      </c>
      <c r="AC164" s="188">
        <f>($AC$4+$AD$4*(Tableau4[[#This Row],[Capacité (BTU)]]/1000))*Tableau4[[#This Row],[Nombres appareils installés]]</f>
        <v>6880</v>
      </c>
      <c r="AD164" s="188">
        <f>Tableau4[[#This Row],[AF 4 ($)]]/Tableau4[[#This Row],[Nombres appareils installés]]</f>
        <v>3440</v>
      </c>
      <c r="AE164" s="194">
        <f>Tableau4[[#This Row],[Couverture 4 (%)]]*Tableau4[[#This Row],[Nombres appareils installés]]</f>
        <v>1.0139416983523448</v>
      </c>
      <c r="AF164" s="193">
        <f>Tableau4[[#This Row],[AF 4 par appareil  ($)]]/Tableau4[[#This Row],[Surcoût par appareil ($)]]</f>
        <v>0.50697084917617241</v>
      </c>
    </row>
    <row r="165" spans="2:32" x14ac:dyDescent="0.3">
      <c r="B165" s="195" t="s">
        <v>258</v>
      </c>
      <c r="C165" s="188" t="s">
        <v>270</v>
      </c>
      <c r="D165" s="188">
        <v>12</v>
      </c>
      <c r="E165" s="188">
        <v>310000</v>
      </c>
      <c r="F165" s="196">
        <f>Tableau4[[#This Row],[Economies totales (m3)]]/Tableau4[[#This Row],[Nombres appareils installés]]</f>
        <v>1565.5</v>
      </c>
      <c r="G165" s="190">
        <v>18786</v>
      </c>
      <c r="H165" s="188">
        <f t="shared" si="4"/>
        <v>4385.3999999999996</v>
      </c>
      <c r="I165" s="188">
        <v>2400</v>
      </c>
      <c r="J165" s="188">
        <f>Tableau4[[#This Row],[Surcoût moyens de l''équipement ($)]]+Tableau4[[#This Row],[Surcoût moyen de l''installation ($)]]</f>
        <v>6785.4</v>
      </c>
      <c r="K165" s="188">
        <f>Tableau4[[#This Row],[Surcoût par appareil ($)]]*Tableau4[[#This Row],[Nombres appareils installés]]</f>
        <v>81424.799999999988</v>
      </c>
      <c r="L165" s="190">
        <v>29400</v>
      </c>
      <c r="M165" s="188">
        <f t="shared" si="5"/>
        <v>29400</v>
      </c>
      <c r="N165" s="188">
        <f>Tableau4[[#This Row],[AF 0 ($)]]/Tableau4[[#This Row],[Nombres appareils installés]]</f>
        <v>2450</v>
      </c>
      <c r="O165" s="191">
        <f>(Tableau4[[#This Row],[AF accordée ($)]])/($J$6*D165)</f>
        <v>0.61197981715541783</v>
      </c>
      <c r="P165" s="191">
        <f>Tableau4[[#This Row],[Couverture 0 (%)]]*Tableau4[[#This Row],[Nombres appareils installés]]</f>
        <v>7.3437578058650139</v>
      </c>
      <c r="Q165" s="188">
        <f>($Q$4+$R$4*(Tableau4[[#This Row],[Capacité (BTU)]]/1000))*Tableau4[[#This Row],[Nombres appareils installés]]</f>
        <v>42600</v>
      </c>
      <c r="R165" s="188">
        <f>Tableau4[[#This Row],[AF 1 ($)]]/Tableau4[[#This Row],[Nombres appareils installés]]</f>
        <v>3550</v>
      </c>
      <c r="S165" s="191">
        <f>Tableau4[[#This Row],[AF 1 ($)]]/(J165*D165)</f>
        <v>0.52318212633006167</v>
      </c>
      <c r="T165" s="191">
        <f>Tableau4[[#This Row],[Couverture 1 (%)]]*Tableau4[[#This Row],[Nombres appareils installés]]</f>
        <v>6.2781855159607396</v>
      </c>
      <c r="U165" s="188">
        <f>($U$4+($V$4*(Tableau4[[#This Row],[Capacité (BTU)]]/1000)))*Tableau4[[#This Row],[Nombres appareils installés]]</f>
        <v>51900</v>
      </c>
      <c r="V165" s="188">
        <f>Tableau4[[#This Row],[AF 2 ($)]]/Tableau4[[#This Row],[Nombres appareils installés]]</f>
        <v>4325</v>
      </c>
      <c r="W165" s="192">
        <f>Tableau4[[#This Row],[AF 2 par appareil ($)]]/Tableau4[[#This Row],[Surcoût par appareil ($)]]</f>
        <v>0.63739794264155392</v>
      </c>
      <c r="X165" s="192">
        <f>Tableau4[[#This Row],[Couverture 2 (%)]]*Tableau4[[#This Row],[Nombres appareils installés]]</f>
        <v>7.648775311698647</v>
      </c>
      <c r="Y165" s="188">
        <f>($Y$4+$Z$4*(Tableau4[[#This Row],[Capacité (BTU)]]/1000))*Tableau4[[#This Row],[Nombres appareils installés]]</f>
        <v>48600</v>
      </c>
      <c r="Z165" s="188">
        <f>Tableau4[[#This Row],[AF 3 ($)]]/Tableau4[[#This Row],[Nombres appareils installés]]</f>
        <v>4050</v>
      </c>
      <c r="AA165" s="193">
        <f>Tableau4[[#This Row],[AF 3 par appareil ($)]]/Tableau4[[#This Row],[Surcoût par appareil ($)]]</f>
        <v>0.59686974975683083</v>
      </c>
      <c r="AB165" s="193">
        <f>Tableau4[[#This Row],[Couverture 3 (%)]]*Tableau4[[#This Row],[Nombres appareils installés]]</f>
        <v>7.1624369970819703</v>
      </c>
      <c r="AC165" s="188">
        <f>($AC$4+$AD$4*(Tableau4[[#This Row],[Capacité (BTU)]]/1000))*Tableau4[[#This Row],[Nombres appareils installés]]</f>
        <v>41280</v>
      </c>
      <c r="AD165" s="188">
        <f>Tableau4[[#This Row],[AF 4 ($)]]/Tableau4[[#This Row],[Nombres appareils installés]]</f>
        <v>3440</v>
      </c>
      <c r="AE165" s="194">
        <f>Tableau4[[#This Row],[Couverture 4 (%)]]*Tableau4[[#This Row],[Nombres appareils installés]]</f>
        <v>6.0836501901140689</v>
      </c>
      <c r="AF165" s="193">
        <f>Tableau4[[#This Row],[AF 4 par appareil  ($)]]/Tableau4[[#This Row],[Surcoût par appareil ($)]]</f>
        <v>0.50697084917617241</v>
      </c>
    </row>
    <row r="166" spans="2:32" x14ac:dyDescent="0.3">
      <c r="B166" s="197" t="s">
        <v>271</v>
      </c>
      <c r="C166" s="188" t="s">
        <v>168</v>
      </c>
      <c r="D166" s="197">
        <v>2</v>
      </c>
      <c r="E166" s="197">
        <v>100000</v>
      </c>
      <c r="F166" s="198">
        <f>Tableau4[[#This Row],[Economies totales (m3)]]/Tableau4[[#This Row],[Nombres appareils installés]]</f>
        <v>505</v>
      </c>
      <c r="G166" s="197">
        <v>1010</v>
      </c>
      <c r="H166" s="188">
        <f t="shared" si="4"/>
        <v>1823.4</v>
      </c>
      <c r="I166" s="188">
        <v>2400</v>
      </c>
      <c r="J166" s="188">
        <f>Tableau4[[#This Row],[Surcoût moyens de l''équipement ($)]]+Tableau4[[#This Row],[Surcoût moyen de l''installation ($)]]</f>
        <v>4223.3999999999996</v>
      </c>
      <c r="K166" s="188">
        <f>Tableau4[[#This Row],[Surcoût par appareil ($)]]*Tableau4[[#This Row],[Nombres appareils installés]]</f>
        <v>8446.7999999999993</v>
      </c>
      <c r="L166" s="197">
        <v>3400</v>
      </c>
      <c r="M166" s="188">
        <f t="shared" si="5"/>
        <v>2800</v>
      </c>
      <c r="N166" s="188">
        <f>Tableau4[[#This Row],[AF 0 ($)]]/Tableau4[[#This Row],[Nombres appareils installés]]</f>
        <v>1400</v>
      </c>
      <c r="O166" s="191">
        <f>(Tableau4[[#This Row],[AF accordée ($)]])/($J$6*D166)</f>
        <v>0.42463905680171854</v>
      </c>
      <c r="P166" s="191">
        <f>Tableau4[[#This Row],[Couverture 0 (%)]]*Tableau4[[#This Row],[Nombres appareils installés]]</f>
        <v>0.84927811360343708</v>
      </c>
      <c r="Q166" s="188">
        <f>($Q$4+$R$4*(Tableau4[[#This Row],[Capacité (BTU)]]/1000))*Tableau4[[#This Row],[Nombres appareils installés]]</f>
        <v>5000</v>
      </c>
      <c r="R166" s="188">
        <f>Tableau4[[#This Row],[AF 1 ($)]]/Tableau4[[#This Row],[Nombres appareils installés]]</f>
        <v>2500</v>
      </c>
      <c r="S166" s="191">
        <f>Tableau4[[#This Row],[AF 1 ($)]]/(J166*D166)</f>
        <v>0.59194014301273856</v>
      </c>
      <c r="T166" s="191">
        <f>Tableau4[[#This Row],[Couverture 1 (%)]]*Tableau4[[#This Row],[Nombres appareils installés]]</f>
        <v>1.1838802860254771</v>
      </c>
      <c r="U166" s="188">
        <f>($U$4+($V$4*(Tableau4[[#This Row],[Capacité (BTU)]]/1000)))*Tableau4[[#This Row],[Nombres appareils installés]]</f>
        <v>5500</v>
      </c>
      <c r="V166" s="188">
        <f>Tableau4[[#This Row],[AF 2 ($)]]/Tableau4[[#This Row],[Nombres appareils installés]]</f>
        <v>2750</v>
      </c>
      <c r="W166" s="192">
        <f>Tableau4[[#This Row],[AF 2 par appareil ($)]]/Tableau4[[#This Row],[Surcoût par appareil ($)]]</f>
        <v>0.65113415731401247</v>
      </c>
      <c r="X166" s="192">
        <f>Tableau4[[#This Row],[Couverture 2 (%)]]*Tableau4[[#This Row],[Nombres appareils installés]]</f>
        <v>1.3022683146280249</v>
      </c>
      <c r="Y166" s="188">
        <f>($Y$4+$Z$4*(Tableau4[[#This Row],[Capacité (BTU)]]/1000))*Tableau4[[#This Row],[Nombres appareils installés]]</f>
        <v>6000</v>
      </c>
      <c r="Z166" s="188">
        <f>Tableau4[[#This Row],[AF 3 ($)]]/Tableau4[[#This Row],[Nombres appareils installés]]</f>
        <v>3000</v>
      </c>
      <c r="AA166" s="193">
        <f>Tableau4[[#This Row],[AF 3 par appareil ($)]]/Tableau4[[#This Row],[Surcoût par appareil ($)]]</f>
        <v>0.71032817161528627</v>
      </c>
      <c r="AB166" s="193">
        <f>Tableau4[[#This Row],[Couverture 3 (%)]]*Tableau4[[#This Row],[Nombres appareils installés]]</f>
        <v>1.4206563432305725</v>
      </c>
      <c r="AC166" s="188">
        <f>($AC$4+$AD$4*(Tableau4[[#This Row],[Capacité (BTU)]]/1000))*Tableau4[[#This Row],[Nombres appareils installés]]</f>
        <v>5200</v>
      </c>
      <c r="AD166" s="188">
        <f>Tableau4[[#This Row],[AF 4 ($)]]/Tableau4[[#This Row],[Nombres appareils installés]]</f>
        <v>2600</v>
      </c>
      <c r="AE166" s="194">
        <f>Tableau4[[#This Row],[Couverture 4 (%)]]*Tableau4[[#This Row],[Nombres appareils installés]]</f>
        <v>1.2312354974664963</v>
      </c>
      <c r="AF166" s="193">
        <f>Tableau4[[#This Row],[AF 4 par appareil  ($)]]/Tableau4[[#This Row],[Surcoût par appareil ($)]]</f>
        <v>0.61561774873324815</v>
      </c>
    </row>
    <row r="167" spans="2:32" x14ac:dyDescent="0.3">
      <c r="B167" s="197" t="s">
        <v>271</v>
      </c>
      <c r="C167" s="188" t="s">
        <v>168</v>
      </c>
      <c r="D167" s="197">
        <v>1</v>
      </c>
      <c r="E167" s="197">
        <v>130000</v>
      </c>
      <c r="F167" s="198">
        <f>Tableau4[[#This Row],[Economies totales (m3)]]/Tableau4[[#This Row],[Nombres appareils installés]]</f>
        <v>656.5</v>
      </c>
      <c r="G167" s="197">
        <v>656.5</v>
      </c>
      <c r="H167" s="188">
        <f t="shared" si="4"/>
        <v>2027.4</v>
      </c>
      <c r="I167" s="188">
        <v>2400</v>
      </c>
      <c r="J167" s="188">
        <f>Tableau4[[#This Row],[Surcoût moyens de l''équipement ($)]]+Tableau4[[#This Row],[Surcoût moyen de l''installation ($)]]</f>
        <v>4427.3999999999996</v>
      </c>
      <c r="K167" s="188">
        <f>Tableau4[[#This Row],[Surcoût par appareil ($)]]*Tableau4[[#This Row],[Nombres appareils installés]]</f>
        <v>4427.3999999999996</v>
      </c>
      <c r="L167" s="197">
        <v>1550</v>
      </c>
      <c r="M167" s="188">
        <f t="shared" si="5"/>
        <v>1550</v>
      </c>
      <c r="N167" s="188">
        <f>Tableau4[[#This Row],[AF 0 ($)]]/Tableau4[[#This Row],[Nombres appareils installés]]</f>
        <v>1550</v>
      </c>
      <c r="O167" s="191">
        <f>(Tableau4[[#This Row],[AF accordée ($)]])/($J$6*D167)</f>
        <v>0.38717090473097865</v>
      </c>
      <c r="P167" s="191">
        <f>Tableau4[[#This Row],[Couverture 0 (%)]]*Tableau4[[#This Row],[Nombres appareils installés]]</f>
        <v>0.38717090473097865</v>
      </c>
      <c r="Q167" s="188">
        <f>($Q$4+$R$4*(Tableau4[[#This Row],[Capacité (BTU)]]/1000))*Tableau4[[#This Row],[Nombres appareils installés]]</f>
        <v>2650</v>
      </c>
      <c r="R167" s="188">
        <f>Tableau4[[#This Row],[AF 1 ($)]]/Tableau4[[#This Row],[Nombres appareils installés]]</f>
        <v>2650</v>
      </c>
      <c r="S167" s="191">
        <f>Tableau4[[#This Row],[AF 1 ($)]]/(J167*D167)</f>
        <v>0.59854542169218961</v>
      </c>
      <c r="T167" s="191">
        <f>Tableau4[[#This Row],[Couverture 1 (%)]]*Tableau4[[#This Row],[Nombres appareils installés]]</f>
        <v>0.59854542169218961</v>
      </c>
      <c r="U167" s="188">
        <f>($U$4+($V$4*(Tableau4[[#This Row],[Capacité (BTU)]]/1000)))*Tableau4[[#This Row],[Nombres appareils installés]]</f>
        <v>2975</v>
      </c>
      <c r="V167" s="188">
        <f>Tableau4[[#This Row],[AF 2 ($)]]/Tableau4[[#This Row],[Nombres appareils installés]]</f>
        <v>2975</v>
      </c>
      <c r="W167" s="192">
        <f>Tableau4[[#This Row],[AF 2 par appareil ($)]]/Tableau4[[#This Row],[Surcoût par appareil ($)]]</f>
        <v>0.67195193567330724</v>
      </c>
      <c r="X167" s="192">
        <f>Tableau4[[#This Row],[Couverture 2 (%)]]*Tableau4[[#This Row],[Nombres appareils installés]]</f>
        <v>0.67195193567330724</v>
      </c>
      <c r="Y167" s="188">
        <f>($Y$4+$Z$4*(Tableau4[[#This Row],[Capacité (BTU)]]/1000))*Tableau4[[#This Row],[Nombres appareils installés]]</f>
        <v>3150</v>
      </c>
      <c r="Z167" s="188">
        <f>Tableau4[[#This Row],[AF 3 ($)]]/Tableau4[[#This Row],[Nombres appareils installés]]</f>
        <v>3150</v>
      </c>
      <c r="AA167" s="193">
        <f>Tableau4[[#This Row],[AF 3 par appareil ($)]]/Tableau4[[#This Row],[Surcoût par appareil ($)]]</f>
        <v>0.71147852012467816</v>
      </c>
      <c r="AB167" s="193">
        <f>Tableau4[[#This Row],[Couverture 3 (%)]]*Tableau4[[#This Row],[Nombres appareils installés]]</f>
        <v>0.71147852012467816</v>
      </c>
      <c r="AC167" s="188">
        <f>($AC$4+$AD$4*(Tableau4[[#This Row],[Capacité (BTU)]]/1000))*Tableau4[[#This Row],[Nombres appareils installés]]</f>
        <v>2720</v>
      </c>
      <c r="AD167" s="188">
        <f>Tableau4[[#This Row],[AF 4 ($)]]/Tableau4[[#This Row],[Nombres appareils installés]]</f>
        <v>2720</v>
      </c>
      <c r="AE167" s="194">
        <f>Tableau4[[#This Row],[Couverture 4 (%)]]*Tableau4[[#This Row],[Nombres appareils installés]]</f>
        <v>0.61435605547273797</v>
      </c>
      <c r="AF167" s="193">
        <f>Tableau4[[#This Row],[AF 4 par appareil  ($)]]/Tableau4[[#This Row],[Surcoût par appareil ($)]]</f>
        <v>0.61435605547273797</v>
      </c>
    </row>
    <row r="168" spans="2:32" x14ac:dyDescent="0.3">
      <c r="B168" s="197" t="s">
        <v>271</v>
      </c>
      <c r="C168" s="188" t="s">
        <v>168</v>
      </c>
      <c r="D168" s="197">
        <v>3</v>
      </c>
      <c r="E168" s="197">
        <v>135000</v>
      </c>
      <c r="F168" s="198">
        <f>Tableau4[[#This Row],[Economies totales (m3)]]/Tableau4[[#This Row],[Nombres appareils installés]]</f>
        <v>681.75</v>
      </c>
      <c r="G168" s="197">
        <v>2045.25</v>
      </c>
      <c r="H168" s="188">
        <f t="shared" si="4"/>
        <v>2066.65</v>
      </c>
      <c r="I168" s="188">
        <v>2400</v>
      </c>
      <c r="J168" s="188">
        <f>Tableau4[[#This Row],[Surcoût moyens de l''équipement ($)]]+Tableau4[[#This Row],[Surcoût moyen de l''installation ($)]]</f>
        <v>4466.6499999999996</v>
      </c>
      <c r="K168" s="188">
        <f>Tableau4[[#This Row],[Surcoût par appareil ($)]]*Tableau4[[#This Row],[Nombres appareils installés]]</f>
        <v>13399.949999999999</v>
      </c>
      <c r="L168" s="197">
        <v>4725</v>
      </c>
      <c r="M168" s="188">
        <f t="shared" si="5"/>
        <v>4725</v>
      </c>
      <c r="N168" s="188">
        <f>Tableau4[[#This Row],[AF 0 ($)]]/Tableau4[[#This Row],[Nombres appareils installés]]</f>
        <v>1575</v>
      </c>
      <c r="O168" s="191">
        <f>(Tableau4[[#This Row],[AF accordée ($)]])/($J$6*D168)</f>
        <v>0.3934155967427686</v>
      </c>
      <c r="P168" s="191">
        <f>Tableau4[[#This Row],[Couverture 0 (%)]]*Tableau4[[#This Row],[Nombres appareils installés]]</f>
        <v>1.1802467902283058</v>
      </c>
      <c r="Q168" s="188">
        <f>($Q$4+$R$4*(Tableau4[[#This Row],[Capacité (BTU)]]/1000))*Tableau4[[#This Row],[Nombres appareils installés]]</f>
        <v>8025</v>
      </c>
      <c r="R168" s="188">
        <f>Tableau4[[#This Row],[AF 1 ($)]]/Tableau4[[#This Row],[Nombres appareils installés]]</f>
        <v>2675</v>
      </c>
      <c r="S168" s="191">
        <f>Tableau4[[#This Row],[AF 1 ($)]]/(J168*D168)</f>
        <v>0.59888283165235701</v>
      </c>
      <c r="T168" s="191">
        <f>Tableau4[[#This Row],[Couverture 1 (%)]]*Tableau4[[#This Row],[Nombres appareils installés]]</f>
        <v>1.7966484949570711</v>
      </c>
      <c r="U168" s="188">
        <f>($U$4+($V$4*(Tableau4[[#This Row],[Capacité (BTU)]]/1000)))*Tableau4[[#This Row],[Nombres appareils installés]]</f>
        <v>9037.5</v>
      </c>
      <c r="V168" s="188">
        <f>Tableau4[[#This Row],[AF 2 ($)]]/Tableau4[[#This Row],[Nombres appareils installés]]</f>
        <v>3012.5</v>
      </c>
      <c r="W168" s="192">
        <f>Tableau4[[#This Row],[AF 2 par appareil ($)]]/Tableau4[[#This Row],[Surcoût par appareil ($)]]</f>
        <v>0.67444281508513093</v>
      </c>
      <c r="X168" s="192">
        <f>Tableau4[[#This Row],[Couverture 2 (%)]]*Tableau4[[#This Row],[Nombres appareils installés]]</f>
        <v>2.0233284452553928</v>
      </c>
      <c r="Y168" s="188">
        <f>($Y$4+$Z$4*(Tableau4[[#This Row],[Capacité (BTU)]]/1000))*Tableau4[[#This Row],[Nombres appareils installés]]</f>
        <v>9525</v>
      </c>
      <c r="Z168" s="188">
        <f>Tableau4[[#This Row],[AF 3 ($)]]/Tableau4[[#This Row],[Nombres appareils installés]]</f>
        <v>3175</v>
      </c>
      <c r="AA168" s="193">
        <f>Tableau4[[#This Row],[AF 3 par appareil ($)]]/Tableau4[[#This Row],[Surcoût par appareil ($)]]</f>
        <v>0.71082354784905921</v>
      </c>
      <c r="AB168" s="193">
        <f>Tableau4[[#This Row],[Couverture 3 (%)]]*Tableau4[[#This Row],[Nombres appareils installés]]</f>
        <v>2.1324706435471779</v>
      </c>
      <c r="AC168" s="188">
        <f>($AC$4+$AD$4*(Tableau4[[#This Row],[Capacité (BTU)]]/1000))*Tableau4[[#This Row],[Nombres appareils installés]]</f>
        <v>8220</v>
      </c>
      <c r="AD168" s="188">
        <f>Tableau4[[#This Row],[AF 4 ($)]]/Tableau4[[#This Row],[Nombres appareils installés]]</f>
        <v>2740</v>
      </c>
      <c r="AE168" s="194">
        <f>Tableau4[[#This Row],[Couverture 4 (%)]]*Tableau4[[#This Row],[Nombres appareils installés]]</f>
        <v>1.8403053742737847</v>
      </c>
      <c r="AF168" s="193">
        <f>Tableau4[[#This Row],[AF 4 par appareil  ($)]]/Tableau4[[#This Row],[Surcoût par appareil ($)]]</f>
        <v>0.61343512475792827</v>
      </c>
    </row>
    <row r="169" spans="2:32" x14ac:dyDescent="0.3">
      <c r="B169" s="188" t="s">
        <v>271</v>
      </c>
      <c r="C169" s="188" t="s">
        <v>168</v>
      </c>
      <c r="D169" s="188">
        <v>1</v>
      </c>
      <c r="E169" s="188">
        <v>175000</v>
      </c>
      <c r="F169" s="196">
        <f>Tableau4[[#This Row],[Economies totales (m3)]]/Tableau4[[#This Row],[Nombres appareils installés]]</f>
        <v>883.75</v>
      </c>
      <c r="G169" s="188">
        <v>883.75</v>
      </c>
      <c r="H169" s="188">
        <f t="shared" si="4"/>
        <v>2434.65</v>
      </c>
      <c r="I169" s="188">
        <v>2400</v>
      </c>
      <c r="J169" s="188">
        <f>Tableau4[[#This Row],[Surcoût moyens de l''équipement ($)]]+Tableau4[[#This Row],[Surcoût moyen de l''installation ($)]]</f>
        <v>4834.6499999999996</v>
      </c>
      <c r="K169" s="188">
        <f>Tableau4[[#This Row],[Surcoût par appareil ($)]]*Tableau4[[#This Row],[Nombres appareils installés]]</f>
        <v>4834.6499999999996</v>
      </c>
      <c r="L169" s="188">
        <v>1775</v>
      </c>
      <c r="M169" s="188">
        <f t="shared" si="5"/>
        <v>1775</v>
      </c>
      <c r="N169" s="188">
        <f>Tableau4[[#This Row],[AF 0 ($)]]/Tableau4[[#This Row],[Nombres appareils installés]]</f>
        <v>1775</v>
      </c>
      <c r="O169" s="191">
        <f>(Tableau4[[#This Row],[AF accordée ($)]])/($J$6*D169)</f>
        <v>0.44337313283708846</v>
      </c>
      <c r="P169" s="191">
        <f>Tableau4[[#This Row],[Couverture 0 (%)]]*Tableau4[[#This Row],[Nombres appareils installés]]</f>
        <v>0.44337313283708846</v>
      </c>
      <c r="Q169" s="188">
        <f>($Q$4+$R$4*(Tableau4[[#This Row],[Capacité (BTU)]]/1000))*Tableau4[[#This Row],[Nombres appareils installés]]</f>
        <v>2875</v>
      </c>
      <c r="R169" s="188">
        <f>Tableau4[[#This Row],[AF 1 ($)]]/Tableau4[[#This Row],[Nombres appareils installés]]</f>
        <v>2875</v>
      </c>
      <c r="S169" s="191">
        <f>Tableau4[[#This Row],[AF 1 ($)]]/(J169*D169)</f>
        <v>0.59466559109759765</v>
      </c>
      <c r="T169" s="191">
        <f>Tableau4[[#This Row],[Couverture 1 (%)]]*Tableau4[[#This Row],[Nombres appareils installés]]</f>
        <v>0.59466559109759765</v>
      </c>
      <c r="U169" s="188">
        <f>($U$4+($V$4*(Tableau4[[#This Row],[Capacité (BTU)]]/1000)))*Tableau4[[#This Row],[Nombres appareils installés]]</f>
        <v>3312.5</v>
      </c>
      <c r="V169" s="188">
        <f>Tableau4[[#This Row],[AF 2 ($)]]/Tableau4[[#This Row],[Nombres appareils installés]]</f>
        <v>3312.5</v>
      </c>
      <c r="W169" s="192">
        <f>Tableau4[[#This Row],[AF 2 par appareil ($)]]/Tableau4[[#This Row],[Surcoût par appareil ($)]]</f>
        <v>0.68515818104723203</v>
      </c>
      <c r="X169" s="192">
        <f>Tableau4[[#This Row],[Couverture 2 (%)]]*Tableau4[[#This Row],[Nombres appareils installés]]</f>
        <v>0.68515818104723203</v>
      </c>
      <c r="Y169" s="188">
        <f>($Y$4+$Z$4*(Tableau4[[#This Row],[Capacité (BTU)]]/1000))*Tableau4[[#This Row],[Nombres appareils installés]]</f>
        <v>3375</v>
      </c>
      <c r="Z169" s="188">
        <f>Tableau4[[#This Row],[AF 3 ($)]]/Tableau4[[#This Row],[Nombres appareils installés]]</f>
        <v>3375</v>
      </c>
      <c r="AA169" s="193">
        <f>Tableau4[[#This Row],[AF 3 par appareil ($)]]/Tableau4[[#This Row],[Surcoût par appareil ($)]]</f>
        <v>0.69808569389717978</v>
      </c>
      <c r="AB169" s="193">
        <f>Tableau4[[#This Row],[Couverture 3 (%)]]*Tableau4[[#This Row],[Nombres appareils installés]]</f>
        <v>0.69808569389717978</v>
      </c>
      <c r="AC169" s="188">
        <f>($AC$4+$AD$4*(Tableau4[[#This Row],[Capacité (BTU)]]/1000))*Tableau4[[#This Row],[Nombres appareils installés]]</f>
        <v>2900</v>
      </c>
      <c r="AD169" s="188">
        <f>Tableau4[[#This Row],[AF 4 ($)]]/Tableau4[[#This Row],[Nombres appareils installés]]</f>
        <v>2900</v>
      </c>
      <c r="AE169" s="194">
        <f>Tableau4[[#This Row],[Couverture 4 (%)]]*Tableau4[[#This Row],[Nombres appareils installés]]</f>
        <v>0.59983659623757668</v>
      </c>
      <c r="AF169" s="193">
        <f>Tableau4[[#This Row],[AF 4 par appareil  ($)]]/Tableau4[[#This Row],[Surcoût par appareil ($)]]</f>
        <v>0.59983659623757668</v>
      </c>
    </row>
    <row r="170" spans="2:32" x14ac:dyDescent="0.3">
      <c r="B170" s="197" t="s">
        <v>271</v>
      </c>
      <c r="C170" s="188" t="s">
        <v>168</v>
      </c>
      <c r="D170" s="197">
        <v>4</v>
      </c>
      <c r="E170" s="197">
        <v>175000</v>
      </c>
      <c r="F170" s="198">
        <f>Tableau4[[#This Row],[Economies totales (m3)]]/Tableau4[[#This Row],[Nombres appareils installés]]</f>
        <v>883.75</v>
      </c>
      <c r="G170" s="197">
        <v>3535</v>
      </c>
      <c r="H170" s="188">
        <f t="shared" si="4"/>
        <v>2434.65</v>
      </c>
      <c r="I170" s="188">
        <v>2400</v>
      </c>
      <c r="J170" s="188">
        <f>Tableau4[[#This Row],[Surcoût moyens de l''équipement ($)]]+Tableau4[[#This Row],[Surcoût moyen de l''installation ($)]]</f>
        <v>4834.6499999999996</v>
      </c>
      <c r="K170" s="188">
        <f>Tableau4[[#This Row],[Surcoût par appareil ($)]]*Tableau4[[#This Row],[Nombres appareils installés]]</f>
        <v>19338.599999999999</v>
      </c>
      <c r="L170" s="197">
        <v>7100</v>
      </c>
      <c r="M170" s="188">
        <f t="shared" si="5"/>
        <v>7100</v>
      </c>
      <c r="N170" s="188">
        <f>Tableau4[[#This Row],[AF 0 ($)]]/Tableau4[[#This Row],[Nombres appareils installés]]</f>
        <v>1775</v>
      </c>
      <c r="O170" s="191">
        <f>(Tableau4[[#This Row],[AF accordée ($)]])/($J$6*D170)</f>
        <v>0.44337313283708846</v>
      </c>
      <c r="P170" s="191">
        <f>Tableau4[[#This Row],[Couverture 0 (%)]]*Tableau4[[#This Row],[Nombres appareils installés]]</f>
        <v>1.7734925313483538</v>
      </c>
      <c r="Q170" s="188">
        <f>($Q$4+$R$4*(Tableau4[[#This Row],[Capacité (BTU)]]/1000))*Tableau4[[#This Row],[Nombres appareils installés]]</f>
        <v>11500</v>
      </c>
      <c r="R170" s="188">
        <f>Tableau4[[#This Row],[AF 1 ($)]]/Tableau4[[#This Row],[Nombres appareils installés]]</f>
        <v>2875</v>
      </c>
      <c r="S170" s="191">
        <f>Tableau4[[#This Row],[AF 1 ($)]]/(J170*D170)</f>
        <v>0.59466559109759765</v>
      </c>
      <c r="T170" s="191">
        <f>Tableau4[[#This Row],[Couverture 1 (%)]]*Tableau4[[#This Row],[Nombres appareils installés]]</f>
        <v>2.3786623643903906</v>
      </c>
      <c r="U170" s="188">
        <f>($U$4+($V$4*(Tableau4[[#This Row],[Capacité (BTU)]]/1000)))*Tableau4[[#This Row],[Nombres appareils installés]]</f>
        <v>13250</v>
      </c>
      <c r="V170" s="188">
        <f>Tableau4[[#This Row],[AF 2 ($)]]/Tableau4[[#This Row],[Nombres appareils installés]]</f>
        <v>3312.5</v>
      </c>
      <c r="W170" s="192">
        <f>Tableau4[[#This Row],[AF 2 par appareil ($)]]/Tableau4[[#This Row],[Surcoût par appareil ($)]]</f>
        <v>0.68515818104723203</v>
      </c>
      <c r="X170" s="192">
        <f>Tableau4[[#This Row],[Couverture 2 (%)]]*Tableau4[[#This Row],[Nombres appareils installés]]</f>
        <v>2.7406327241889281</v>
      </c>
      <c r="Y170" s="188">
        <f>($Y$4+$Z$4*(Tableau4[[#This Row],[Capacité (BTU)]]/1000))*Tableau4[[#This Row],[Nombres appareils installés]]</f>
        <v>13500</v>
      </c>
      <c r="Z170" s="188">
        <f>Tableau4[[#This Row],[AF 3 ($)]]/Tableau4[[#This Row],[Nombres appareils installés]]</f>
        <v>3375</v>
      </c>
      <c r="AA170" s="193">
        <f>Tableau4[[#This Row],[AF 3 par appareil ($)]]/Tableau4[[#This Row],[Surcoût par appareil ($)]]</f>
        <v>0.69808569389717978</v>
      </c>
      <c r="AB170" s="193">
        <f>Tableau4[[#This Row],[Couverture 3 (%)]]*Tableau4[[#This Row],[Nombres appareils installés]]</f>
        <v>2.7923427755887191</v>
      </c>
      <c r="AC170" s="188">
        <f>($AC$4+$AD$4*(Tableau4[[#This Row],[Capacité (BTU)]]/1000))*Tableau4[[#This Row],[Nombres appareils installés]]</f>
        <v>11600</v>
      </c>
      <c r="AD170" s="188">
        <f>Tableau4[[#This Row],[AF 4 ($)]]/Tableau4[[#This Row],[Nombres appareils installés]]</f>
        <v>2900</v>
      </c>
      <c r="AE170" s="194">
        <f>Tableau4[[#This Row],[Couverture 4 (%)]]*Tableau4[[#This Row],[Nombres appareils installés]]</f>
        <v>2.3993463849503067</v>
      </c>
      <c r="AF170" s="193">
        <f>Tableau4[[#This Row],[AF 4 par appareil  ($)]]/Tableau4[[#This Row],[Surcoût par appareil ($)]]</f>
        <v>0.59983659623757668</v>
      </c>
    </row>
    <row r="171" spans="2:32" x14ac:dyDescent="0.3">
      <c r="B171" s="197" t="s">
        <v>271</v>
      </c>
      <c r="C171" s="188" t="s">
        <v>168</v>
      </c>
      <c r="D171" s="197">
        <v>2</v>
      </c>
      <c r="E171" s="197">
        <v>180000</v>
      </c>
      <c r="F171" s="198">
        <f>Tableau4[[#This Row],[Economies totales (m3)]]/Tableau4[[#This Row],[Nombres appareils installés]]</f>
        <v>909</v>
      </c>
      <c r="G171" s="197">
        <v>1818</v>
      </c>
      <c r="H171" s="188">
        <f t="shared" si="4"/>
        <v>2487.4</v>
      </c>
      <c r="I171" s="188">
        <v>2400</v>
      </c>
      <c r="J171" s="188">
        <f>Tableau4[[#This Row],[Surcoût moyens de l''équipement ($)]]+Tableau4[[#This Row],[Surcoût moyen de l''installation ($)]]</f>
        <v>4887.3999999999996</v>
      </c>
      <c r="K171" s="188">
        <f>Tableau4[[#This Row],[Surcoût par appareil ($)]]*Tableau4[[#This Row],[Nombres appareils installés]]</f>
        <v>9774.7999999999993</v>
      </c>
      <c r="L171" s="197">
        <v>3600</v>
      </c>
      <c r="M171" s="188">
        <f t="shared" si="5"/>
        <v>3600</v>
      </c>
      <c r="N171" s="188">
        <f>Tableau4[[#This Row],[AF 0 ($)]]/Tableau4[[#This Row],[Nombres appareils installés]]</f>
        <v>1800</v>
      </c>
      <c r="O171" s="191">
        <f>(Tableau4[[#This Row],[AF accordée ($)]])/($J$6*D171)</f>
        <v>0.44961782484887847</v>
      </c>
      <c r="P171" s="191">
        <f>Tableau4[[#This Row],[Couverture 0 (%)]]*Tableau4[[#This Row],[Nombres appareils installés]]</f>
        <v>0.89923564969775693</v>
      </c>
      <c r="Q171" s="188">
        <f>($Q$4+$R$4*(Tableau4[[#This Row],[Capacité (BTU)]]/1000))*Tableau4[[#This Row],[Nombres appareils installés]]</f>
        <v>5800</v>
      </c>
      <c r="R171" s="188">
        <f>Tableau4[[#This Row],[AF 1 ($)]]/Tableau4[[#This Row],[Nombres appareils installés]]</f>
        <v>2900</v>
      </c>
      <c r="S171" s="191">
        <f>Tableau4[[#This Row],[AF 1 ($)]]/(J171*D171)</f>
        <v>0.59336252404141265</v>
      </c>
      <c r="T171" s="191">
        <f>Tableau4[[#This Row],[Couverture 1 (%)]]*Tableau4[[#This Row],[Nombres appareils installés]]</f>
        <v>1.1867250480828253</v>
      </c>
      <c r="U171" s="188">
        <f>($U$4+($V$4*(Tableau4[[#This Row],[Capacité (BTU)]]/1000)))*Tableau4[[#This Row],[Nombres appareils installés]]</f>
        <v>6700</v>
      </c>
      <c r="V171" s="188">
        <f>Tableau4[[#This Row],[AF 2 ($)]]/Tableau4[[#This Row],[Nombres appareils installés]]</f>
        <v>3350</v>
      </c>
      <c r="W171" s="192">
        <f>Tableau4[[#This Row],[AF 2 par appareil ($)]]/Tableau4[[#This Row],[Surcoût par appareil ($)]]</f>
        <v>0.68543601915128705</v>
      </c>
      <c r="X171" s="192">
        <f>Tableau4[[#This Row],[Couverture 2 (%)]]*Tableau4[[#This Row],[Nombres appareils installés]]</f>
        <v>1.3708720383025741</v>
      </c>
      <c r="Y171" s="188">
        <f>($Y$4+$Z$4*(Tableau4[[#This Row],[Capacité (BTU)]]/1000))*Tableau4[[#This Row],[Nombres appareils installés]]</f>
        <v>6800</v>
      </c>
      <c r="Z171" s="188">
        <f>Tableau4[[#This Row],[AF 3 ($)]]/Tableau4[[#This Row],[Nombres appareils installés]]</f>
        <v>3400</v>
      </c>
      <c r="AA171" s="193">
        <f>Tableau4[[#This Row],[AF 3 par appareil ($)]]/Tableau4[[#This Row],[Surcoût par appareil ($)]]</f>
        <v>0.69566640749682862</v>
      </c>
      <c r="AB171" s="193">
        <f>Tableau4[[#This Row],[Couverture 3 (%)]]*Tableau4[[#This Row],[Nombres appareils installés]]</f>
        <v>1.3913328149936572</v>
      </c>
      <c r="AC171" s="188">
        <f>($AC$4+$AD$4*(Tableau4[[#This Row],[Capacité (BTU)]]/1000))*Tableau4[[#This Row],[Nombres appareils installés]]</f>
        <v>5840</v>
      </c>
      <c r="AD171" s="188">
        <f>Tableau4[[#This Row],[AF 4 ($)]]/Tableau4[[#This Row],[Nombres appareils installés]]</f>
        <v>2920</v>
      </c>
      <c r="AE171" s="194">
        <f>Tableau4[[#This Row],[Couverture 4 (%)]]*Tableau4[[#This Row],[Nombres appareils installés]]</f>
        <v>1.1949093587592585</v>
      </c>
      <c r="AF171" s="193">
        <f>Tableau4[[#This Row],[AF 4 par appareil  ($)]]/Tableau4[[#This Row],[Surcoût par appareil ($)]]</f>
        <v>0.59745467937962926</v>
      </c>
    </row>
    <row r="172" spans="2:32" x14ac:dyDescent="0.3">
      <c r="B172" s="188" t="s">
        <v>271</v>
      </c>
      <c r="C172" s="188" t="s">
        <v>168</v>
      </c>
      <c r="D172" s="188">
        <v>7</v>
      </c>
      <c r="E172" s="188">
        <v>180000</v>
      </c>
      <c r="F172" s="196">
        <f>Tableau4[[#This Row],[Economies totales (m3)]]/Tableau4[[#This Row],[Nombres appareils installés]]</f>
        <v>909</v>
      </c>
      <c r="G172" s="188">
        <v>6363</v>
      </c>
      <c r="H172" s="188">
        <f t="shared" si="4"/>
        <v>2487.4</v>
      </c>
      <c r="I172" s="188">
        <v>2400</v>
      </c>
      <c r="J172" s="188">
        <f>Tableau4[[#This Row],[Surcoût moyens de l''équipement ($)]]+Tableau4[[#This Row],[Surcoût moyen de l''installation ($)]]</f>
        <v>4887.3999999999996</v>
      </c>
      <c r="K172" s="188">
        <f>Tableau4[[#This Row],[Surcoût par appareil ($)]]*Tableau4[[#This Row],[Nombres appareils installés]]</f>
        <v>34211.799999999996</v>
      </c>
      <c r="L172" s="188">
        <v>12600</v>
      </c>
      <c r="M172" s="188">
        <f t="shared" si="5"/>
        <v>12600</v>
      </c>
      <c r="N172" s="188">
        <f>Tableau4[[#This Row],[AF 0 ($)]]/Tableau4[[#This Row],[Nombres appareils installés]]</f>
        <v>1800</v>
      </c>
      <c r="O172" s="191">
        <f>(Tableau4[[#This Row],[AF accordée ($)]])/($J$6*D172)</f>
        <v>0.44961782484887847</v>
      </c>
      <c r="P172" s="191">
        <f>Tableau4[[#This Row],[Couverture 0 (%)]]*Tableau4[[#This Row],[Nombres appareils installés]]</f>
        <v>3.1473247739421493</v>
      </c>
      <c r="Q172" s="188">
        <f>($Q$4+$R$4*(Tableau4[[#This Row],[Capacité (BTU)]]/1000))*Tableau4[[#This Row],[Nombres appareils installés]]</f>
        <v>20300</v>
      </c>
      <c r="R172" s="188">
        <f>Tableau4[[#This Row],[AF 1 ($)]]/Tableau4[[#This Row],[Nombres appareils installés]]</f>
        <v>2900</v>
      </c>
      <c r="S172" s="191">
        <f>Tableau4[[#This Row],[AF 1 ($)]]/(J172*D172)</f>
        <v>0.59336252404141265</v>
      </c>
      <c r="T172" s="191">
        <f>Tableau4[[#This Row],[Couverture 1 (%)]]*Tableau4[[#This Row],[Nombres appareils installés]]</f>
        <v>4.1535376682898884</v>
      </c>
      <c r="U172" s="188">
        <f>($U$4+($V$4*(Tableau4[[#This Row],[Capacité (BTU)]]/1000)))*Tableau4[[#This Row],[Nombres appareils installés]]</f>
        <v>23450</v>
      </c>
      <c r="V172" s="188">
        <f>Tableau4[[#This Row],[AF 2 ($)]]/Tableau4[[#This Row],[Nombres appareils installés]]</f>
        <v>3350</v>
      </c>
      <c r="W172" s="192">
        <f>Tableau4[[#This Row],[AF 2 par appareil ($)]]/Tableau4[[#This Row],[Surcoût par appareil ($)]]</f>
        <v>0.68543601915128705</v>
      </c>
      <c r="X172" s="192">
        <f>Tableau4[[#This Row],[Couverture 2 (%)]]*Tableau4[[#This Row],[Nombres appareils installés]]</f>
        <v>4.7980521340590094</v>
      </c>
      <c r="Y172" s="188">
        <f>($Y$4+$Z$4*(Tableau4[[#This Row],[Capacité (BTU)]]/1000))*Tableau4[[#This Row],[Nombres appareils installés]]</f>
        <v>23800</v>
      </c>
      <c r="Z172" s="188">
        <f>Tableau4[[#This Row],[AF 3 ($)]]/Tableau4[[#This Row],[Nombres appareils installés]]</f>
        <v>3400</v>
      </c>
      <c r="AA172" s="193">
        <f>Tableau4[[#This Row],[AF 3 par appareil ($)]]/Tableau4[[#This Row],[Surcoût par appareil ($)]]</f>
        <v>0.69566640749682862</v>
      </c>
      <c r="AB172" s="193">
        <f>Tableau4[[#This Row],[Couverture 3 (%)]]*Tableau4[[#This Row],[Nombres appareils installés]]</f>
        <v>4.8696648524778006</v>
      </c>
      <c r="AC172" s="188">
        <f>($AC$4+$AD$4*(Tableau4[[#This Row],[Capacité (BTU)]]/1000))*Tableau4[[#This Row],[Nombres appareils installés]]</f>
        <v>20440</v>
      </c>
      <c r="AD172" s="188">
        <f>Tableau4[[#This Row],[AF 4 ($)]]/Tableau4[[#This Row],[Nombres appareils installés]]</f>
        <v>2920</v>
      </c>
      <c r="AE172" s="194">
        <f>Tableau4[[#This Row],[Couverture 4 (%)]]*Tableau4[[#This Row],[Nombres appareils installés]]</f>
        <v>4.1821827556574052</v>
      </c>
      <c r="AF172" s="193">
        <f>Tableau4[[#This Row],[AF 4 par appareil  ($)]]/Tableau4[[#This Row],[Surcoût par appareil ($)]]</f>
        <v>0.59745467937962926</v>
      </c>
    </row>
    <row r="173" spans="2:32" x14ac:dyDescent="0.3">
      <c r="B173" s="188" t="s">
        <v>271</v>
      </c>
      <c r="C173" s="188" t="s">
        <v>168</v>
      </c>
      <c r="D173" s="188">
        <v>1</v>
      </c>
      <c r="E173" s="188">
        <v>260000</v>
      </c>
      <c r="F173" s="196">
        <f>Tableau4[[#This Row],[Economies totales (m3)]]/Tableau4[[#This Row],[Nombres appareils installés]]</f>
        <v>1313</v>
      </c>
      <c r="G173" s="188">
        <v>1313</v>
      </c>
      <c r="H173" s="188">
        <f t="shared" si="4"/>
        <v>3535.3999999999996</v>
      </c>
      <c r="I173" s="188">
        <v>2400</v>
      </c>
      <c r="J173" s="188">
        <f>Tableau4[[#This Row],[Surcoût moyens de l''équipement ($)]]+Tableau4[[#This Row],[Surcoût moyen de l''installation ($)]]</f>
        <v>5935.4</v>
      </c>
      <c r="K173" s="188">
        <f>Tableau4[[#This Row],[Surcoût par appareil ($)]]*Tableau4[[#This Row],[Nombres appareils installés]]</f>
        <v>5935.4</v>
      </c>
      <c r="L173" s="188">
        <v>2200</v>
      </c>
      <c r="M173" s="188">
        <f t="shared" si="5"/>
        <v>2200</v>
      </c>
      <c r="N173" s="188">
        <f>Tableau4[[#This Row],[AF 0 ($)]]/Tableau4[[#This Row],[Nombres appareils installés]]</f>
        <v>2200</v>
      </c>
      <c r="O173" s="191">
        <f>(Tableau4[[#This Row],[AF accordée ($)]])/($J$6*D173)</f>
        <v>0.54953289703751806</v>
      </c>
      <c r="P173" s="191">
        <f>Tableau4[[#This Row],[Couverture 0 (%)]]*Tableau4[[#This Row],[Nombres appareils installés]]</f>
        <v>0.54953289703751806</v>
      </c>
      <c r="Q173" s="188">
        <f>($Q$4+$R$4*(Tableau4[[#This Row],[Capacité (BTU)]]/1000))*Tableau4[[#This Row],[Nombres appareils installés]]</f>
        <v>3300</v>
      </c>
      <c r="R173" s="188">
        <f>Tableau4[[#This Row],[AF 1 ($)]]/Tableau4[[#This Row],[Nombres appareils installés]]</f>
        <v>3300</v>
      </c>
      <c r="S173" s="191">
        <f>Tableau4[[#This Row],[AF 1 ($)]]/(J173*D173)</f>
        <v>0.55598611719513436</v>
      </c>
      <c r="T173" s="191">
        <f>Tableau4[[#This Row],[Couverture 1 (%)]]*Tableau4[[#This Row],[Nombres appareils installés]]</f>
        <v>0.55598611719513436</v>
      </c>
      <c r="U173" s="188">
        <f>($U$4+($V$4*(Tableau4[[#This Row],[Capacité (BTU)]]/1000)))*Tableau4[[#This Row],[Nombres appareils installés]]</f>
        <v>3950</v>
      </c>
      <c r="V173" s="188">
        <f>Tableau4[[#This Row],[AF 2 ($)]]/Tableau4[[#This Row],[Nombres appareils installés]]</f>
        <v>3950</v>
      </c>
      <c r="W173" s="192">
        <f>Tableau4[[#This Row],[AF 2 par appareil ($)]]/Tableau4[[#This Row],[Surcoût par appareil ($)]]</f>
        <v>0.66549853421841831</v>
      </c>
      <c r="X173" s="192">
        <f>Tableau4[[#This Row],[Couverture 2 (%)]]*Tableau4[[#This Row],[Nombres appareils installés]]</f>
        <v>0.66549853421841831</v>
      </c>
      <c r="Y173" s="188">
        <f>($Y$4+$Z$4*(Tableau4[[#This Row],[Capacité (BTU)]]/1000))*Tableau4[[#This Row],[Nombres appareils installés]]</f>
        <v>3800</v>
      </c>
      <c r="Z173" s="188">
        <f>Tableau4[[#This Row],[AF 3 ($)]]/Tableau4[[#This Row],[Nombres appareils installés]]</f>
        <v>3800</v>
      </c>
      <c r="AA173" s="193">
        <f>Tableau4[[#This Row],[AF 3 par appareil ($)]]/Tableau4[[#This Row],[Surcoût par appareil ($)]]</f>
        <v>0.64022643798227585</v>
      </c>
      <c r="AB173" s="193">
        <f>Tableau4[[#This Row],[Couverture 3 (%)]]*Tableau4[[#This Row],[Nombres appareils installés]]</f>
        <v>0.64022643798227585</v>
      </c>
      <c r="AC173" s="188">
        <f>($AC$4+$AD$4*(Tableau4[[#This Row],[Capacité (BTU)]]/1000))*Tableau4[[#This Row],[Nombres appareils installés]]</f>
        <v>3240</v>
      </c>
      <c r="AD173" s="188">
        <f>Tableau4[[#This Row],[AF 4 ($)]]/Tableau4[[#This Row],[Nombres appareils installés]]</f>
        <v>3240</v>
      </c>
      <c r="AE173" s="194">
        <f>Tableau4[[#This Row],[Couverture 4 (%)]]*Tableau4[[#This Row],[Nombres appareils installés]]</f>
        <v>0.54587727870067737</v>
      </c>
      <c r="AF173" s="193">
        <f>Tableau4[[#This Row],[AF 4 par appareil  ($)]]/Tableau4[[#This Row],[Surcoût par appareil ($)]]</f>
        <v>0.54587727870067737</v>
      </c>
    </row>
    <row r="174" spans="2:32" x14ac:dyDescent="0.3">
      <c r="B174" s="197" t="s">
        <v>271</v>
      </c>
      <c r="C174" s="188" t="s">
        <v>168</v>
      </c>
      <c r="D174" s="197">
        <v>1</v>
      </c>
      <c r="E174" s="197">
        <v>260000</v>
      </c>
      <c r="F174" s="198">
        <f>Tableau4[[#This Row],[Economies totales (m3)]]/Tableau4[[#This Row],[Nombres appareils installés]]</f>
        <v>1313</v>
      </c>
      <c r="G174" s="197">
        <v>1313</v>
      </c>
      <c r="H174" s="188">
        <f t="shared" si="4"/>
        <v>3535.3999999999996</v>
      </c>
      <c r="I174" s="188">
        <v>2400</v>
      </c>
      <c r="J174" s="188">
        <f>Tableau4[[#This Row],[Surcoût moyens de l''équipement ($)]]+Tableau4[[#This Row],[Surcoût moyen de l''installation ($)]]</f>
        <v>5935.4</v>
      </c>
      <c r="K174" s="188">
        <f>Tableau4[[#This Row],[Surcoût par appareil ($)]]*Tableau4[[#This Row],[Nombres appareils installés]]</f>
        <v>5935.4</v>
      </c>
      <c r="L174" s="197">
        <v>2200</v>
      </c>
      <c r="M174" s="188">
        <f t="shared" si="5"/>
        <v>2200</v>
      </c>
      <c r="N174" s="188">
        <f>Tableau4[[#This Row],[AF 0 ($)]]/Tableau4[[#This Row],[Nombres appareils installés]]</f>
        <v>2200</v>
      </c>
      <c r="O174" s="191">
        <f>(Tableau4[[#This Row],[AF accordée ($)]])/($J$6*D174)</f>
        <v>0.54953289703751806</v>
      </c>
      <c r="P174" s="191">
        <f>Tableau4[[#This Row],[Couverture 0 (%)]]*Tableau4[[#This Row],[Nombres appareils installés]]</f>
        <v>0.54953289703751806</v>
      </c>
      <c r="Q174" s="188">
        <f>($Q$4+$R$4*(Tableau4[[#This Row],[Capacité (BTU)]]/1000))*Tableau4[[#This Row],[Nombres appareils installés]]</f>
        <v>3300</v>
      </c>
      <c r="R174" s="188">
        <f>Tableau4[[#This Row],[AF 1 ($)]]/Tableau4[[#This Row],[Nombres appareils installés]]</f>
        <v>3300</v>
      </c>
      <c r="S174" s="191">
        <f>Tableau4[[#This Row],[AF 1 ($)]]/(J174*D174)</f>
        <v>0.55598611719513436</v>
      </c>
      <c r="T174" s="191">
        <f>Tableau4[[#This Row],[Couverture 1 (%)]]*Tableau4[[#This Row],[Nombres appareils installés]]</f>
        <v>0.55598611719513436</v>
      </c>
      <c r="U174" s="188">
        <f>($U$4+($V$4*(Tableau4[[#This Row],[Capacité (BTU)]]/1000)))*Tableau4[[#This Row],[Nombres appareils installés]]</f>
        <v>3950</v>
      </c>
      <c r="V174" s="188">
        <f>Tableau4[[#This Row],[AF 2 ($)]]/Tableau4[[#This Row],[Nombres appareils installés]]</f>
        <v>3950</v>
      </c>
      <c r="W174" s="192">
        <f>Tableau4[[#This Row],[AF 2 par appareil ($)]]/Tableau4[[#This Row],[Surcoût par appareil ($)]]</f>
        <v>0.66549853421841831</v>
      </c>
      <c r="X174" s="192">
        <f>Tableau4[[#This Row],[Couverture 2 (%)]]*Tableau4[[#This Row],[Nombres appareils installés]]</f>
        <v>0.66549853421841831</v>
      </c>
      <c r="Y174" s="188">
        <f>($Y$4+$Z$4*(Tableau4[[#This Row],[Capacité (BTU)]]/1000))*Tableau4[[#This Row],[Nombres appareils installés]]</f>
        <v>3800</v>
      </c>
      <c r="Z174" s="188">
        <f>Tableau4[[#This Row],[AF 3 ($)]]/Tableau4[[#This Row],[Nombres appareils installés]]</f>
        <v>3800</v>
      </c>
      <c r="AA174" s="193">
        <f>Tableau4[[#This Row],[AF 3 par appareil ($)]]/Tableau4[[#This Row],[Surcoût par appareil ($)]]</f>
        <v>0.64022643798227585</v>
      </c>
      <c r="AB174" s="193">
        <f>Tableau4[[#This Row],[Couverture 3 (%)]]*Tableau4[[#This Row],[Nombres appareils installés]]</f>
        <v>0.64022643798227585</v>
      </c>
      <c r="AC174" s="188">
        <f>($AC$4+$AD$4*(Tableau4[[#This Row],[Capacité (BTU)]]/1000))*Tableau4[[#This Row],[Nombres appareils installés]]</f>
        <v>3240</v>
      </c>
      <c r="AD174" s="188">
        <f>Tableau4[[#This Row],[AF 4 ($)]]/Tableau4[[#This Row],[Nombres appareils installés]]</f>
        <v>3240</v>
      </c>
      <c r="AE174" s="194">
        <f>Tableau4[[#This Row],[Couverture 4 (%)]]*Tableau4[[#This Row],[Nombres appareils installés]]</f>
        <v>0.54587727870067737</v>
      </c>
      <c r="AF174" s="193">
        <f>Tableau4[[#This Row],[AF 4 par appareil  ($)]]/Tableau4[[#This Row],[Surcoût par appareil ($)]]</f>
        <v>0.54587727870067737</v>
      </c>
    </row>
    <row r="175" spans="2:32" x14ac:dyDescent="0.3">
      <c r="B175" s="197" t="s">
        <v>271</v>
      </c>
      <c r="C175" s="188" t="s">
        <v>168</v>
      </c>
      <c r="D175" s="197">
        <v>2</v>
      </c>
      <c r="E175" s="197">
        <v>260000</v>
      </c>
      <c r="F175" s="198">
        <f>Tableau4[[#This Row],[Economies totales (m3)]]/Tableau4[[#This Row],[Nombres appareils installés]]</f>
        <v>1313</v>
      </c>
      <c r="G175" s="197">
        <v>2626</v>
      </c>
      <c r="H175" s="188">
        <f t="shared" si="4"/>
        <v>3535.3999999999996</v>
      </c>
      <c r="I175" s="188">
        <v>2400</v>
      </c>
      <c r="J175" s="188">
        <f>Tableau4[[#This Row],[Surcoût moyens de l''équipement ($)]]+Tableau4[[#This Row],[Surcoût moyen de l''installation ($)]]</f>
        <v>5935.4</v>
      </c>
      <c r="K175" s="188">
        <f>Tableau4[[#This Row],[Surcoût par appareil ($)]]*Tableau4[[#This Row],[Nombres appareils installés]]</f>
        <v>11870.8</v>
      </c>
      <c r="L175" s="197">
        <v>4400</v>
      </c>
      <c r="M175" s="188">
        <f t="shared" si="5"/>
        <v>4400</v>
      </c>
      <c r="N175" s="188">
        <f>Tableau4[[#This Row],[AF 0 ($)]]/Tableau4[[#This Row],[Nombres appareils installés]]</f>
        <v>2200</v>
      </c>
      <c r="O175" s="191">
        <f>(Tableau4[[#This Row],[AF accordée ($)]])/($J$6*D175)</f>
        <v>0.54953289703751806</v>
      </c>
      <c r="P175" s="191">
        <f>Tableau4[[#This Row],[Couverture 0 (%)]]*Tableau4[[#This Row],[Nombres appareils installés]]</f>
        <v>1.0990657940750361</v>
      </c>
      <c r="Q175" s="188">
        <f>($Q$4+$R$4*(Tableau4[[#This Row],[Capacité (BTU)]]/1000))*Tableau4[[#This Row],[Nombres appareils installés]]</f>
        <v>6600</v>
      </c>
      <c r="R175" s="188">
        <f>Tableau4[[#This Row],[AF 1 ($)]]/Tableau4[[#This Row],[Nombres appareils installés]]</f>
        <v>3300</v>
      </c>
      <c r="S175" s="191">
        <f>Tableau4[[#This Row],[AF 1 ($)]]/(J175*D175)</f>
        <v>0.55598611719513436</v>
      </c>
      <c r="T175" s="191">
        <f>Tableau4[[#This Row],[Couverture 1 (%)]]*Tableau4[[#This Row],[Nombres appareils installés]]</f>
        <v>1.1119722343902687</v>
      </c>
      <c r="U175" s="188">
        <f>($U$4+($V$4*(Tableau4[[#This Row],[Capacité (BTU)]]/1000)))*Tableau4[[#This Row],[Nombres appareils installés]]</f>
        <v>7900</v>
      </c>
      <c r="V175" s="188">
        <f>Tableau4[[#This Row],[AF 2 ($)]]/Tableau4[[#This Row],[Nombres appareils installés]]</f>
        <v>3950</v>
      </c>
      <c r="W175" s="192">
        <f>Tableau4[[#This Row],[AF 2 par appareil ($)]]/Tableau4[[#This Row],[Surcoût par appareil ($)]]</f>
        <v>0.66549853421841831</v>
      </c>
      <c r="X175" s="192">
        <f>Tableau4[[#This Row],[Couverture 2 (%)]]*Tableau4[[#This Row],[Nombres appareils installés]]</f>
        <v>1.3309970684368366</v>
      </c>
      <c r="Y175" s="188">
        <f>($Y$4+$Z$4*(Tableau4[[#This Row],[Capacité (BTU)]]/1000))*Tableau4[[#This Row],[Nombres appareils installés]]</f>
        <v>7600</v>
      </c>
      <c r="Z175" s="188">
        <f>Tableau4[[#This Row],[AF 3 ($)]]/Tableau4[[#This Row],[Nombres appareils installés]]</f>
        <v>3800</v>
      </c>
      <c r="AA175" s="193">
        <f>Tableau4[[#This Row],[AF 3 par appareil ($)]]/Tableau4[[#This Row],[Surcoût par appareil ($)]]</f>
        <v>0.64022643798227585</v>
      </c>
      <c r="AB175" s="193">
        <f>Tableau4[[#This Row],[Couverture 3 (%)]]*Tableau4[[#This Row],[Nombres appareils installés]]</f>
        <v>1.2804528759645517</v>
      </c>
      <c r="AC175" s="188">
        <f>($AC$4+$AD$4*(Tableau4[[#This Row],[Capacité (BTU)]]/1000))*Tableau4[[#This Row],[Nombres appareils installés]]</f>
        <v>6480</v>
      </c>
      <c r="AD175" s="188">
        <f>Tableau4[[#This Row],[AF 4 ($)]]/Tableau4[[#This Row],[Nombres appareils installés]]</f>
        <v>3240</v>
      </c>
      <c r="AE175" s="194">
        <f>Tableau4[[#This Row],[Couverture 4 (%)]]*Tableau4[[#This Row],[Nombres appareils installés]]</f>
        <v>1.0917545574013547</v>
      </c>
      <c r="AF175" s="193">
        <f>Tableau4[[#This Row],[AF 4 par appareil  ($)]]/Tableau4[[#This Row],[Surcoût par appareil ($)]]</f>
        <v>0.54587727870067737</v>
      </c>
    </row>
    <row r="176" spans="2:32" x14ac:dyDescent="0.3">
      <c r="B176" s="188" t="s">
        <v>271</v>
      </c>
      <c r="C176" s="188" t="s">
        <v>168</v>
      </c>
      <c r="D176" s="188">
        <v>3</v>
      </c>
      <c r="E176" s="188">
        <v>260000</v>
      </c>
      <c r="F176" s="196">
        <f>Tableau4[[#This Row],[Economies totales (m3)]]/Tableau4[[#This Row],[Nombres appareils installés]]</f>
        <v>1313</v>
      </c>
      <c r="G176" s="188">
        <v>3939</v>
      </c>
      <c r="H176" s="188">
        <f t="shared" si="4"/>
        <v>3535.3999999999996</v>
      </c>
      <c r="I176" s="188">
        <v>2400</v>
      </c>
      <c r="J176" s="188">
        <f>Tableau4[[#This Row],[Surcoût moyens de l''équipement ($)]]+Tableau4[[#This Row],[Surcoût moyen de l''installation ($)]]</f>
        <v>5935.4</v>
      </c>
      <c r="K176" s="188">
        <f>Tableau4[[#This Row],[Surcoût par appareil ($)]]*Tableau4[[#This Row],[Nombres appareils installés]]</f>
        <v>17806.199999999997</v>
      </c>
      <c r="L176" s="188">
        <v>6600</v>
      </c>
      <c r="M176" s="188">
        <f t="shared" si="5"/>
        <v>6600</v>
      </c>
      <c r="N176" s="188">
        <f>Tableau4[[#This Row],[AF 0 ($)]]/Tableau4[[#This Row],[Nombres appareils installés]]</f>
        <v>2200</v>
      </c>
      <c r="O176" s="191">
        <f>(Tableau4[[#This Row],[AF accordée ($)]])/($J$6*D176)</f>
        <v>0.54953289703751806</v>
      </c>
      <c r="P176" s="191">
        <f>Tableau4[[#This Row],[Couverture 0 (%)]]*Tableau4[[#This Row],[Nombres appareils installés]]</f>
        <v>1.6485986911125541</v>
      </c>
      <c r="Q176" s="188">
        <f>($Q$4+$R$4*(Tableau4[[#This Row],[Capacité (BTU)]]/1000))*Tableau4[[#This Row],[Nombres appareils installés]]</f>
        <v>9900</v>
      </c>
      <c r="R176" s="188">
        <f>Tableau4[[#This Row],[AF 1 ($)]]/Tableau4[[#This Row],[Nombres appareils installés]]</f>
        <v>3300</v>
      </c>
      <c r="S176" s="191">
        <f>Tableau4[[#This Row],[AF 1 ($)]]/(J176*D176)</f>
        <v>0.55598611719513436</v>
      </c>
      <c r="T176" s="191">
        <f>Tableau4[[#This Row],[Couverture 1 (%)]]*Tableau4[[#This Row],[Nombres appareils installés]]</f>
        <v>1.6679583515854031</v>
      </c>
      <c r="U176" s="188">
        <f>($U$4+($V$4*(Tableau4[[#This Row],[Capacité (BTU)]]/1000)))*Tableau4[[#This Row],[Nombres appareils installés]]</f>
        <v>11850</v>
      </c>
      <c r="V176" s="188">
        <f>Tableau4[[#This Row],[AF 2 ($)]]/Tableau4[[#This Row],[Nombres appareils installés]]</f>
        <v>3950</v>
      </c>
      <c r="W176" s="192">
        <f>Tableau4[[#This Row],[AF 2 par appareil ($)]]/Tableau4[[#This Row],[Surcoût par appareil ($)]]</f>
        <v>0.66549853421841831</v>
      </c>
      <c r="X176" s="192">
        <f>Tableau4[[#This Row],[Couverture 2 (%)]]*Tableau4[[#This Row],[Nombres appareils installés]]</f>
        <v>1.9964956026552549</v>
      </c>
      <c r="Y176" s="188">
        <f>($Y$4+$Z$4*(Tableau4[[#This Row],[Capacité (BTU)]]/1000))*Tableau4[[#This Row],[Nombres appareils installés]]</f>
        <v>11400</v>
      </c>
      <c r="Z176" s="188">
        <f>Tableau4[[#This Row],[AF 3 ($)]]/Tableau4[[#This Row],[Nombres appareils installés]]</f>
        <v>3800</v>
      </c>
      <c r="AA176" s="193">
        <f>Tableau4[[#This Row],[AF 3 par appareil ($)]]/Tableau4[[#This Row],[Surcoût par appareil ($)]]</f>
        <v>0.64022643798227585</v>
      </c>
      <c r="AB176" s="193">
        <f>Tableau4[[#This Row],[Couverture 3 (%)]]*Tableau4[[#This Row],[Nombres appareils installés]]</f>
        <v>1.9206793139468274</v>
      </c>
      <c r="AC176" s="188">
        <f>($AC$4+$AD$4*(Tableau4[[#This Row],[Capacité (BTU)]]/1000))*Tableau4[[#This Row],[Nombres appareils installés]]</f>
        <v>9720</v>
      </c>
      <c r="AD176" s="188">
        <f>Tableau4[[#This Row],[AF 4 ($)]]/Tableau4[[#This Row],[Nombres appareils installés]]</f>
        <v>3240</v>
      </c>
      <c r="AE176" s="194">
        <f>Tableau4[[#This Row],[Couverture 4 (%)]]*Tableau4[[#This Row],[Nombres appareils installés]]</f>
        <v>1.6376318361020321</v>
      </c>
      <c r="AF176" s="193">
        <f>Tableau4[[#This Row],[AF 4 par appareil  ($)]]/Tableau4[[#This Row],[Surcoût par appareil ($)]]</f>
        <v>0.54587727870067737</v>
      </c>
    </row>
    <row r="177" spans="2:32" x14ac:dyDescent="0.3">
      <c r="B177" s="188" t="s">
        <v>271</v>
      </c>
      <c r="C177" s="188" t="s">
        <v>168</v>
      </c>
      <c r="D177" s="188">
        <v>3</v>
      </c>
      <c r="E177" s="188">
        <v>260000</v>
      </c>
      <c r="F177" s="196">
        <f>Tableau4[[#This Row],[Economies totales (m3)]]/Tableau4[[#This Row],[Nombres appareils installés]]</f>
        <v>1313</v>
      </c>
      <c r="G177" s="188">
        <v>3939</v>
      </c>
      <c r="H177" s="188">
        <f t="shared" si="4"/>
        <v>3535.3999999999996</v>
      </c>
      <c r="I177" s="188">
        <v>2400</v>
      </c>
      <c r="J177" s="188">
        <f>Tableau4[[#This Row],[Surcoût moyens de l''équipement ($)]]+Tableau4[[#This Row],[Surcoût moyen de l''installation ($)]]</f>
        <v>5935.4</v>
      </c>
      <c r="K177" s="188">
        <f>Tableau4[[#This Row],[Surcoût par appareil ($)]]*Tableau4[[#This Row],[Nombres appareils installés]]</f>
        <v>17806.199999999997</v>
      </c>
      <c r="L177" s="188">
        <v>6600</v>
      </c>
      <c r="M177" s="188">
        <f t="shared" si="5"/>
        <v>6600</v>
      </c>
      <c r="N177" s="188">
        <f>Tableau4[[#This Row],[AF 0 ($)]]/Tableau4[[#This Row],[Nombres appareils installés]]</f>
        <v>2200</v>
      </c>
      <c r="O177" s="191">
        <f>(Tableau4[[#This Row],[AF accordée ($)]])/($J$6*D177)</f>
        <v>0.54953289703751806</v>
      </c>
      <c r="P177" s="191">
        <f>Tableau4[[#This Row],[Couverture 0 (%)]]*Tableau4[[#This Row],[Nombres appareils installés]]</f>
        <v>1.6485986911125541</v>
      </c>
      <c r="Q177" s="188">
        <f>($Q$4+$R$4*(Tableau4[[#This Row],[Capacité (BTU)]]/1000))*Tableau4[[#This Row],[Nombres appareils installés]]</f>
        <v>9900</v>
      </c>
      <c r="R177" s="188">
        <f>Tableau4[[#This Row],[AF 1 ($)]]/Tableau4[[#This Row],[Nombres appareils installés]]</f>
        <v>3300</v>
      </c>
      <c r="S177" s="191">
        <f>Tableau4[[#This Row],[AF 1 ($)]]/(J177*D177)</f>
        <v>0.55598611719513436</v>
      </c>
      <c r="T177" s="191">
        <f>Tableau4[[#This Row],[Couverture 1 (%)]]*Tableau4[[#This Row],[Nombres appareils installés]]</f>
        <v>1.6679583515854031</v>
      </c>
      <c r="U177" s="188">
        <f>($U$4+($V$4*(Tableau4[[#This Row],[Capacité (BTU)]]/1000)))*Tableau4[[#This Row],[Nombres appareils installés]]</f>
        <v>11850</v>
      </c>
      <c r="V177" s="188">
        <f>Tableau4[[#This Row],[AF 2 ($)]]/Tableau4[[#This Row],[Nombres appareils installés]]</f>
        <v>3950</v>
      </c>
      <c r="W177" s="192">
        <f>Tableau4[[#This Row],[AF 2 par appareil ($)]]/Tableau4[[#This Row],[Surcoût par appareil ($)]]</f>
        <v>0.66549853421841831</v>
      </c>
      <c r="X177" s="192">
        <f>Tableau4[[#This Row],[Couverture 2 (%)]]*Tableau4[[#This Row],[Nombres appareils installés]]</f>
        <v>1.9964956026552549</v>
      </c>
      <c r="Y177" s="188">
        <f>($Y$4+$Z$4*(Tableau4[[#This Row],[Capacité (BTU)]]/1000))*Tableau4[[#This Row],[Nombres appareils installés]]</f>
        <v>11400</v>
      </c>
      <c r="Z177" s="188">
        <f>Tableau4[[#This Row],[AF 3 ($)]]/Tableau4[[#This Row],[Nombres appareils installés]]</f>
        <v>3800</v>
      </c>
      <c r="AA177" s="193">
        <f>Tableau4[[#This Row],[AF 3 par appareil ($)]]/Tableau4[[#This Row],[Surcoût par appareil ($)]]</f>
        <v>0.64022643798227585</v>
      </c>
      <c r="AB177" s="193">
        <f>Tableau4[[#This Row],[Couverture 3 (%)]]*Tableau4[[#This Row],[Nombres appareils installés]]</f>
        <v>1.9206793139468274</v>
      </c>
      <c r="AC177" s="188">
        <f>($AC$4+$AD$4*(Tableau4[[#This Row],[Capacité (BTU)]]/1000))*Tableau4[[#This Row],[Nombres appareils installés]]</f>
        <v>9720</v>
      </c>
      <c r="AD177" s="188">
        <f>Tableau4[[#This Row],[AF 4 ($)]]/Tableau4[[#This Row],[Nombres appareils installés]]</f>
        <v>3240</v>
      </c>
      <c r="AE177" s="194">
        <f>Tableau4[[#This Row],[Couverture 4 (%)]]*Tableau4[[#This Row],[Nombres appareils installés]]</f>
        <v>1.6376318361020321</v>
      </c>
      <c r="AF177" s="193">
        <f>Tableau4[[#This Row],[AF 4 par appareil  ($)]]/Tableau4[[#This Row],[Surcoût par appareil ($)]]</f>
        <v>0.54587727870067737</v>
      </c>
    </row>
    <row r="178" spans="2:32" x14ac:dyDescent="0.3">
      <c r="B178" s="197" t="s">
        <v>271</v>
      </c>
      <c r="C178" s="188" t="s">
        <v>168</v>
      </c>
      <c r="D178" s="197">
        <v>3</v>
      </c>
      <c r="E178" s="197">
        <v>260000</v>
      </c>
      <c r="F178" s="198">
        <f>Tableau4[[#This Row],[Economies totales (m3)]]/Tableau4[[#This Row],[Nombres appareils installés]]</f>
        <v>1313</v>
      </c>
      <c r="G178" s="197">
        <v>3939</v>
      </c>
      <c r="H178" s="188">
        <f t="shared" si="4"/>
        <v>3535.3999999999996</v>
      </c>
      <c r="I178" s="188">
        <v>2400</v>
      </c>
      <c r="J178" s="188">
        <f>Tableau4[[#This Row],[Surcoût moyens de l''équipement ($)]]+Tableau4[[#This Row],[Surcoût moyen de l''installation ($)]]</f>
        <v>5935.4</v>
      </c>
      <c r="K178" s="188">
        <f>Tableau4[[#This Row],[Surcoût par appareil ($)]]*Tableau4[[#This Row],[Nombres appareils installés]]</f>
        <v>17806.199999999997</v>
      </c>
      <c r="L178" s="197">
        <v>6600</v>
      </c>
      <c r="M178" s="188">
        <f t="shared" si="5"/>
        <v>6600</v>
      </c>
      <c r="N178" s="188">
        <f>Tableau4[[#This Row],[AF 0 ($)]]/Tableau4[[#This Row],[Nombres appareils installés]]</f>
        <v>2200</v>
      </c>
      <c r="O178" s="191">
        <f>(Tableau4[[#This Row],[AF accordée ($)]])/($J$6*D178)</f>
        <v>0.54953289703751806</v>
      </c>
      <c r="P178" s="191">
        <f>Tableau4[[#This Row],[Couverture 0 (%)]]*Tableau4[[#This Row],[Nombres appareils installés]]</f>
        <v>1.6485986911125541</v>
      </c>
      <c r="Q178" s="188">
        <f>($Q$4+$R$4*(Tableau4[[#This Row],[Capacité (BTU)]]/1000))*Tableau4[[#This Row],[Nombres appareils installés]]</f>
        <v>9900</v>
      </c>
      <c r="R178" s="188">
        <f>Tableau4[[#This Row],[AF 1 ($)]]/Tableau4[[#This Row],[Nombres appareils installés]]</f>
        <v>3300</v>
      </c>
      <c r="S178" s="191">
        <f>Tableau4[[#This Row],[AF 1 ($)]]/(J178*D178)</f>
        <v>0.55598611719513436</v>
      </c>
      <c r="T178" s="191">
        <f>Tableau4[[#This Row],[Couverture 1 (%)]]*Tableau4[[#This Row],[Nombres appareils installés]]</f>
        <v>1.6679583515854031</v>
      </c>
      <c r="U178" s="188">
        <f>($U$4+($V$4*(Tableau4[[#This Row],[Capacité (BTU)]]/1000)))*Tableau4[[#This Row],[Nombres appareils installés]]</f>
        <v>11850</v>
      </c>
      <c r="V178" s="188">
        <f>Tableau4[[#This Row],[AF 2 ($)]]/Tableau4[[#This Row],[Nombres appareils installés]]</f>
        <v>3950</v>
      </c>
      <c r="W178" s="192">
        <f>Tableau4[[#This Row],[AF 2 par appareil ($)]]/Tableau4[[#This Row],[Surcoût par appareil ($)]]</f>
        <v>0.66549853421841831</v>
      </c>
      <c r="X178" s="192">
        <f>Tableau4[[#This Row],[Couverture 2 (%)]]*Tableau4[[#This Row],[Nombres appareils installés]]</f>
        <v>1.9964956026552549</v>
      </c>
      <c r="Y178" s="188">
        <f>($Y$4+$Z$4*(Tableau4[[#This Row],[Capacité (BTU)]]/1000))*Tableau4[[#This Row],[Nombres appareils installés]]</f>
        <v>11400</v>
      </c>
      <c r="Z178" s="188">
        <f>Tableau4[[#This Row],[AF 3 ($)]]/Tableau4[[#This Row],[Nombres appareils installés]]</f>
        <v>3800</v>
      </c>
      <c r="AA178" s="193">
        <f>Tableau4[[#This Row],[AF 3 par appareil ($)]]/Tableau4[[#This Row],[Surcoût par appareil ($)]]</f>
        <v>0.64022643798227585</v>
      </c>
      <c r="AB178" s="193">
        <f>Tableau4[[#This Row],[Couverture 3 (%)]]*Tableau4[[#This Row],[Nombres appareils installés]]</f>
        <v>1.9206793139468274</v>
      </c>
      <c r="AC178" s="188">
        <f>($AC$4+$AD$4*(Tableau4[[#This Row],[Capacité (BTU)]]/1000))*Tableau4[[#This Row],[Nombres appareils installés]]</f>
        <v>9720</v>
      </c>
      <c r="AD178" s="188">
        <f>Tableau4[[#This Row],[AF 4 ($)]]/Tableau4[[#This Row],[Nombres appareils installés]]</f>
        <v>3240</v>
      </c>
      <c r="AE178" s="194">
        <f>Tableau4[[#This Row],[Couverture 4 (%)]]*Tableau4[[#This Row],[Nombres appareils installés]]</f>
        <v>1.6376318361020321</v>
      </c>
      <c r="AF178" s="193">
        <f>Tableau4[[#This Row],[AF 4 par appareil  ($)]]/Tableau4[[#This Row],[Surcoût par appareil ($)]]</f>
        <v>0.54587727870067737</v>
      </c>
    </row>
    <row r="179" spans="2:32" x14ac:dyDescent="0.3">
      <c r="B179" s="188" t="s">
        <v>271</v>
      </c>
      <c r="C179" s="188" t="s">
        <v>168</v>
      </c>
      <c r="D179" s="188">
        <v>3</v>
      </c>
      <c r="E179" s="188">
        <v>260000</v>
      </c>
      <c r="F179" s="196">
        <f>Tableau4[[#This Row],[Economies totales (m3)]]/Tableau4[[#This Row],[Nombres appareils installés]]</f>
        <v>1313</v>
      </c>
      <c r="G179" s="188">
        <v>3939</v>
      </c>
      <c r="H179" s="188">
        <f t="shared" si="4"/>
        <v>3535.3999999999996</v>
      </c>
      <c r="I179" s="188">
        <v>2400</v>
      </c>
      <c r="J179" s="188">
        <f>Tableau4[[#This Row],[Surcoût moyens de l''équipement ($)]]+Tableau4[[#This Row],[Surcoût moyen de l''installation ($)]]</f>
        <v>5935.4</v>
      </c>
      <c r="K179" s="188">
        <f>Tableau4[[#This Row],[Surcoût par appareil ($)]]*Tableau4[[#This Row],[Nombres appareils installés]]</f>
        <v>17806.199999999997</v>
      </c>
      <c r="L179" s="188">
        <v>6600</v>
      </c>
      <c r="M179" s="188">
        <f t="shared" si="5"/>
        <v>6600</v>
      </c>
      <c r="N179" s="188">
        <f>Tableau4[[#This Row],[AF 0 ($)]]/Tableau4[[#This Row],[Nombres appareils installés]]</f>
        <v>2200</v>
      </c>
      <c r="O179" s="191">
        <f>(Tableau4[[#This Row],[AF accordée ($)]])/($J$6*D179)</f>
        <v>0.54953289703751806</v>
      </c>
      <c r="P179" s="191">
        <f>Tableau4[[#This Row],[Couverture 0 (%)]]*Tableau4[[#This Row],[Nombres appareils installés]]</f>
        <v>1.6485986911125541</v>
      </c>
      <c r="Q179" s="188">
        <f>($Q$4+$R$4*(Tableau4[[#This Row],[Capacité (BTU)]]/1000))*Tableau4[[#This Row],[Nombres appareils installés]]</f>
        <v>9900</v>
      </c>
      <c r="R179" s="188">
        <f>Tableau4[[#This Row],[AF 1 ($)]]/Tableau4[[#This Row],[Nombres appareils installés]]</f>
        <v>3300</v>
      </c>
      <c r="S179" s="191">
        <f>Tableau4[[#This Row],[AF 1 ($)]]/(J179*D179)</f>
        <v>0.55598611719513436</v>
      </c>
      <c r="T179" s="191">
        <f>Tableau4[[#This Row],[Couverture 1 (%)]]*Tableau4[[#This Row],[Nombres appareils installés]]</f>
        <v>1.6679583515854031</v>
      </c>
      <c r="U179" s="188">
        <f>($U$4+($V$4*(Tableau4[[#This Row],[Capacité (BTU)]]/1000)))*Tableau4[[#This Row],[Nombres appareils installés]]</f>
        <v>11850</v>
      </c>
      <c r="V179" s="188">
        <f>Tableau4[[#This Row],[AF 2 ($)]]/Tableau4[[#This Row],[Nombres appareils installés]]</f>
        <v>3950</v>
      </c>
      <c r="W179" s="192">
        <f>Tableau4[[#This Row],[AF 2 par appareil ($)]]/Tableau4[[#This Row],[Surcoût par appareil ($)]]</f>
        <v>0.66549853421841831</v>
      </c>
      <c r="X179" s="192">
        <f>Tableau4[[#This Row],[Couverture 2 (%)]]*Tableau4[[#This Row],[Nombres appareils installés]]</f>
        <v>1.9964956026552549</v>
      </c>
      <c r="Y179" s="188">
        <f>($Y$4+$Z$4*(Tableau4[[#This Row],[Capacité (BTU)]]/1000))*Tableau4[[#This Row],[Nombres appareils installés]]</f>
        <v>11400</v>
      </c>
      <c r="Z179" s="188">
        <f>Tableau4[[#This Row],[AF 3 ($)]]/Tableau4[[#This Row],[Nombres appareils installés]]</f>
        <v>3800</v>
      </c>
      <c r="AA179" s="193">
        <f>Tableau4[[#This Row],[AF 3 par appareil ($)]]/Tableau4[[#This Row],[Surcoût par appareil ($)]]</f>
        <v>0.64022643798227585</v>
      </c>
      <c r="AB179" s="193">
        <f>Tableau4[[#This Row],[Couverture 3 (%)]]*Tableau4[[#This Row],[Nombres appareils installés]]</f>
        <v>1.9206793139468274</v>
      </c>
      <c r="AC179" s="188">
        <f>($AC$4+$AD$4*(Tableau4[[#This Row],[Capacité (BTU)]]/1000))*Tableau4[[#This Row],[Nombres appareils installés]]</f>
        <v>9720</v>
      </c>
      <c r="AD179" s="188">
        <f>Tableau4[[#This Row],[AF 4 ($)]]/Tableau4[[#This Row],[Nombres appareils installés]]</f>
        <v>3240</v>
      </c>
      <c r="AE179" s="194">
        <f>Tableau4[[#This Row],[Couverture 4 (%)]]*Tableau4[[#This Row],[Nombres appareils installés]]</f>
        <v>1.6376318361020321</v>
      </c>
      <c r="AF179" s="193">
        <f>Tableau4[[#This Row],[AF 4 par appareil  ($)]]/Tableau4[[#This Row],[Surcoût par appareil ($)]]</f>
        <v>0.54587727870067737</v>
      </c>
    </row>
    <row r="180" spans="2:32" x14ac:dyDescent="0.3">
      <c r="B180" s="197" t="s">
        <v>271</v>
      </c>
      <c r="C180" s="188" t="s">
        <v>168</v>
      </c>
      <c r="D180" s="197">
        <v>4</v>
      </c>
      <c r="E180" s="197">
        <v>260000</v>
      </c>
      <c r="F180" s="198">
        <f>Tableau4[[#This Row],[Economies totales (m3)]]/Tableau4[[#This Row],[Nombres appareils installés]]</f>
        <v>1313</v>
      </c>
      <c r="G180" s="197">
        <v>5252</v>
      </c>
      <c r="H180" s="188">
        <f t="shared" si="4"/>
        <v>3535.3999999999996</v>
      </c>
      <c r="I180" s="188">
        <v>2400</v>
      </c>
      <c r="J180" s="188">
        <f>Tableau4[[#This Row],[Surcoût moyens de l''équipement ($)]]+Tableau4[[#This Row],[Surcoût moyen de l''installation ($)]]</f>
        <v>5935.4</v>
      </c>
      <c r="K180" s="188">
        <f>Tableau4[[#This Row],[Surcoût par appareil ($)]]*Tableau4[[#This Row],[Nombres appareils installés]]</f>
        <v>23741.599999999999</v>
      </c>
      <c r="L180" s="197">
        <v>8800</v>
      </c>
      <c r="M180" s="188">
        <f t="shared" si="5"/>
        <v>8800</v>
      </c>
      <c r="N180" s="188">
        <f>Tableau4[[#This Row],[AF 0 ($)]]/Tableau4[[#This Row],[Nombres appareils installés]]</f>
        <v>2200</v>
      </c>
      <c r="O180" s="191">
        <f>(Tableau4[[#This Row],[AF accordée ($)]])/($J$6*D180)</f>
        <v>0.54953289703751806</v>
      </c>
      <c r="P180" s="191">
        <f>Tableau4[[#This Row],[Couverture 0 (%)]]*Tableau4[[#This Row],[Nombres appareils installés]]</f>
        <v>2.1981315881500723</v>
      </c>
      <c r="Q180" s="188">
        <f>($Q$4+$R$4*(Tableau4[[#This Row],[Capacité (BTU)]]/1000))*Tableau4[[#This Row],[Nombres appareils installés]]</f>
        <v>13200</v>
      </c>
      <c r="R180" s="188">
        <f>Tableau4[[#This Row],[AF 1 ($)]]/Tableau4[[#This Row],[Nombres appareils installés]]</f>
        <v>3300</v>
      </c>
      <c r="S180" s="191">
        <f>Tableau4[[#This Row],[AF 1 ($)]]/(J180*D180)</f>
        <v>0.55598611719513436</v>
      </c>
      <c r="T180" s="191">
        <f>Tableau4[[#This Row],[Couverture 1 (%)]]*Tableau4[[#This Row],[Nombres appareils installés]]</f>
        <v>2.2239444687805374</v>
      </c>
      <c r="U180" s="188">
        <f>($U$4+($V$4*(Tableau4[[#This Row],[Capacité (BTU)]]/1000)))*Tableau4[[#This Row],[Nombres appareils installés]]</f>
        <v>15800</v>
      </c>
      <c r="V180" s="188">
        <f>Tableau4[[#This Row],[AF 2 ($)]]/Tableau4[[#This Row],[Nombres appareils installés]]</f>
        <v>3950</v>
      </c>
      <c r="W180" s="192">
        <f>Tableau4[[#This Row],[AF 2 par appareil ($)]]/Tableau4[[#This Row],[Surcoût par appareil ($)]]</f>
        <v>0.66549853421841831</v>
      </c>
      <c r="X180" s="192">
        <f>Tableau4[[#This Row],[Couverture 2 (%)]]*Tableau4[[#This Row],[Nombres appareils installés]]</f>
        <v>2.6619941368736733</v>
      </c>
      <c r="Y180" s="188">
        <f>($Y$4+$Z$4*(Tableau4[[#This Row],[Capacité (BTU)]]/1000))*Tableau4[[#This Row],[Nombres appareils installés]]</f>
        <v>15200</v>
      </c>
      <c r="Z180" s="188">
        <f>Tableau4[[#This Row],[AF 3 ($)]]/Tableau4[[#This Row],[Nombres appareils installés]]</f>
        <v>3800</v>
      </c>
      <c r="AA180" s="193">
        <f>Tableau4[[#This Row],[AF 3 par appareil ($)]]/Tableau4[[#This Row],[Surcoût par appareil ($)]]</f>
        <v>0.64022643798227585</v>
      </c>
      <c r="AB180" s="193">
        <f>Tableau4[[#This Row],[Couverture 3 (%)]]*Tableau4[[#This Row],[Nombres appareils installés]]</f>
        <v>2.5609057519291034</v>
      </c>
      <c r="AC180" s="188">
        <f>($AC$4+$AD$4*(Tableau4[[#This Row],[Capacité (BTU)]]/1000))*Tableau4[[#This Row],[Nombres appareils installés]]</f>
        <v>12960</v>
      </c>
      <c r="AD180" s="188">
        <f>Tableau4[[#This Row],[AF 4 ($)]]/Tableau4[[#This Row],[Nombres appareils installés]]</f>
        <v>3240</v>
      </c>
      <c r="AE180" s="194">
        <f>Tableau4[[#This Row],[Couverture 4 (%)]]*Tableau4[[#This Row],[Nombres appareils installés]]</f>
        <v>2.1835091148027095</v>
      </c>
      <c r="AF180" s="193">
        <f>Tableau4[[#This Row],[AF 4 par appareil  ($)]]/Tableau4[[#This Row],[Surcoût par appareil ($)]]</f>
        <v>0.54587727870067737</v>
      </c>
    </row>
    <row r="181" spans="2:32" x14ac:dyDescent="0.3">
      <c r="B181" s="188" t="s">
        <v>271</v>
      </c>
      <c r="C181" s="188" t="s">
        <v>168</v>
      </c>
      <c r="D181" s="188">
        <v>5</v>
      </c>
      <c r="E181" s="188">
        <v>260000</v>
      </c>
      <c r="F181" s="196">
        <f>Tableau4[[#This Row],[Economies totales (m3)]]/Tableau4[[#This Row],[Nombres appareils installés]]</f>
        <v>1313</v>
      </c>
      <c r="G181" s="188">
        <v>6565</v>
      </c>
      <c r="H181" s="188">
        <f t="shared" si="4"/>
        <v>3535.3999999999996</v>
      </c>
      <c r="I181" s="188">
        <v>2400</v>
      </c>
      <c r="J181" s="188">
        <f>Tableau4[[#This Row],[Surcoût moyens de l''équipement ($)]]+Tableau4[[#This Row],[Surcoût moyen de l''installation ($)]]</f>
        <v>5935.4</v>
      </c>
      <c r="K181" s="188">
        <f>Tableau4[[#This Row],[Surcoût par appareil ($)]]*Tableau4[[#This Row],[Nombres appareils installés]]</f>
        <v>29677</v>
      </c>
      <c r="L181" s="188">
        <v>11000</v>
      </c>
      <c r="M181" s="188">
        <f t="shared" si="5"/>
        <v>11000</v>
      </c>
      <c r="N181" s="188">
        <f>Tableau4[[#This Row],[AF 0 ($)]]/Tableau4[[#This Row],[Nombres appareils installés]]</f>
        <v>2200</v>
      </c>
      <c r="O181" s="191">
        <f>(Tableau4[[#This Row],[AF accordée ($)]])/($J$6*D181)</f>
        <v>0.54953289703751806</v>
      </c>
      <c r="P181" s="191">
        <f>Tableau4[[#This Row],[Couverture 0 (%)]]*Tableau4[[#This Row],[Nombres appareils installés]]</f>
        <v>2.7476644851875904</v>
      </c>
      <c r="Q181" s="188">
        <f>($Q$4+$R$4*(Tableau4[[#This Row],[Capacité (BTU)]]/1000))*Tableau4[[#This Row],[Nombres appareils installés]]</f>
        <v>16500</v>
      </c>
      <c r="R181" s="188">
        <f>Tableau4[[#This Row],[AF 1 ($)]]/Tableau4[[#This Row],[Nombres appareils installés]]</f>
        <v>3300</v>
      </c>
      <c r="S181" s="191">
        <f>Tableau4[[#This Row],[AF 1 ($)]]/(J181*D181)</f>
        <v>0.55598611719513424</v>
      </c>
      <c r="T181" s="191">
        <f>Tableau4[[#This Row],[Couverture 1 (%)]]*Tableau4[[#This Row],[Nombres appareils installés]]</f>
        <v>2.7799305859756713</v>
      </c>
      <c r="U181" s="188">
        <f>($U$4+($V$4*(Tableau4[[#This Row],[Capacité (BTU)]]/1000)))*Tableau4[[#This Row],[Nombres appareils installés]]</f>
        <v>19750</v>
      </c>
      <c r="V181" s="188">
        <f>Tableau4[[#This Row],[AF 2 ($)]]/Tableau4[[#This Row],[Nombres appareils installés]]</f>
        <v>3950</v>
      </c>
      <c r="W181" s="192">
        <f>Tableau4[[#This Row],[AF 2 par appareil ($)]]/Tableau4[[#This Row],[Surcoût par appareil ($)]]</f>
        <v>0.66549853421841831</v>
      </c>
      <c r="X181" s="192">
        <f>Tableau4[[#This Row],[Couverture 2 (%)]]*Tableau4[[#This Row],[Nombres appareils installés]]</f>
        <v>3.3274926710920916</v>
      </c>
      <c r="Y181" s="188">
        <f>($Y$4+$Z$4*(Tableau4[[#This Row],[Capacité (BTU)]]/1000))*Tableau4[[#This Row],[Nombres appareils installés]]</f>
        <v>19000</v>
      </c>
      <c r="Z181" s="188">
        <f>Tableau4[[#This Row],[AF 3 ($)]]/Tableau4[[#This Row],[Nombres appareils installés]]</f>
        <v>3800</v>
      </c>
      <c r="AA181" s="193">
        <f>Tableau4[[#This Row],[AF 3 par appareil ($)]]/Tableau4[[#This Row],[Surcoût par appareil ($)]]</f>
        <v>0.64022643798227585</v>
      </c>
      <c r="AB181" s="193">
        <f>Tableau4[[#This Row],[Couverture 3 (%)]]*Tableau4[[#This Row],[Nombres appareils installés]]</f>
        <v>3.2011321899113794</v>
      </c>
      <c r="AC181" s="188">
        <f>($AC$4+$AD$4*(Tableau4[[#This Row],[Capacité (BTU)]]/1000))*Tableau4[[#This Row],[Nombres appareils installés]]</f>
        <v>16200</v>
      </c>
      <c r="AD181" s="188">
        <f>Tableau4[[#This Row],[AF 4 ($)]]/Tableau4[[#This Row],[Nombres appareils installés]]</f>
        <v>3240</v>
      </c>
      <c r="AE181" s="194">
        <f>Tableau4[[#This Row],[Couverture 4 (%)]]*Tableau4[[#This Row],[Nombres appareils installés]]</f>
        <v>2.7293863935033871</v>
      </c>
      <c r="AF181" s="193">
        <f>Tableau4[[#This Row],[AF 4 par appareil  ($)]]/Tableau4[[#This Row],[Surcoût par appareil ($)]]</f>
        <v>0.54587727870067737</v>
      </c>
    </row>
    <row r="182" spans="2:32" x14ac:dyDescent="0.3">
      <c r="B182" s="188" t="s">
        <v>271</v>
      </c>
      <c r="C182" s="188" t="s">
        <v>168</v>
      </c>
      <c r="D182" s="188">
        <v>1</v>
      </c>
      <c r="E182" s="188">
        <v>310000</v>
      </c>
      <c r="F182" s="196">
        <f>Tableau4[[#This Row],[Economies totales (m3)]]/Tableau4[[#This Row],[Nombres appareils installés]]</f>
        <v>1565.5</v>
      </c>
      <c r="G182" s="188">
        <v>1565.5</v>
      </c>
      <c r="H182" s="188">
        <f t="shared" si="4"/>
        <v>4385.3999999999996</v>
      </c>
      <c r="I182" s="188">
        <v>2400</v>
      </c>
      <c r="J182" s="188">
        <f>Tableau4[[#This Row],[Surcoût moyens de l''équipement ($)]]+Tableau4[[#This Row],[Surcoût moyen de l''installation ($)]]</f>
        <v>6785.4</v>
      </c>
      <c r="K182" s="188">
        <f>Tableau4[[#This Row],[Surcoût par appareil ($)]]*Tableau4[[#This Row],[Nombres appareils installés]]</f>
        <v>6785.4</v>
      </c>
      <c r="L182" s="188">
        <v>2450</v>
      </c>
      <c r="M182" s="188">
        <f t="shared" si="5"/>
        <v>2450</v>
      </c>
      <c r="N182" s="188">
        <f>Tableau4[[#This Row],[AF 0 ($)]]/Tableau4[[#This Row],[Nombres appareils installés]]</f>
        <v>2450</v>
      </c>
      <c r="O182" s="191">
        <f>(Tableau4[[#This Row],[AF accordée ($)]])/($J$6*D182)</f>
        <v>0.61197981715541783</v>
      </c>
      <c r="P182" s="191">
        <f>Tableau4[[#This Row],[Couverture 0 (%)]]*Tableau4[[#This Row],[Nombres appareils installés]]</f>
        <v>0.61197981715541783</v>
      </c>
      <c r="Q182" s="188">
        <f>($Q$4+$R$4*(Tableau4[[#This Row],[Capacité (BTU)]]/1000))*Tableau4[[#This Row],[Nombres appareils installés]]</f>
        <v>3550</v>
      </c>
      <c r="R182" s="188">
        <f>Tableau4[[#This Row],[AF 1 ($)]]/Tableau4[[#This Row],[Nombres appareils installés]]</f>
        <v>3550</v>
      </c>
      <c r="S182" s="191">
        <f>Tableau4[[#This Row],[AF 1 ($)]]/(J182*D182)</f>
        <v>0.52318212633006167</v>
      </c>
      <c r="T182" s="191">
        <f>Tableau4[[#This Row],[Couverture 1 (%)]]*Tableau4[[#This Row],[Nombres appareils installés]]</f>
        <v>0.52318212633006167</v>
      </c>
      <c r="U182" s="188">
        <f>($U$4+($V$4*(Tableau4[[#This Row],[Capacité (BTU)]]/1000)))*Tableau4[[#This Row],[Nombres appareils installés]]</f>
        <v>4325</v>
      </c>
      <c r="V182" s="188">
        <f>Tableau4[[#This Row],[AF 2 ($)]]/Tableau4[[#This Row],[Nombres appareils installés]]</f>
        <v>4325</v>
      </c>
      <c r="W182" s="192">
        <f>Tableau4[[#This Row],[AF 2 par appareil ($)]]/Tableau4[[#This Row],[Surcoût par appareil ($)]]</f>
        <v>0.63739794264155392</v>
      </c>
      <c r="X182" s="192">
        <f>Tableau4[[#This Row],[Couverture 2 (%)]]*Tableau4[[#This Row],[Nombres appareils installés]]</f>
        <v>0.63739794264155392</v>
      </c>
      <c r="Y182" s="188">
        <f>($Y$4+$Z$4*(Tableau4[[#This Row],[Capacité (BTU)]]/1000))*Tableau4[[#This Row],[Nombres appareils installés]]</f>
        <v>4050</v>
      </c>
      <c r="Z182" s="188">
        <f>Tableau4[[#This Row],[AF 3 ($)]]/Tableau4[[#This Row],[Nombres appareils installés]]</f>
        <v>4050</v>
      </c>
      <c r="AA182" s="193">
        <f>Tableau4[[#This Row],[AF 3 par appareil ($)]]/Tableau4[[#This Row],[Surcoût par appareil ($)]]</f>
        <v>0.59686974975683083</v>
      </c>
      <c r="AB182" s="193">
        <f>Tableau4[[#This Row],[Couverture 3 (%)]]*Tableau4[[#This Row],[Nombres appareils installés]]</f>
        <v>0.59686974975683083</v>
      </c>
      <c r="AC182" s="188">
        <f>($AC$4+$AD$4*(Tableau4[[#This Row],[Capacité (BTU)]]/1000))*Tableau4[[#This Row],[Nombres appareils installés]]</f>
        <v>3440</v>
      </c>
      <c r="AD182" s="188">
        <f>Tableau4[[#This Row],[AF 4 ($)]]/Tableau4[[#This Row],[Nombres appareils installés]]</f>
        <v>3440</v>
      </c>
      <c r="AE182" s="194">
        <f>Tableau4[[#This Row],[Couverture 4 (%)]]*Tableau4[[#This Row],[Nombres appareils installés]]</f>
        <v>0.50697084917617241</v>
      </c>
      <c r="AF182" s="193">
        <f>Tableau4[[#This Row],[AF 4 par appareil  ($)]]/Tableau4[[#This Row],[Surcoût par appareil ($)]]</f>
        <v>0.50697084917617241</v>
      </c>
    </row>
    <row r="183" spans="2:32" x14ac:dyDescent="0.3">
      <c r="B183" s="197" t="s">
        <v>271</v>
      </c>
      <c r="C183" s="188" t="s">
        <v>168</v>
      </c>
      <c r="D183" s="197">
        <v>1</v>
      </c>
      <c r="E183" s="197">
        <v>310000</v>
      </c>
      <c r="F183" s="198">
        <f>Tableau4[[#This Row],[Economies totales (m3)]]/Tableau4[[#This Row],[Nombres appareils installés]]</f>
        <v>1565.5</v>
      </c>
      <c r="G183" s="197">
        <v>1565.5</v>
      </c>
      <c r="H183" s="188">
        <f t="shared" si="4"/>
        <v>4385.3999999999996</v>
      </c>
      <c r="I183" s="188">
        <v>2400</v>
      </c>
      <c r="J183" s="188">
        <f>Tableau4[[#This Row],[Surcoût moyens de l''équipement ($)]]+Tableau4[[#This Row],[Surcoût moyen de l''installation ($)]]</f>
        <v>6785.4</v>
      </c>
      <c r="K183" s="188">
        <f>Tableau4[[#This Row],[Surcoût par appareil ($)]]*Tableau4[[#This Row],[Nombres appareils installés]]</f>
        <v>6785.4</v>
      </c>
      <c r="L183" s="197">
        <v>2450</v>
      </c>
      <c r="M183" s="188">
        <f t="shared" si="5"/>
        <v>2450</v>
      </c>
      <c r="N183" s="188">
        <f>Tableau4[[#This Row],[AF 0 ($)]]/Tableau4[[#This Row],[Nombres appareils installés]]</f>
        <v>2450</v>
      </c>
      <c r="O183" s="191">
        <f>(Tableau4[[#This Row],[AF accordée ($)]])/($J$6*D183)</f>
        <v>0.61197981715541783</v>
      </c>
      <c r="P183" s="191">
        <f>Tableau4[[#This Row],[Couverture 0 (%)]]*Tableau4[[#This Row],[Nombres appareils installés]]</f>
        <v>0.61197981715541783</v>
      </c>
      <c r="Q183" s="188">
        <f>($Q$4+$R$4*(Tableau4[[#This Row],[Capacité (BTU)]]/1000))*Tableau4[[#This Row],[Nombres appareils installés]]</f>
        <v>3550</v>
      </c>
      <c r="R183" s="188">
        <f>Tableau4[[#This Row],[AF 1 ($)]]/Tableau4[[#This Row],[Nombres appareils installés]]</f>
        <v>3550</v>
      </c>
      <c r="S183" s="191">
        <f>Tableau4[[#This Row],[AF 1 ($)]]/(J183*D183)</f>
        <v>0.52318212633006167</v>
      </c>
      <c r="T183" s="191">
        <f>Tableau4[[#This Row],[Couverture 1 (%)]]*Tableau4[[#This Row],[Nombres appareils installés]]</f>
        <v>0.52318212633006167</v>
      </c>
      <c r="U183" s="188">
        <f>($U$4+($V$4*(Tableau4[[#This Row],[Capacité (BTU)]]/1000)))*Tableau4[[#This Row],[Nombres appareils installés]]</f>
        <v>4325</v>
      </c>
      <c r="V183" s="188">
        <f>Tableau4[[#This Row],[AF 2 ($)]]/Tableau4[[#This Row],[Nombres appareils installés]]</f>
        <v>4325</v>
      </c>
      <c r="W183" s="192">
        <f>Tableau4[[#This Row],[AF 2 par appareil ($)]]/Tableau4[[#This Row],[Surcoût par appareil ($)]]</f>
        <v>0.63739794264155392</v>
      </c>
      <c r="X183" s="192">
        <f>Tableau4[[#This Row],[Couverture 2 (%)]]*Tableau4[[#This Row],[Nombres appareils installés]]</f>
        <v>0.63739794264155392</v>
      </c>
      <c r="Y183" s="188">
        <f>($Y$4+$Z$4*(Tableau4[[#This Row],[Capacité (BTU)]]/1000))*Tableau4[[#This Row],[Nombres appareils installés]]</f>
        <v>4050</v>
      </c>
      <c r="Z183" s="188">
        <f>Tableau4[[#This Row],[AF 3 ($)]]/Tableau4[[#This Row],[Nombres appareils installés]]</f>
        <v>4050</v>
      </c>
      <c r="AA183" s="193">
        <f>Tableau4[[#This Row],[AF 3 par appareil ($)]]/Tableau4[[#This Row],[Surcoût par appareil ($)]]</f>
        <v>0.59686974975683083</v>
      </c>
      <c r="AB183" s="193">
        <f>Tableau4[[#This Row],[Couverture 3 (%)]]*Tableau4[[#This Row],[Nombres appareils installés]]</f>
        <v>0.59686974975683083</v>
      </c>
      <c r="AC183" s="188">
        <f>($AC$4+$AD$4*(Tableau4[[#This Row],[Capacité (BTU)]]/1000))*Tableau4[[#This Row],[Nombres appareils installés]]</f>
        <v>3440</v>
      </c>
      <c r="AD183" s="188">
        <f>Tableau4[[#This Row],[AF 4 ($)]]/Tableau4[[#This Row],[Nombres appareils installés]]</f>
        <v>3440</v>
      </c>
      <c r="AE183" s="194">
        <f>Tableau4[[#This Row],[Couverture 4 (%)]]*Tableau4[[#This Row],[Nombres appareils installés]]</f>
        <v>0.50697084917617241</v>
      </c>
      <c r="AF183" s="193">
        <f>Tableau4[[#This Row],[AF 4 par appareil  ($)]]/Tableau4[[#This Row],[Surcoût par appareil ($)]]</f>
        <v>0.50697084917617241</v>
      </c>
    </row>
    <row r="184" spans="2:32" x14ac:dyDescent="0.3">
      <c r="B184" s="188" t="s">
        <v>271</v>
      </c>
      <c r="C184" s="188" t="s">
        <v>168</v>
      </c>
      <c r="D184" s="188">
        <v>1</v>
      </c>
      <c r="E184" s="188">
        <v>310000</v>
      </c>
      <c r="F184" s="196">
        <f>Tableau4[[#This Row],[Economies totales (m3)]]/Tableau4[[#This Row],[Nombres appareils installés]]</f>
        <v>1565.5</v>
      </c>
      <c r="G184" s="188">
        <v>1565.5</v>
      </c>
      <c r="H184" s="188">
        <f t="shared" si="4"/>
        <v>4385.3999999999996</v>
      </c>
      <c r="I184" s="188">
        <v>2400</v>
      </c>
      <c r="J184" s="188">
        <f>Tableau4[[#This Row],[Surcoût moyens de l''équipement ($)]]+Tableau4[[#This Row],[Surcoût moyen de l''installation ($)]]</f>
        <v>6785.4</v>
      </c>
      <c r="K184" s="188">
        <f>Tableau4[[#This Row],[Surcoût par appareil ($)]]*Tableau4[[#This Row],[Nombres appareils installés]]</f>
        <v>6785.4</v>
      </c>
      <c r="L184" s="188">
        <v>2450</v>
      </c>
      <c r="M184" s="188">
        <f t="shared" si="5"/>
        <v>2450</v>
      </c>
      <c r="N184" s="188">
        <f>Tableau4[[#This Row],[AF 0 ($)]]/Tableau4[[#This Row],[Nombres appareils installés]]</f>
        <v>2450</v>
      </c>
      <c r="O184" s="191">
        <f>(Tableau4[[#This Row],[AF accordée ($)]])/($J$6*D184)</f>
        <v>0.61197981715541783</v>
      </c>
      <c r="P184" s="191">
        <f>Tableau4[[#This Row],[Couverture 0 (%)]]*Tableau4[[#This Row],[Nombres appareils installés]]</f>
        <v>0.61197981715541783</v>
      </c>
      <c r="Q184" s="188">
        <f>($Q$4+$R$4*(Tableau4[[#This Row],[Capacité (BTU)]]/1000))*Tableau4[[#This Row],[Nombres appareils installés]]</f>
        <v>3550</v>
      </c>
      <c r="R184" s="188">
        <f>Tableau4[[#This Row],[AF 1 ($)]]/Tableau4[[#This Row],[Nombres appareils installés]]</f>
        <v>3550</v>
      </c>
      <c r="S184" s="191">
        <f>Tableau4[[#This Row],[AF 1 ($)]]/(J184*D184)</f>
        <v>0.52318212633006167</v>
      </c>
      <c r="T184" s="191">
        <f>Tableau4[[#This Row],[Couverture 1 (%)]]*Tableau4[[#This Row],[Nombres appareils installés]]</f>
        <v>0.52318212633006167</v>
      </c>
      <c r="U184" s="188">
        <f>($U$4+($V$4*(Tableau4[[#This Row],[Capacité (BTU)]]/1000)))*Tableau4[[#This Row],[Nombres appareils installés]]</f>
        <v>4325</v>
      </c>
      <c r="V184" s="188">
        <f>Tableau4[[#This Row],[AF 2 ($)]]/Tableau4[[#This Row],[Nombres appareils installés]]</f>
        <v>4325</v>
      </c>
      <c r="W184" s="192">
        <f>Tableau4[[#This Row],[AF 2 par appareil ($)]]/Tableau4[[#This Row],[Surcoût par appareil ($)]]</f>
        <v>0.63739794264155392</v>
      </c>
      <c r="X184" s="192">
        <f>Tableau4[[#This Row],[Couverture 2 (%)]]*Tableau4[[#This Row],[Nombres appareils installés]]</f>
        <v>0.63739794264155392</v>
      </c>
      <c r="Y184" s="188">
        <f>($Y$4+$Z$4*(Tableau4[[#This Row],[Capacité (BTU)]]/1000))*Tableau4[[#This Row],[Nombres appareils installés]]</f>
        <v>4050</v>
      </c>
      <c r="Z184" s="188">
        <f>Tableau4[[#This Row],[AF 3 ($)]]/Tableau4[[#This Row],[Nombres appareils installés]]</f>
        <v>4050</v>
      </c>
      <c r="AA184" s="193">
        <f>Tableau4[[#This Row],[AF 3 par appareil ($)]]/Tableau4[[#This Row],[Surcoût par appareil ($)]]</f>
        <v>0.59686974975683083</v>
      </c>
      <c r="AB184" s="193">
        <f>Tableau4[[#This Row],[Couverture 3 (%)]]*Tableau4[[#This Row],[Nombres appareils installés]]</f>
        <v>0.59686974975683083</v>
      </c>
      <c r="AC184" s="188">
        <f>($AC$4+$AD$4*(Tableau4[[#This Row],[Capacité (BTU)]]/1000))*Tableau4[[#This Row],[Nombres appareils installés]]</f>
        <v>3440</v>
      </c>
      <c r="AD184" s="188">
        <f>Tableau4[[#This Row],[AF 4 ($)]]/Tableau4[[#This Row],[Nombres appareils installés]]</f>
        <v>3440</v>
      </c>
      <c r="AE184" s="194">
        <f>Tableau4[[#This Row],[Couverture 4 (%)]]*Tableau4[[#This Row],[Nombres appareils installés]]</f>
        <v>0.50697084917617241</v>
      </c>
      <c r="AF184" s="193">
        <f>Tableau4[[#This Row],[AF 4 par appareil  ($)]]/Tableau4[[#This Row],[Surcoût par appareil ($)]]</f>
        <v>0.50697084917617241</v>
      </c>
    </row>
    <row r="185" spans="2:32" x14ac:dyDescent="0.3">
      <c r="B185" s="188" t="s">
        <v>271</v>
      </c>
      <c r="C185" s="188" t="s">
        <v>168</v>
      </c>
      <c r="D185" s="188">
        <v>2</v>
      </c>
      <c r="E185" s="188">
        <v>310000</v>
      </c>
      <c r="F185" s="196">
        <f>Tableau4[[#This Row],[Economies totales (m3)]]/Tableau4[[#This Row],[Nombres appareils installés]]</f>
        <v>1565.5</v>
      </c>
      <c r="G185" s="188">
        <v>3131</v>
      </c>
      <c r="H185" s="188">
        <f t="shared" si="4"/>
        <v>4385.3999999999996</v>
      </c>
      <c r="I185" s="188">
        <v>2400</v>
      </c>
      <c r="J185" s="188">
        <f>Tableau4[[#This Row],[Surcoût moyens de l''équipement ($)]]+Tableau4[[#This Row],[Surcoût moyen de l''installation ($)]]</f>
        <v>6785.4</v>
      </c>
      <c r="K185" s="188">
        <f>Tableau4[[#This Row],[Surcoût par appareil ($)]]*Tableau4[[#This Row],[Nombres appareils installés]]</f>
        <v>13570.8</v>
      </c>
      <c r="L185" s="188">
        <v>4900</v>
      </c>
      <c r="M185" s="188">
        <f t="shared" si="5"/>
        <v>4900</v>
      </c>
      <c r="N185" s="188">
        <f>Tableau4[[#This Row],[AF 0 ($)]]/Tableau4[[#This Row],[Nombres appareils installés]]</f>
        <v>2450</v>
      </c>
      <c r="O185" s="191">
        <f>(Tableau4[[#This Row],[AF accordée ($)]])/($J$6*D185)</f>
        <v>0.61197981715541783</v>
      </c>
      <c r="P185" s="191">
        <f>Tableau4[[#This Row],[Couverture 0 (%)]]*Tableau4[[#This Row],[Nombres appareils installés]]</f>
        <v>1.2239596343108357</v>
      </c>
      <c r="Q185" s="188">
        <f>($Q$4+$R$4*(Tableau4[[#This Row],[Capacité (BTU)]]/1000))*Tableau4[[#This Row],[Nombres appareils installés]]</f>
        <v>7100</v>
      </c>
      <c r="R185" s="188">
        <f>Tableau4[[#This Row],[AF 1 ($)]]/Tableau4[[#This Row],[Nombres appareils installés]]</f>
        <v>3550</v>
      </c>
      <c r="S185" s="191">
        <f>Tableau4[[#This Row],[AF 1 ($)]]/(J185*D185)</f>
        <v>0.52318212633006167</v>
      </c>
      <c r="T185" s="191">
        <f>Tableau4[[#This Row],[Couverture 1 (%)]]*Tableau4[[#This Row],[Nombres appareils installés]]</f>
        <v>1.0463642526601233</v>
      </c>
      <c r="U185" s="188">
        <f>($U$4+($V$4*(Tableau4[[#This Row],[Capacité (BTU)]]/1000)))*Tableau4[[#This Row],[Nombres appareils installés]]</f>
        <v>8650</v>
      </c>
      <c r="V185" s="188">
        <f>Tableau4[[#This Row],[AF 2 ($)]]/Tableau4[[#This Row],[Nombres appareils installés]]</f>
        <v>4325</v>
      </c>
      <c r="W185" s="192">
        <f>Tableau4[[#This Row],[AF 2 par appareil ($)]]/Tableau4[[#This Row],[Surcoût par appareil ($)]]</f>
        <v>0.63739794264155392</v>
      </c>
      <c r="X185" s="192">
        <f>Tableau4[[#This Row],[Couverture 2 (%)]]*Tableau4[[#This Row],[Nombres appareils installés]]</f>
        <v>1.2747958852831078</v>
      </c>
      <c r="Y185" s="188">
        <f>($Y$4+$Z$4*(Tableau4[[#This Row],[Capacité (BTU)]]/1000))*Tableau4[[#This Row],[Nombres appareils installés]]</f>
        <v>8100</v>
      </c>
      <c r="Z185" s="188">
        <f>Tableau4[[#This Row],[AF 3 ($)]]/Tableau4[[#This Row],[Nombres appareils installés]]</f>
        <v>4050</v>
      </c>
      <c r="AA185" s="193">
        <f>Tableau4[[#This Row],[AF 3 par appareil ($)]]/Tableau4[[#This Row],[Surcoût par appareil ($)]]</f>
        <v>0.59686974975683083</v>
      </c>
      <c r="AB185" s="193">
        <f>Tableau4[[#This Row],[Couverture 3 (%)]]*Tableau4[[#This Row],[Nombres appareils installés]]</f>
        <v>1.1937394995136617</v>
      </c>
      <c r="AC185" s="188">
        <f>($AC$4+$AD$4*(Tableau4[[#This Row],[Capacité (BTU)]]/1000))*Tableau4[[#This Row],[Nombres appareils installés]]</f>
        <v>6880</v>
      </c>
      <c r="AD185" s="188">
        <f>Tableau4[[#This Row],[AF 4 ($)]]/Tableau4[[#This Row],[Nombres appareils installés]]</f>
        <v>3440</v>
      </c>
      <c r="AE185" s="194">
        <f>Tableau4[[#This Row],[Couverture 4 (%)]]*Tableau4[[#This Row],[Nombres appareils installés]]</f>
        <v>1.0139416983523448</v>
      </c>
      <c r="AF185" s="193">
        <f>Tableau4[[#This Row],[AF 4 par appareil  ($)]]/Tableau4[[#This Row],[Surcoût par appareil ($)]]</f>
        <v>0.50697084917617241</v>
      </c>
    </row>
    <row r="186" spans="2:32" x14ac:dyDescent="0.3">
      <c r="B186" s="197" t="s">
        <v>271</v>
      </c>
      <c r="C186" s="188" t="s">
        <v>168</v>
      </c>
      <c r="D186" s="197">
        <v>2</v>
      </c>
      <c r="E186" s="197">
        <v>310000</v>
      </c>
      <c r="F186" s="198">
        <f>Tableau4[[#This Row],[Economies totales (m3)]]/Tableau4[[#This Row],[Nombres appareils installés]]</f>
        <v>1565.5</v>
      </c>
      <c r="G186" s="197">
        <v>3131</v>
      </c>
      <c r="H186" s="188">
        <f t="shared" si="4"/>
        <v>4385.3999999999996</v>
      </c>
      <c r="I186" s="188">
        <v>2400</v>
      </c>
      <c r="J186" s="188">
        <f>Tableau4[[#This Row],[Surcoût moyens de l''équipement ($)]]+Tableau4[[#This Row],[Surcoût moyen de l''installation ($)]]</f>
        <v>6785.4</v>
      </c>
      <c r="K186" s="188">
        <f>Tableau4[[#This Row],[Surcoût par appareil ($)]]*Tableau4[[#This Row],[Nombres appareils installés]]</f>
        <v>13570.8</v>
      </c>
      <c r="L186" s="197">
        <v>4900</v>
      </c>
      <c r="M186" s="188">
        <f t="shared" si="5"/>
        <v>4900</v>
      </c>
      <c r="N186" s="188">
        <f>Tableau4[[#This Row],[AF 0 ($)]]/Tableau4[[#This Row],[Nombres appareils installés]]</f>
        <v>2450</v>
      </c>
      <c r="O186" s="191">
        <f>(Tableau4[[#This Row],[AF accordée ($)]])/($J$6*D186)</f>
        <v>0.61197981715541783</v>
      </c>
      <c r="P186" s="191">
        <f>Tableau4[[#This Row],[Couverture 0 (%)]]*Tableau4[[#This Row],[Nombres appareils installés]]</f>
        <v>1.2239596343108357</v>
      </c>
      <c r="Q186" s="188">
        <f>($Q$4+$R$4*(Tableau4[[#This Row],[Capacité (BTU)]]/1000))*Tableau4[[#This Row],[Nombres appareils installés]]</f>
        <v>7100</v>
      </c>
      <c r="R186" s="188">
        <f>Tableau4[[#This Row],[AF 1 ($)]]/Tableau4[[#This Row],[Nombres appareils installés]]</f>
        <v>3550</v>
      </c>
      <c r="S186" s="191">
        <f>Tableau4[[#This Row],[AF 1 ($)]]/(J186*D186)</f>
        <v>0.52318212633006167</v>
      </c>
      <c r="T186" s="191">
        <f>Tableau4[[#This Row],[Couverture 1 (%)]]*Tableau4[[#This Row],[Nombres appareils installés]]</f>
        <v>1.0463642526601233</v>
      </c>
      <c r="U186" s="188">
        <f>($U$4+($V$4*(Tableau4[[#This Row],[Capacité (BTU)]]/1000)))*Tableau4[[#This Row],[Nombres appareils installés]]</f>
        <v>8650</v>
      </c>
      <c r="V186" s="188">
        <f>Tableau4[[#This Row],[AF 2 ($)]]/Tableau4[[#This Row],[Nombres appareils installés]]</f>
        <v>4325</v>
      </c>
      <c r="W186" s="192">
        <f>Tableau4[[#This Row],[AF 2 par appareil ($)]]/Tableau4[[#This Row],[Surcoût par appareil ($)]]</f>
        <v>0.63739794264155392</v>
      </c>
      <c r="X186" s="192">
        <f>Tableau4[[#This Row],[Couverture 2 (%)]]*Tableau4[[#This Row],[Nombres appareils installés]]</f>
        <v>1.2747958852831078</v>
      </c>
      <c r="Y186" s="188">
        <f>($Y$4+$Z$4*(Tableau4[[#This Row],[Capacité (BTU)]]/1000))*Tableau4[[#This Row],[Nombres appareils installés]]</f>
        <v>8100</v>
      </c>
      <c r="Z186" s="188">
        <f>Tableau4[[#This Row],[AF 3 ($)]]/Tableau4[[#This Row],[Nombres appareils installés]]</f>
        <v>4050</v>
      </c>
      <c r="AA186" s="193">
        <f>Tableau4[[#This Row],[AF 3 par appareil ($)]]/Tableau4[[#This Row],[Surcoût par appareil ($)]]</f>
        <v>0.59686974975683083</v>
      </c>
      <c r="AB186" s="193">
        <f>Tableau4[[#This Row],[Couverture 3 (%)]]*Tableau4[[#This Row],[Nombres appareils installés]]</f>
        <v>1.1937394995136617</v>
      </c>
      <c r="AC186" s="188">
        <f>($AC$4+$AD$4*(Tableau4[[#This Row],[Capacité (BTU)]]/1000))*Tableau4[[#This Row],[Nombres appareils installés]]</f>
        <v>6880</v>
      </c>
      <c r="AD186" s="188">
        <f>Tableau4[[#This Row],[AF 4 ($)]]/Tableau4[[#This Row],[Nombres appareils installés]]</f>
        <v>3440</v>
      </c>
      <c r="AE186" s="194">
        <f>Tableau4[[#This Row],[Couverture 4 (%)]]*Tableau4[[#This Row],[Nombres appareils installés]]</f>
        <v>1.0139416983523448</v>
      </c>
      <c r="AF186" s="193">
        <f>Tableau4[[#This Row],[AF 4 par appareil  ($)]]/Tableau4[[#This Row],[Surcoût par appareil ($)]]</f>
        <v>0.50697084917617241</v>
      </c>
    </row>
    <row r="187" spans="2:32" x14ac:dyDescent="0.3">
      <c r="B187" s="188" t="s">
        <v>271</v>
      </c>
      <c r="C187" s="188" t="s">
        <v>168</v>
      </c>
      <c r="D187" s="188">
        <v>2</v>
      </c>
      <c r="E187" s="188">
        <v>310000</v>
      </c>
      <c r="F187" s="196">
        <f>Tableau4[[#This Row],[Economies totales (m3)]]/Tableau4[[#This Row],[Nombres appareils installés]]</f>
        <v>1565.5</v>
      </c>
      <c r="G187" s="188">
        <v>3131</v>
      </c>
      <c r="H187" s="188">
        <f t="shared" si="4"/>
        <v>4385.3999999999996</v>
      </c>
      <c r="I187" s="188">
        <v>2400</v>
      </c>
      <c r="J187" s="188">
        <f>Tableau4[[#This Row],[Surcoût moyens de l''équipement ($)]]+Tableau4[[#This Row],[Surcoût moyen de l''installation ($)]]</f>
        <v>6785.4</v>
      </c>
      <c r="K187" s="188">
        <f>Tableau4[[#This Row],[Surcoût par appareil ($)]]*Tableau4[[#This Row],[Nombres appareils installés]]</f>
        <v>13570.8</v>
      </c>
      <c r="L187" s="188">
        <v>4900</v>
      </c>
      <c r="M187" s="188">
        <f t="shared" si="5"/>
        <v>4900</v>
      </c>
      <c r="N187" s="188">
        <f>Tableau4[[#This Row],[AF 0 ($)]]/Tableau4[[#This Row],[Nombres appareils installés]]</f>
        <v>2450</v>
      </c>
      <c r="O187" s="191">
        <f>(Tableau4[[#This Row],[AF accordée ($)]])/($J$6*D187)</f>
        <v>0.61197981715541783</v>
      </c>
      <c r="P187" s="191">
        <f>Tableau4[[#This Row],[Couverture 0 (%)]]*Tableau4[[#This Row],[Nombres appareils installés]]</f>
        <v>1.2239596343108357</v>
      </c>
      <c r="Q187" s="188">
        <f>($Q$4+$R$4*(Tableau4[[#This Row],[Capacité (BTU)]]/1000))*Tableau4[[#This Row],[Nombres appareils installés]]</f>
        <v>7100</v>
      </c>
      <c r="R187" s="188">
        <f>Tableau4[[#This Row],[AF 1 ($)]]/Tableau4[[#This Row],[Nombres appareils installés]]</f>
        <v>3550</v>
      </c>
      <c r="S187" s="191">
        <f>Tableau4[[#This Row],[AF 1 ($)]]/(J187*D187)</f>
        <v>0.52318212633006167</v>
      </c>
      <c r="T187" s="191">
        <f>Tableau4[[#This Row],[Couverture 1 (%)]]*Tableau4[[#This Row],[Nombres appareils installés]]</f>
        <v>1.0463642526601233</v>
      </c>
      <c r="U187" s="188">
        <f>($U$4+($V$4*(Tableau4[[#This Row],[Capacité (BTU)]]/1000)))*Tableau4[[#This Row],[Nombres appareils installés]]</f>
        <v>8650</v>
      </c>
      <c r="V187" s="188">
        <f>Tableau4[[#This Row],[AF 2 ($)]]/Tableau4[[#This Row],[Nombres appareils installés]]</f>
        <v>4325</v>
      </c>
      <c r="W187" s="192">
        <f>Tableau4[[#This Row],[AF 2 par appareil ($)]]/Tableau4[[#This Row],[Surcoût par appareil ($)]]</f>
        <v>0.63739794264155392</v>
      </c>
      <c r="X187" s="192">
        <f>Tableau4[[#This Row],[Couverture 2 (%)]]*Tableau4[[#This Row],[Nombres appareils installés]]</f>
        <v>1.2747958852831078</v>
      </c>
      <c r="Y187" s="188">
        <f>($Y$4+$Z$4*(Tableau4[[#This Row],[Capacité (BTU)]]/1000))*Tableau4[[#This Row],[Nombres appareils installés]]</f>
        <v>8100</v>
      </c>
      <c r="Z187" s="188">
        <f>Tableau4[[#This Row],[AF 3 ($)]]/Tableau4[[#This Row],[Nombres appareils installés]]</f>
        <v>4050</v>
      </c>
      <c r="AA187" s="193">
        <f>Tableau4[[#This Row],[AF 3 par appareil ($)]]/Tableau4[[#This Row],[Surcoût par appareil ($)]]</f>
        <v>0.59686974975683083</v>
      </c>
      <c r="AB187" s="193">
        <f>Tableau4[[#This Row],[Couverture 3 (%)]]*Tableau4[[#This Row],[Nombres appareils installés]]</f>
        <v>1.1937394995136617</v>
      </c>
      <c r="AC187" s="188">
        <f>($AC$4+$AD$4*(Tableau4[[#This Row],[Capacité (BTU)]]/1000))*Tableau4[[#This Row],[Nombres appareils installés]]</f>
        <v>6880</v>
      </c>
      <c r="AD187" s="188">
        <f>Tableau4[[#This Row],[AF 4 ($)]]/Tableau4[[#This Row],[Nombres appareils installés]]</f>
        <v>3440</v>
      </c>
      <c r="AE187" s="194">
        <f>Tableau4[[#This Row],[Couverture 4 (%)]]*Tableau4[[#This Row],[Nombres appareils installés]]</f>
        <v>1.0139416983523448</v>
      </c>
      <c r="AF187" s="193">
        <f>Tableau4[[#This Row],[AF 4 par appareil  ($)]]/Tableau4[[#This Row],[Surcoût par appareil ($)]]</f>
        <v>0.50697084917617241</v>
      </c>
    </row>
    <row r="188" spans="2:32" x14ac:dyDescent="0.3">
      <c r="B188" s="199" t="s">
        <v>272</v>
      </c>
      <c r="C188" s="188">
        <f>COUNTA(Tableau4[Numéro dossier])</f>
        <v>182</v>
      </c>
      <c r="D188" s="188">
        <f>SUM(Tableau4[Nombres appareils installés])</f>
        <v>422</v>
      </c>
      <c r="E188" s="200"/>
      <c r="F188" s="200"/>
      <c r="W188" s="201"/>
      <c r="X188" s="201"/>
    </row>
    <row r="190" spans="2:32" x14ac:dyDescent="0.3">
      <c r="E190" s="202"/>
      <c r="F190" s="202"/>
      <c r="G190" s="202"/>
    </row>
    <row r="191" spans="2:32" x14ac:dyDescent="0.3">
      <c r="E191" s="203"/>
      <c r="F191" s="203"/>
      <c r="G191" s="203"/>
    </row>
    <row r="202" spans="7:7" x14ac:dyDescent="0.3"/>
  </sheetData>
  <mergeCells count="6">
    <mergeCell ref="AC2:AF2"/>
    <mergeCell ref="H4:J4"/>
    <mergeCell ref="M2:O2"/>
    <mergeCell ref="Q2:S2"/>
    <mergeCell ref="U2:W2"/>
    <mergeCell ref="Y2:AA2"/>
  </mergeCell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2ACF-2F50-4C65-9133-4681A7CF6686}">
  <dimension ref="B2:E14"/>
  <sheetViews>
    <sheetView workbookViewId="0">
      <selection activeCell="D20" sqref="D20"/>
    </sheetView>
  </sheetViews>
  <sheetFormatPr defaultRowHeight="14.4" x14ac:dyDescent="0.3"/>
  <cols>
    <col min="3" max="3" width="18.33203125" bestFit="1" customWidth="1"/>
    <col min="4" max="4" width="20.5546875" bestFit="1" customWidth="1"/>
  </cols>
  <sheetData>
    <row r="2" spans="2:5" x14ac:dyDescent="0.3">
      <c r="B2" t="s">
        <v>273</v>
      </c>
      <c r="C2" t="s">
        <v>274</v>
      </c>
      <c r="D2" t="s">
        <v>275</v>
      </c>
      <c r="E2" t="s">
        <v>276</v>
      </c>
    </row>
    <row r="3" spans="2:5" x14ac:dyDescent="0.3">
      <c r="B3">
        <v>50000</v>
      </c>
      <c r="C3">
        <f>0.0051*B3</f>
        <v>255.00000000000003</v>
      </c>
      <c r="D3">
        <v>272</v>
      </c>
      <c r="E3" s="204">
        <f>ABS(D3-C3)/C3</f>
        <v>6.6666666666666541E-2</v>
      </c>
    </row>
    <row r="4" spans="2:5" x14ac:dyDescent="0.3">
      <c r="B4">
        <v>100000</v>
      </c>
      <c r="C4">
        <f t="shared" ref="C4:C10" si="0">0.0051*B4</f>
        <v>510.00000000000006</v>
      </c>
      <c r="D4">
        <v>543</v>
      </c>
      <c r="E4" s="204">
        <f t="shared" ref="E4:E10" si="1">ABS(D4-C4)/C4</f>
        <v>6.4705882352941058E-2</v>
      </c>
    </row>
    <row r="5" spans="2:5" x14ac:dyDescent="0.3">
      <c r="B5">
        <v>150000</v>
      </c>
      <c r="C5">
        <f t="shared" si="0"/>
        <v>765</v>
      </c>
      <c r="D5">
        <v>815</v>
      </c>
      <c r="E5" s="204">
        <f t="shared" si="1"/>
        <v>6.535947712418301E-2</v>
      </c>
    </row>
    <row r="6" spans="2:5" x14ac:dyDescent="0.3">
      <c r="B6">
        <v>200000</v>
      </c>
      <c r="C6">
        <f t="shared" si="0"/>
        <v>1020.0000000000001</v>
      </c>
      <c r="D6">
        <v>1087</v>
      </c>
      <c r="E6" s="204">
        <f t="shared" si="1"/>
        <v>6.5686274509803799E-2</v>
      </c>
    </row>
    <row r="7" spans="2:5" x14ac:dyDescent="0.3">
      <c r="B7">
        <v>250000</v>
      </c>
      <c r="C7">
        <f t="shared" si="0"/>
        <v>1275</v>
      </c>
      <c r="D7">
        <v>1359</v>
      </c>
      <c r="E7" s="204">
        <f t="shared" si="1"/>
        <v>6.5882352941176475E-2</v>
      </c>
    </row>
    <row r="8" spans="2:5" x14ac:dyDescent="0.3">
      <c r="B8">
        <v>300000</v>
      </c>
      <c r="C8">
        <f t="shared" si="0"/>
        <v>1530</v>
      </c>
      <c r="D8">
        <v>1630</v>
      </c>
      <c r="E8" s="204">
        <f t="shared" si="1"/>
        <v>6.535947712418301E-2</v>
      </c>
    </row>
    <row r="9" spans="2:5" x14ac:dyDescent="0.3">
      <c r="B9">
        <v>350000</v>
      </c>
      <c r="C9">
        <f t="shared" si="0"/>
        <v>1785.0000000000002</v>
      </c>
      <c r="D9">
        <v>1902</v>
      </c>
      <c r="E9" s="204">
        <f t="shared" si="1"/>
        <v>6.5546218487394822E-2</v>
      </c>
    </row>
    <row r="10" spans="2:5" x14ac:dyDescent="0.3">
      <c r="B10">
        <v>400000</v>
      </c>
      <c r="C10">
        <f t="shared" si="0"/>
        <v>2040.0000000000002</v>
      </c>
      <c r="D10">
        <v>2174</v>
      </c>
      <c r="E10" s="204">
        <f t="shared" si="1"/>
        <v>6.5686274509803799E-2</v>
      </c>
    </row>
    <row r="14" spans="2:5" x14ac:dyDescent="0.3">
      <c r="D14" s="205"/>
    </row>
  </sheetData>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B5775-6D22-4842-9656-15DAB7219ED0}">
  <sheetPr codeName="Sheet5"/>
  <dimension ref="A1:T65"/>
  <sheetViews>
    <sheetView topLeftCell="G1" zoomScaleNormal="100" workbookViewId="0">
      <selection activeCell="I24" sqref="I24"/>
    </sheetView>
  </sheetViews>
  <sheetFormatPr defaultColWidth="11.44140625" defaultRowHeight="14.4" x14ac:dyDescent="0.3"/>
  <cols>
    <col min="8" max="15" width="0" hidden="1" customWidth="1"/>
    <col min="16" max="17" width="21.33203125" customWidth="1"/>
    <col min="18" max="18" width="23" customWidth="1"/>
    <col min="19" max="19" width="12.6640625" customWidth="1"/>
  </cols>
  <sheetData>
    <row r="1" spans="1:20" ht="86.4" x14ac:dyDescent="0.3">
      <c r="A1" s="23" t="s">
        <v>277</v>
      </c>
      <c r="B1" s="23" t="s">
        <v>278</v>
      </c>
      <c r="C1" s="24" t="s">
        <v>279</v>
      </c>
      <c r="D1" s="23" t="s">
        <v>280</v>
      </c>
      <c r="E1" s="23" t="s">
        <v>281</v>
      </c>
      <c r="F1" s="23" t="s">
        <v>282</v>
      </c>
      <c r="G1" s="23" t="s">
        <v>283</v>
      </c>
      <c r="H1" s="23" t="s">
        <v>284</v>
      </c>
      <c r="I1" s="23" t="s">
        <v>285</v>
      </c>
      <c r="J1" s="23" t="s">
        <v>286</v>
      </c>
      <c r="K1" s="23" t="s">
        <v>287</v>
      </c>
      <c r="L1" s="23" t="s">
        <v>288</v>
      </c>
      <c r="M1" s="23" t="s">
        <v>289</v>
      </c>
      <c r="N1" s="23" t="s">
        <v>290</v>
      </c>
      <c r="O1" s="23" t="s">
        <v>291</v>
      </c>
      <c r="P1" s="23" t="s">
        <v>292</v>
      </c>
      <c r="Q1" s="25" t="s">
        <v>293</v>
      </c>
      <c r="R1" s="25" t="s">
        <v>294</v>
      </c>
      <c r="S1" s="25" t="s">
        <v>295</v>
      </c>
    </row>
    <row r="2" spans="1:20" x14ac:dyDescent="0.3">
      <c r="A2" s="1" t="s">
        <v>296</v>
      </c>
      <c r="B2" s="3" t="s">
        <v>297</v>
      </c>
      <c r="C2" s="3" t="s">
        <v>298</v>
      </c>
      <c r="D2" s="3" t="s">
        <v>299</v>
      </c>
      <c r="E2" s="3" t="s">
        <v>300</v>
      </c>
      <c r="F2" s="3"/>
      <c r="G2" s="5">
        <v>50000</v>
      </c>
      <c r="H2" s="5" t="s">
        <v>301</v>
      </c>
      <c r="I2" s="6"/>
      <c r="J2" s="3"/>
      <c r="K2" s="7">
        <v>0.97</v>
      </c>
      <c r="L2" s="8"/>
      <c r="M2" s="8" t="s">
        <v>302</v>
      </c>
      <c r="N2" s="8" t="s">
        <v>303</v>
      </c>
      <c r="O2" s="8"/>
      <c r="P2" s="9">
        <v>3120</v>
      </c>
      <c r="Q2" s="26">
        <f>(P2/2)</f>
        <v>1560</v>
      </c>
      <c r="R2" s="26">
        <f>(P2/2)+2400</f>
        <v>3960</v>
      </c>
      <c r="S2">
        <f>G2/1000*5+2000</f>
        <v>2250</v>
      </c>
      <c r="T2">
        <f>MAX(S2:S65)</f>
        <v>4500</v>
      </c>
    </row>
    <row r="3" spans="1:20" x14ac:dyDescent="0.3">
      <c r="A3" s="2" t="s">
        <v>296</v>
      </c>
      <c r="B3" s="4" t="s">
        <v>297</v>
      </c>
      <c r="C3" s="4" t="s">
        <v>298</v>
      </c>
      <c r="D3" s="4" t="s">
        <v>299</v>
      </c>
      <c r="E3" s="4" t="s">
        <v>304</v>
      </c>
      <c r="F3" s="4"/>
      <c r="G3" s="10">
        <v>100000</v>
      </c>
      <c r="H3" s="10" t="s">
        <v>301</v>
      </c>
      <c r="I3" s="11"/>
      <c r="J3" s="4"/>
      <c r="K3" s="12">
        <v>0.96</v>
      </c>
      <c r="L3" s="13"/>
      <c r="M3" s="13" t="s">
        <v>302</v>
      </c>
      <c r="N3" s="13" t="s">
        <v>303</v>
      </c>
      <c r="O3" s="13"/>
      <c r="P3" s="14">
        <v>3990</v>
      </c>
      <c r="Q3" s="26">
        <f t="shared" ref="Q3:Q65" si="0">(P3/2)</f>
        <v>1995</v>
      </c>
      <c r="R3" s="26">
        <f t="shared" ref="R3:R65" si="1">(P3/2)+2400</f>
        <v>4395</v>
      </c>
      <c r="S3">
        <f t="shared" ref="S3:S65" si="2">G3/1000*5+2000</f>
        <v>2500</v>
      </c>
    </row>
    <row r="4" spans="1:20" x14ac:dyDescent="0.3">
      <c r="A4" s="1" t="s">
        <v>296</v>
      </c>
      <c r="B4" s="3" t="s">
        <v>297</v>
      </c>
      <c r="C4" s="3" t="s">
        <v>298</v>
      </c>
      <c r="D4" s="3" t="s">
        <v>299</v>
      </c>
      <c r="E4" s="3" t="s">
        <v>305</v>
      </c>
      <c r="F4" s="3"/>
      <c r="G4" s="5">
        <v>150000</v>
      </c>
      <c r="H4" s="5" t="s">
        <v>301</v>
      </c>
      <c r="I4" s="6"/>
      <c r="J4" s="3"/>
      <c r="K4" s="7">
        <v>0.95</v>
      </c>
      <c r="L4" s="8"/>
      <c r="M4" s="8" t="s">
        <v>302</v>
      </c>
      <c r="N4" s="8" t="s">
        <v>303</v>
      </c>
      <c r="O4" s="8"/>
      <c r="P4" s="9">
        <v>4328</v>
      </c>
      <c r="Q4" s="26">
        <f t="shared" si="0"/>
        <v>2164</v>
      </c>
      <c r="R4" s="26">
        <f t="shared" si="1"/>
        <v>4564</v>
      </c>
      <c r="S4">
        <f t="shared" si="2"/>
        <v>2750</v>
      </c>
    </row>
    <row r="5" spans="1:20" x14ac:dyDescent="0.3">
      <c r="A5" s="2" t="s">
        <v>296</v>
      </c>
      <c r="B5" s="4" t="s">
        <v>297</v>
      </c>
      <c r="C5" s="4" t="s">
        <v>298</v>
      </c>
      <c r="D5" s="4" t="s">
        <v>299</v>
      </c>
      <c r="E5" s="4" t="s">
        <v>306</v>
      </c>
      <c r="F5" s="4"/>
      <c r="G5" s="10">
        <v>200000</v>
      </c>
      <c r="H5" s="10" t="s">
        <v>301</v>
      </c>
      <c r="I5" s="11"/>
      <c r="J5" s="4"/>
      <c r="K5" s="12">
        <v>0.96</v>
      </c>
      <c r="L5" s="13"/>
      <c r="M5" s="13" t="s">
        <v>302</v>
      </c>
      <c r="N5" s="13" t="s">
        <v>303</v>
      </c>
      <c r="O5" s="13"/>
      <c r="P5" s="14">
        <v>4960</v>
      </c>
      <c r="Q5" s="26">
        <f t="shared" si="0"/>
        <v>2480</v>
      </c>
      <c r="R5" s="26">
        <f t="shared" si="1"/>
        <v>4880</v>
      </c>
      <c r="S5">
        <f t="shared" si="2"/>
        <v>3000</v>
      </c>
    </row>
    <row r="6" spans="1:20" x14ac:dyDescent="0.3">
      <c r="A6" s="1" t="s">
        <v>296</v>
      </c>
      <c r="B6" s="3" t="s">
        <v>297</v>
      </c>
      <c r="C6" s="3" t="s">
        <v>298</v>
      </c>
      <c r="D6" s="3" t="s">
        <v>299</v>
      </c>
      <c r="E6" s="3" t="s">
        <v>307</v>
      </c>
      <c r="F6" s="3"/>
      <c r="G6" s="5">
        <v>300000</v>
      </c>
      <c r="H6" s="5" t="s">
        <v>301</v>
      </c>
      <c r="I6" s="6"/>
      <c r="J6" s="3"/>
      <c r="K6" s="7">
        <v>0.95</v>
      </c>
      <c r="L6" s="8"/>
      <c r="M6" s="8" t="s">
        <v>302</v>
      </c>
      <c r="N6" s="8" t="s">
        <v>303</v>
      </c>
      <c r="O6" s="8"/>
      <c r="P6" s="9">
        <v>6680</v>
      </c>
      <c r="Q6" s="26">
        <f t="shared" si="0"/>
        <v>3340</v>
      </c>
      <c r="R6" s="26">
        <f t="shared" si="1"/>
        <v>5740</v>
      </c>
      <c r="S6">
        <f t="shared" si="2"/>
        <v>3500</v>
      </c>
    </row>
    <row r="7" spans="1:20" x14ac:dyDescent="0.3">
      <c r="A7" s="2" t="s">
        <v>296</v>
      </c>
      <c r="B7" s="4" t="s">
        <v>297</v>
      </c>
      <c r="C7" s="4" t="s">
        <v>298</v>
      </c>
      <c r="D7" s="4" t="s">
        <v>299</v>
      </c>
      <c r="E7" s="4" t="s">
        <v>308</v>
      </c>
      <c r="F7" s="4"/>
      <c r="G7" s="10">
        <v>400000</v>
      </c>
      <c r="H7" s="10" t="s">
        <v>301</v>
      </c>
      <c r="I7" s="11"/>
      <c r="J7" s="4"/>
      <c r="K7" s="12">
        <v>0.96</v>
      </c>
      <c r="L7" s="13"/>
      <c r="M7" s="13" t="s">
        <v>302</v>
      </c>
      <c r="N7" s="13" t="s">
        <v>303</v>
      </c>
      <c r="O7" s="13"/>
      <c r="P7" s="14">
        <v>8300</v>
      </c>
      <c r="Q7" s="26">
        <f t="shared" si="0"/>
        <v>4150</v>
      </c>
      <c r="R7" s="26">
        <f t="shared" si="1"/>
        <v>6550</v>
      </c>
      <c r="S7">
        <f t="shared" si="2"/>
        <v>4000</v>
      </c>
    </row>
    <row r="8" spans="1:20" x14ac:dyDescent="0.3">
      <c r="A8" s="1" t="s">
        <v>296</v>
      </c>
      <c r="B8" s="3" t="s">
        <v>297</v>
      </c>
      <c r="C8" s="3" t="s">
        <v>298</v>
      </c>
      <c r="D8" s="3" t="s">
        <v>309</v>
      </c>
      <c r="E8" s="3" t="s">
        <v>310</v>
      </c>
      <c r="F8" s="3"/>
      <c r="G8" s="5">
        <v>50000</v>
      </c>
      <c r="H8" s="5" t="s">
        <v>301</v>
      </c>
      <c r="I8" s="6"/>
      <c r="J8" s="3"/>
      <c r="K8" s="7">
        <v>0.97</v>
      </c>
      <c r="L8" s="8"/>
      <c r="M8" s="8" t="s">
        <v>302</v>
      </c>
      <c r="N8" s="8" t="s">
        <v>303</v>
      </c>
      <c r="O8" s="8"/>
      <c r="P8" s="9">
        <v>3120</v>
      </c>
      <c r="Q8" s="26">
        <f t="shared" si="0"/>
        <v>1560</v>
      </c>
      <c r="R8" s="26">
        <f t="shared" si="1"/>
        <v>3960</v>
      </c>
      <c r="S8">
        <f t="shared" si="2"/>
        <v>2250</v>
      </c>
    </row>
    <row r="9" spans="1:20" x14ac:dyDescent="0.3">
      <c r="A9" s="2" t="s">
        <v>296</v>
      </c>
      <c r="B9" s="4" t="s">
        <v>297</v>
      </c>
      <c r="C9" s="4" t="s">
        <v>298</v>
      </c>
      <c r="D9" s="4" t="s">
        <v>309</v>
      </c>
      <c r="E9" s="4" t="s">
        <v>311</v>
      </c>
      <c r="F9" s="4"/>
      <c r="G9" s="10">
        <v>100000</v>
      </c>
      <c r="H9" s="10" t="s">
        <v>301</v>
      </c>
      <c r="I9" s="11"/>
      <c r="J9" s="4"/>
      <c r="K9" s="12">
        <v>0.96</v>
      </c>
      <c r="L9" s="13"/>
      <c r="M9" s="13" t="s">
        <v>302</v>
      </c>
      <c r="N9" s="13" t="s">
        <v>303</v>
      </c>
      <c r="O9" s="13"/>
      <c r="P9" s="14">
        <v>3990</v>
      </c>
      <c r="Q9" s="26">
        <f t="shared" si="0"/>
        <v>1995</v>
      </c>
      <c r="R9" s="26">
        <f t="shared" si="1"/>
        <v>4395</v>
      </c>
      <c r="S9">
        <f t="shared" si="2"/>
        <v>2500</v>
      </c>
    </row>
    <row r="10" spans="1:20" x14ac:dyDescent="0.3">
      <c r="A10" s="1" t="s">
        <v>296</v>
      </c>
      <c r="B10" s="3" t="s">
        <v>297</v>
      </c>
      <c r="C10" s="3" t="s">
        <v>298</v>
      </c>
      <c r="D10" s="3" t="s">
        <v>309</v>
      </c>
      <c r="E10" s="3" t="s">
        <v>312</v>
      </c>
      <c r="F10" s="3"/>
      <c r="G10" s="5">
        <v>150000</v>
      </c>
      <c r="H10" s="5" t="s">
        <v>301</v>
      </c>
      <c r="I10" s="6"/>
      <c r="J10" s="3"/>
      <c r="K10" s="7">
        <v>0.95</v>
      </c>
      <c r="L10" s="8"/>
      <c r="M10" s="8" t="s">
        <v>302</v>
      </c>
      <c r="N10" s="8" t="s">
        <v>303</v>
      </c>
      <c r="O10" s="8"/>
      <c r="P10" s="9">
        <v>4328</v>
      </c>
      <c r="Q10" s="26">
        <f t="shared" si="0"/>
        <v>2164</v>
      </c>
      <c r="R10" s="26">
        <f t="shared" si="1"/>
        <v>4564</v>
      </c>
      <c r="S10">
        <f t="shared" si="2"/>
        <v>2750</v>
      </c>
    </row>
    <row r="11" spans="1:20" x14ac:dyDescent="0.3">
      <c r="A11" s="2" t="s">
        <v>296</v>
      </c>
      <c r="B11" s="4" t="s">
        <v>297</v>
      </c>
      <c r="C11" s="4" t="s">
        <v>298</v>
      </c>
      <c r="D11" s="4" t="s">
        <v>309</v>
      </c>
      <c r="E11" s="4" t="s">
        <v>313</v>
      </c>
      <c r="F11" s="4"/>
      <c r="G11" s="10">
        <v>200000</v>
      </c>
      <c r="H11" s="10" t="s">
        <v>301</v>
      </c>
      <c r="I11" s="11"/>
      <c r="J11" s="4"/>
      <c r="K11" s="12">
        <v>0.96</v>
      </c>
      <c r="L11" s="13"/>
      <c r="M11" s="13" t="s">
        <v>302</v>
      </c>
      <c r="N11" s="13" t="s">
        <v>303</v>
      </c>
      <c r="O11" s="13"/>
      <c r="P11" s="14">
        <v>4960</v>
      </c>
      <c r="Q11" s="26">
        <f t="shared" si="0"/>
        <v>2480</v>
      </c>
      <c r="R11" s="26">
        <f t="shared" si="1"/>
        <v>4880</v>
      </c>
      <c r="S11">
        <f t="shared" si="2"/>
        <v>3000</v>
      </c>
    </row>
    <row r="12" spans="1:20" x14ac:dyDescent="0.3">
      <c r="A12" s="1" t="s">
        <v>296</v>
      </c>
      <c r="B12" s="3" t="s">
        <v>297</v>
      </c>
      <c r="C12" s="3" t="s">
        <v>298</v>
      </c>
      <c r="D12" s="3" t="s">
        <v>309</v>
      </c>
      <c r="E12" s="3" t="s">
        <v>314</v>
      </c>
      <c r="F12" s="3"/>
      <c r="G12" s="5">
        <v>300000</v>
      </c>
      <c r="H12" s="5" t="s">
        <v>301</v>
      </c>
      <c r="I12" s="6"/>
      <c r="J12" s="3"/>
      <c r="K12" s="7">
        <v>0.95</v>
      </c>
      <c r="L12" s="8"/>
      <c r="M12" s="8" t="s">
        <v>302</v>
      </c>
      <c r="N12" s="8" t="s">
        <v>303</v>
      </c>
      <c r="O12" s="8"/>
      <c r="P12" s="9">
        <v>6680</v>
      </c>
      <c r="Q12" s="26">
        <f t="shared" si="0"/>
        <v>3340</v>
      </c>
      <c r="R12" s="26">
        <f t="shared" si="1"/>
        <v>5740</v>
      </c>
      <c r="S12">
        <f t="shared" si="2"/>
        <v>3500</v>
      </c>
    </row>
    <row r="13" spans="1:20" x14ac:dyDescent="0.3">
      <c r="A13" s="2" t="s">
        <v>296</v>
      </c>
      <c r="B13" s="4" t="s">
        <v>297</v>
      </c>
      <c r="C13" s="4" t="s">
        <v>298</v>
      </c>
      <c r="D13" s="4" t="s">
        <v>309</v>
      </c>
      <c r="E13" s="4" t="s">
        <v>315</v>
      </c>
      <c r="F13" s="4"/>
      <c r="G13" s="10">
        <v>400000</v>
      </c>
      <c r="H13" s="10" t="s">
        <v>301</v>
      </c>
      <c r="I13" s="11"/>
      <c r="J13" s="4"/>
      <c r="K13" s="12">
        <v>0.96</v>
      </c>
      <c r="L13" s="13"/>
      <c r="M13" s="13" t="s">
        <v>302</v>
      </c>
      <c r="N13" s="13" t="s">
        <v>303</v>
      </c>
      <c r="O13" s="13"/>
      <c r="P13" s="14">
        <v>8300</v>
      </c>
      <c r="Q13" s="26">
        <f t="shared" si="0"/>
        <v>4150</v>
      </c>
      <c r="R13" s="26">
        <f t="shared" si="1"/>
        <v>6550</v>
      </c>
      <c r="S13">
        <f t="shared" si="2"/>
        <v>4000</v>
      </c>
    </row>
    <row r="14" spans="1:20" x14ac:dyDescent="0.3">
      <c r="A14" s="3" t="s">
        <v>296</v>
      </c>
      <c r="B14" s="3"/>
      <c r="C14" s="3" t="s">
        <v>298</v>
      </c>
      <c r="D14" s="3" t="s">
        <v>316</v>
      </c>
      <c r="E14" s="3" t="s">
        <v>317</v>
      </c>
      <c r="F14" s="3"/>
      <c r="G14" s="15">
        <v>50000</v>
      </c>
      <c r="H14" s="5" t="s">
        <v>301</v>
      </c>
      <c r="I14" s="16"/>
      <c r="J14" s="17"/>
      <c r="K14" s="18">
        <v>0.97</v>
      </c>
      <c r="L14" s="8"/>
      <c r="M14" s="8" t="s">
        <v>302</v>
      </c>
      <c r="N14" s="8" t="s">
        <v>303</v>
      </c>
      <c r="O14" s="8"/>
      <c r="P14" s="9">
        <v>2974</v>
      </c>
      <c r="Q14" s="26">
        <f t="shared" si="0"/>
        <v>1487</v>
      </c>
      <c r="R14" s="26">
        <f t="shared" si="1"/>
        <v>3887</v>
      </c>
      <c r="S14">
        <f t="shared" si="2"/>
        <v>2250</v>
      </c>
    </row>
    <row r="15" spans="1:20" x14ac:dyDescent="0.3">
      <c r="A15" s="4" t="s">
        <v>296</v>
      </c>
      <c r="B15" s="4"/>
      <c r="C15" s="4" t="s">
        <v>298</v>
      </c>
      <c r="D15" s="4" t="s">
        <v>316</v>
      </c>
      <c r="E15" s="4" t="s">
        <v>318</v>
      </c>
      <c r="F15" s="4"/>
      <c r="G15" s="19">
        <v>100000</v>
      </c>
      <c r="H15" s="10" t="s">
        <v>301</v>
      </c>
      <c r="I15" s="20"/>
      <c r="J15" s="21"/>
      <c r="K15" s="22">
        <v>0.96</v>
      </c>
      <c r="L15" s="13"/>
      <c r="M15" s="13" t="s">
        <v>302</v>
      </c>
      <c r="N15" s="13" t="s">
        <v>303</v>
      </c>
      <c r="O15" s="13"/>
      <c r="P15" s="14">
        <v>3791</v>
      </c>
      <c r="Q15" s="26">
        <f t="shared" si="0"/>
        <v>1895.5</v>
      </c>
      <c r="R15" s="26">
        <f t="shared" si="1"/>
        <v>4295.5</v>
      </c>
      <c r="S15">
        <f t="shared" si="2"/>
        <v>2500</v>
      </c>
    </row>
    <row r="16" spans="1:20" x14ac:dyDescent="0.3">
      <c r="A16" s="3" t="s">
        <v>296</v>
      </c>
      <c r="B16" s="3"/>
      <c r="C16" s="3" t="s">
        <v>298</v>
      </c>
      <c r="D16" s="3" t="s">
        <v>316</v>
      </c>
      <c r="E16" s="3" t="s">
        <v>319</v>
      </c>
      <c r="F16" s="3"/>
      <c r="G16" s="15">
        <v>150000</v>
      </c>
      <c r="H16" s="5" t="s">
        <v>301</v>
      </c>
      <c r="I16" s="16"/>
      <c r="J16" s="17"/>
      <c r="K16" s="18">
        <v>0.95</v>
      </c>
      <c r="L16" s="8"/>
      <c r="M16" s="8" t="s">
        <v>302</v>
      </c>
      <c r="N16" s="8" t="s">
        <v>303</v>
      </c>
      <c r="O16" s="8"/>
      <c r="P16" s="9">
        <v>4125</v>
      </c>
      <c r="Q16" s="26">
        <f t="shared" si="0"/>
        <v>2062.5</v>
      </c>
      <c r="R16" s="26">
        <f t="shared" si="1"/>
        <v>4462.5</v>
      </c>
      <c r="S16">
        <f t="shared" si="2"/>
        <v>2750</v>
      </c>
    </row>
    <row r="17" spans="1:19" x14ac:dyDescent="0.3">
      <c r="A17" s="4" t="s">
        <v>296</v>
      </c>
      <c r="B17" s="4"/>
      <c r="C17" s="4" t="s">
        <v>298</v>
      </c>
      <c r="D17" s="4" t="s">
        <v>316</v>
      </c>
      <c r="E17" s="4" t="s">
        <v>320</v>
      </c>
      <c r="F17" s="4"/>
      <c r="G17" s="19">
        <v>200000</v>
      </c>
      <c r="H17" s="10" t="s">
        <v>301</v>
      </c>
      <c r="I17" s="20"/>
      <c r="J17" s="21"/>
      <c r="K17" s="22">
        <v>0.96</v>
      </c>
      <c r="L17" s="13"/>
      <c r="M17" s="13" t="s">
        <v>302</v>
      </c>
      <c r="N17" s="13" t="s">
        <v>303</v>
      </c>
      <c r="O17" s="13"/>
      <c r="P17" s="14">
        <v>4712</v>
      </c>
      <c r="Q17" s="26">
        <f t="shared" si="0"/>
        <v>2356</v>
      </c>
      <c r="R17" s="26">
        <f t="shared" si="1"/>
        <v>4756</v>
      </c>
      <c r="S17">
        <f t="shared" si="2"/>
        <v>3000</v>
      </c>
    </row>
    <row r="18" spans="1:19" x14ac:dyDescent="0.3">
      <c r="A18" s="3" t="s">
        <v>296</v>
      </c>
      <c r="B18" s="3"/>
      <c r="C18" s="3" t="s">
        <v>298</v>
      </c>
      <c r="D18" s="3" t="s">
        <v>316</v>
      </c>
      <c r="E18" s="3" t="s">
        <v>321</v>
      </c>
      <c r="F18" s="3"/>
      <c r="G18" s="15">
        <v>300000</v>
      </c>
      <c r="H18" s="5" t="s">
        <v>301</v>
      </c>
      <c r="I18" s="16"/>
      <c r="J18" s="17"/>
      <c r="K18" s="18">
        <v>0.95</v>
      </c>
      <c r="L18" s="8"/>
      <c r="M18" s="8" t="s">
        <v>302</v>
      </c>
      <c r="N18" s="8" t="s">
        <v>303</v>
      </c>
      <c r="O18" s="8"/>
      <c r="P18" s="9">
        <v>6345</v>
      </c>
      <c r="Q18" s="26">
        <f t="shared" si="0"/>
        <v>3172.5</v>
      </c>
      <c r="R18" s="26">
        <f t="shared" si="1"/>
        <v>5572.5</v>
      </c>
      <c r="S18">
        <f t="shared" si="2"/>
        <v>3500</v>
      </c>
    </row>
    <row r="19" spans="1:19" x14ac:dyDescent="0.3">
      <c r="A19" s="4" t="s">
        <v>296</v>
      </c>
      <c r="B19" s="4"/>
      <c r="C19" s="4" t="s">
        <v>298</v>
      </c>
      <c r="D19" s="4" t="s">
        <v>316</v>
      </c>
      <c r="E19" s="4" t="s">
        <v>322</v>
      </c>
      <c r="F19" s="4"/>
      <c r="G19" s="19">
        <v>400000</v>
      </c>
      <c r="H19" s="10" t="s">
        <v>301</v>
      </c>
      <c r="I19" s="20"/>
      <c r="J19" s="21"/>
      <c r="K19" s="22">
        <v>0.96</v>
      </c>
      <c r="L19" s="13"/>
      <c r="M19" s="13" t="s">
        <v>302</v>
      </c>
      <c r="N19" s="13" t="s">
        <v>303</v>
      </c>
      <c r="O19" s="13"/>
      <c r="P19" s="14">
        <v>7881</v>
      </c>
      <c r="Q19" s="26">
        <f t="shared" si="0"/>
        <v>3940.5</v>
      </c>
      <c r="R19" s="26">
        <f t="shared" si="1"/>
        <v>6340.5</v>
      </c>
      <c r="S19">
        <f t="shared" si="2"/>
        <v>4000</v>
      </c>
    </row>
    <row r="20" spans="1:19" x14ac:dyDescent="0.3">
      <c r="A20" s="3" t="s">
        <v>296</v>
      </c>
      <c r="B20" s="3"/>
      <c r="C20" s="3" t="s">
        <v>298</v>
      </c>
      <c r="D20" s="3" t="s">
        <v>316</v>
      </c>
      <c r="E20" s="3" t="s">
        <v>323</v>
      </c>
      <c r="F20" s="3"/>
      <c r="G20" s="15">
        <v>50000</v>
      </c>
      <c r="H20" s="5" t="s">
        <v>301</v>
      </c>
      <c r="I20" s="16"/>
      <c r="J20" s="17"/>
      <c r="K20" s="18">
        <v>0.97</v>
      </c>
      <c r="L20" s="8"/>
      <c r="M20" s="8" t="s">
        <v>302</v>
      </c>
      <c r="N20" s="8" t="s">
        <v>303</v>
      </c>
      <c r="O20" s="8"/>
      <c r="P20" s="9">
        <v>2974</v>
      </c>
      <c r="Q20" s="26">
        <f t="shared" si="0"/>
        <v>1487</v>
      </c>
      <c r="R20" s="26">
        <f t="shared" si="1"/>
        <v>3887</v>
      </c>
      <c r="S20">
        <f t="shared" si="2"/>
        <v>2250</v>
      </c>
    </row>
    <row r="21" spans="1:19" x14ac:dyDescent="0.3">
      <c r="A21" s="4" t="s">
        <v>296</v>
      </c>
      <c r="B21" s="4"/>
      <c r="C21" s="4" t="s">
        <v>298</v>
      </c>
      <c r="D21" s="4" t="s">
        <v>316</v>
      </c>
      <c r="E21" s="4" t="s">
        <v>324</v>
      </c>
      <c r="F21" s="4"/>
      <c r="G21" s="19">
        <v>100000</v>
      </c>
      <c r="H21" s="10" t="s">
        <v>301</v>
      </c>
      <c r="I21" s="20"/>
      <c r="J21" s="21"/>
      <c r="K21" s="22">
        <v>0.96</v>
      </c>
      <c r="L21" s="13"/>
      <c r="M21" s="13" t="s">
        <v>302</v>
      </c>
      <c r="N21" s="13" t="s">
        <v>303</v>
      </c>
      <c r="O21" s="13"/>
      <c r="P21" s="14">
        <v>3791</v>
      </c>
      <c r="Q21" s="26">
        <f t="shared" si="0"/>
        <v>1895.5</v>
      </c>
      <c r="R21" s="26">
        <f t="shared" si="1"/>
        <v>4295.5</v>
      </c>
      <c r="S21">
        <f t="shared" si="2"/>
        <v>2500</v>
      </c>
    </row>
    <row r="22" spans="1:19" x14ac:dyDescent="0.3">
      <c r="A22" s="3" t="s">
        <v>296</v>
      </c>
      <c r="B22" s="3"/>
      <c r="C22" s="3" t="s">
        <v>298</v>
      </c>
      <c r="D22" s="3" t="s">
        <v>316</v>
      </c>
      <c r="E22" s="3" t="s">
        <v>325</v>
      </c>
      <c r="F22" s="3"/>
      <c r="G22" s="15">
        <v>150000</v>
      </c>
      <c r="H22" s="5" t="s">
        <v>301</v>
      </c>
      <c r="I22" s="16"/>
      <c r="J22" s="17"/>
      <c r="K22" s="18">
        <v>0.95</v>
      </c>
      <c r="L22" s="8"/>
      <c r="M22" s="8" t="s">
        <v>302</v>
      </c>
      <c r="N22" s="8" t="s">
        <v>303</v>
      </c>
      <c r="O22" s="8"/>
      <c r="P22" s="9">
        <v>4125</v>
      </c>
      <c r="Q22" s="26">
        <f t="shared" si="0"/>
        <v>2062.5</v>
      </c>
      <c r="R22" s="26">
        <f t="shared" si="1"/>
        <v>4462.5</v>
      </c>
      <c r="S22">
        <f t="shared" si="2"/>
        <v>2750</v>
      </c>
    </row>
    <row r="23" spans="1:19" x14ac:dyDescent="0.3">
      <c r="A23" s="4" t="s">
        <v>296</v>
      </c>
      <c r="B23" s="4"/>
      <c r="C23" s="4" t="s">
        <v>298</v>
      </c>
      <c r="D23" s="4" t="s">
        <v>316</v>
      </c>
      <c r="E23" s="4" t="s">
        <v>326</v>
      </c>
      <c r="F23" s="4"/>
      <c r="G23" s="19">
        <v>200000</v>
      </c>
      <c r="H23" s="10" t="s">
        <v>301</v>
      </c>
      <c r="I23" s="20"/>
      <c r="J23" s="21"/>
      <c r="K23" s="22">
        <v>0.96</v>
      </c>
      <c r="L23" s="13"/>
      <c r="M23" s="13" t="s">
        <v>302</v>
      </c>
      <c r="N23" s="13" t="s">
        <v>303</v>
      </c>
      <c r="O23" s="13"/>
      <c r="P23" s="14">
        <v>4712</v>
      </c>
      <c r="Q23" s="26">
        <f t="shared" si="0"/>
        <v>2356</v>
      </c>
      <c r="R23" s="26">
        <f t="shared" si="1"/>
        <v>4756</v>
      </c>
      <c r="S23">
        <f t="shared" si="2"/>
        <v>3000</v>
      </c>
    </row>
    <row r="24" spans="1:19" x14ac:dyDescent="0.3">
      <c r="A24" s="3" t="s">
        <v>296</v>
      </c>
      <c r="B24" s="3"/>
      <c r="C24" s="3" t="s">
        <v>298</v>
      </c>
      <c r="D24" s="3" t="s">
        <v>316</v>
      </c>
      <c r="E24" s="3" t="s">
        <v>327</v>
      </c>
      <c r="F24" s="3"/>
      <c r="G24" s="15">
        <v>300000</v>
      </c>
      <c r="H24" s="5" t="s">
        <v>301</v>
      </c>
      <c r="I24" s="16"/>
      <c r="J24" s="17"/>
      <c r="K24" s="18">
        <v>0.95</v>
      </c>
      <c r="L24" s="8"/>
      <c r="M24" s="8" t="s">
        <v>302</v>
      </c>
      <c r="N24" s="8" t="s">
        <v>303</v>
      </c>
      <c r="O24" s="8"/>
      <c r="P24" s="9">
        <v>6345</v>
      </c>
      <c r="Q24" s="26">
        <f t="shared" si="0"/>
        <v>3172.5</v>
      </c>
      <c r="R24" s="26">
        <f t="shared" si="1"/>
        <v>5572.5</v>
      </c>
      <c r="S24">
        <f t="shared" si="2"/>
        <v>3500</v>
      </c>
    </row>
    <row r="25" spans="1:19" x14ac:dyDescent="0.3">
      <c r="A25" s="4" t="s">
        <v>296</v>
      </c>
      <c r="B25" s="4"/>
      <c r="C25" s="4" t="s">
        <v>298</v>
      </c>
      <c r="D25" s="4" t="s">
        <v>316</v>
      </c>
      <c r="E25" s="4" t="s">
        <v>328</v>
      </c>
      <c r="F25" s="4"/>
      <c r="G25" s="19">
        <v>400000</v>
      </c>
      <c r="H25" s="10" t="s">
        <v>301</v>
      </c>
      <c r="I25" s="20"/>
      <c r="J25" s="21"/>
      <c r="K25" s="22">
        <v>0.96</v>
      </c>
      <c r="L25" s="13"/>
      <c r="M25" s="13" t="s">
        <v>302</v>
      </c>
      <c r="N25" s="13" t="s">
        <v>303</v>
      </c>
      <c r="O25" s="13"/>
      <c r="P25" s="14">
        <v>7881</v>
      </c>
      <c r="Q25" s="26">
        <f t="shared" si="0"/>
        <v>3940.5</v>
      </c>
      <c r="R25" s="26">
        <f t="shared" si="1"/>
        <v>6340.5</v>
      </c>
      <c r="S25">
        <f t="shared" si="2"/>
        <v>4000</v>
      </c>
    </row>
    <row r="26" spans="1:19" x14ac:dyDescent="0.3">
      <c r="A26" s="1" t="s">
        <v>296</v>
      </c>
      <c r="B26" s="3" t="s">
        <v>329</v>
      </c>
      <c r="C26" s="3" t="s">
        <v>330</v>
      </c>
      <c r="D26" s="3" t="s">
        <v>331</v>
      </c>
      <c r="E26" s="3" t="s">
        <v>332</v>
      </c>
      <c r="F26" s="3"/>
      <c r="G26" s="5">
        <v>215000</v>
      </c>
      <c r="H26" s="5" t="s">
        <v>301</v>
      </c>
      <c r="I26" s="6"/>
      <c r="J26" s="3"/>
      <c r="K26" s="7">
        <v>0.93</v>
      </c>
      <c r="L26" s="8"/>
      <c r="M26" s="8" t="s">
        <v>333</v>
      </c>
      <c r="N26" s="8" t="s">
        <v>334</v>
      </c>
      <c r="O26" s="8"/>
      <c r="P26" s="9">
        <v>8840</v>
      </c>
      <c r="Q26" s="26">
        <f t="shared" si="0"/>
        <v>4420</v>
      </c>
      <c r="R26" s="26">
        <f t="shared" si="1"/>
        <v>6820</v>
      </c>
      <c r="S26">
        <f t="shared" si="2"/>
        <v>3075</v>
      </c>
    </row>
    <row r="27" spans="1:19" x14ac:dyDescent="0.3">
      <c r="A27" s="2" t="s">
        <v>296</v>
      </c>
      <c r="B27" s="4" t="s">
        <v>329</v>
      </c>
      <c r="C27" s="4" t="s">
        <v>330</v>
      </c>
      <c r="D27" s="4" t="s">
        <v>331</v>
      </c>
      <c r="E27" s="4" t="s">
        <v>335</v>
      </c>
      <c r="F27" s="4"/>
      <c r="G27" s="10">
        <v>260000</v>
      </c>
      <c r="H27" s="10" t="s">
        <v>301</v>
      </c>
      <c r="I27" s="11"/>
      <c r="J27" s="4"/>
      <c r="K27" s="12">
        <v>0.93</v>
      </c>
      <c r="L27" s="13"/>
      <c r="M27" s="13" t="s">
        <v>333</v>
      </c>
      <c r="N27" s="13" t="s">
        <v>334</v>
      </c>
      <c r="O27" s="13"/>
      <c r="P27" s="14">
        <v>9635</v>
      </c>
      <c r="Q27" s="26">
        <f t="shared" si="0"/>
        <v>4817.5</v>
      </c>
      <c r="R27" s="26">
        <f t="shared" si="1"/>
        <v>7217.5</v>
      </c>
      <c r="S27">
        <f t="shared" si="2"/>
        <v>3300</v>
      </c>
    </row>
    <row r="28" spans="1:19" x14ac:dyDescent="0.3">
      <c r="A28" s="1" t="s">
        <v>296</v>
      </c>
      <c r="B28" s="3" t="s">
        <v>329</v>
      </c>
      <c r="C28" s="3" t="s">
        <v>330</v>
      </c>
      <c r="D28" s="3" t="s">
        <v>331</v>
      </c>
      <c r="E28" s="3" t="s">
        <v>336</v>
      </c>
      <c r="F28" s="3"/>
      <c r="G28" s="5">
        <v>310000</v>
      </c>
      <c r="H28" s="5" t="s">
        <v>301</v>
      </c>
      <c r="I28" s="6"/>
      <c r="J28" s="3"/>
      <c r="K28" s="7">
        <v>0.93</v>
      </c>
      <c r="L28" s="8"/>
      <c r="M28" s="8" t="s">
        <v>333</v>
      </c>
      <c r="N28" s="8" t="s">
        <v>334</v>
      </c>
      <c r="O28" s="8"/>
      <c r="P28" s="9">
        <v>10750</v>
      </c>
      <c r="Q28" s="26">
        <f t="shared" si="0"/>
        <v>5375</v>
      </c>
      <c r="R28" s="26">
        <f t="shared" si="1"/>
        <v>7775</v>
      </c>
      <c r="S28">
        <f t="shared" si="2"/>
        <v>3550</v>
      </c>
    </row>
    <row r="29" spans="1:19" x14ac:dyDescent="0.3">
      <c r="A29" s="2" t="s">
        <v>296</v>
      </c>
      <c r="B29" s="4" t="s">
        <v>329</v>
      </c>
      <c r="C29" s="4" t="s">
        <v>330</v>
      </c>
      <c r="D29" s="4" t="s">
        <v>331</v>
      </c>
      <c r="E29" s="4" t="s">
        <v>337</v>
      </c>
      <c r="F29" s="4"/>
      <c r="G29" s="10">
        <v>110000</v>
      </c>
      <c r="H29" s="10" t="s">
        <v>301</v>
      </c>
      <c r="I29" s="11"/>
      <c r="J29" s="4"/>
      <c r="K29" s="12">
        <v>0.93</v>
      </c>
      <c r="L29" s="13"/>
      <c r="M29" s="13" t="s">
        <v>333</v>
      </c>
      <c r="N29" s="13" t="s">
        <v>334</v>
      </c>
      <c r="O29" s="13"/>
      <c r="P29" s="14">
        <v>3495</v>
      </c>
      <c r="Q29" s="26">
        <f t="shared" si="0"/>
        <v>1747.5</v>
      </c>
      <c r="R29" s="26">
        <f t="shared" si="1"/>
        <v>4147.5</v>
      </c>
      <c r="S29">
        <f t="shared" si="2"/>
        <v>2550</v>
      </c>
    </row>
    <row r="30" spans="1:19" x14ac:dyDescent="0.3">
      <c r="A30" s="1" t="s">
        <v>296</v>
      </c>
      <c r="B30" s="3" t="s">
        <v>329</v>
      </c>
      <c r="C30" s="3" t="s">
        <v>330</v>
      </c>
      <c r="D30" s="3" t="s">
        <v>331</v>
      </c>
      <c r="E30" s="3" t="s">
        <v>338</v>
      </c>
      <c r="F30" s="3"/>
      <c r="G30" s="5">
        <v>135000</v>
      </c>
      <c r="H30" s="5" t="s">
        <v>301</v>
      </c>
      <c r="I30" s="6"/>
      <c r="J30" s="3"/>
      <c r="K30" s="7">
        <v>0.93</v>
      </c>
      <c r="L30" s="8"/>
      <c r="M30" s="8" t="s">
        <v>333</v>
      </c>
      <c r="N30" s="8" t="s">
        <v>334</v>
      </c>
      <c r="O30" s="8"/>
      <c r="P30" s="9">
        <v>4315</v>
      </c>
      <c r="Q30" s="26">
        <f t="shared" si="0"/>
        <v>2157.5</v>
      </c>
      <c r="R30" s="26">
        <f t="shared" si="1"/>
        <v>4557.5</v>
      </c>
      <c r="S30">
        <f t="shared" si="2"/>
        <v>2675</v>
      </c>
    </row>
    <row r="31" spans="1:19" x14ac:dyDescent="0.3">
      <c r="A31" s="2" t="s">
        <v>296</v>
      </c>
      <c r="B31" s="4" t="s">
        <v>329</v>
      </c>
      <c r="C31" s="4" t="s">
        <v>330</v>
      </c>
      <c r="D31" s="4" t="s">
        <v>331</v>
      </c>
      <c r="E31" s="4" t="s">
        <v>339</v>
      </c>
      <c r="F31" s="4"/>
      <c r="G31" s="10">
        <v>155000</v>
      </c>
      <c r="H31" s="10" t="s">
        <v>301</v>
      </c>
      <c r="I31" s="11"/>
      <c r="J31" s="4"/>
      <c r="K31" s="12">
        <v>0.93</v>
      </c>
      <c r="L31" s="13"/>
      <c r="M31" s="13" t="s">
        <v>333</v>
      </c>
      <c r="N31" s="13" t="s">
        <v>334</v>
      </c>
      <c r="O31" s="13"/>
      <c r="P31" s="14">
        <v>4623</v>
      </c>
      <c r="Q31" s="26">
        <f t="shared" si="0"/>
        <v>2311.5</v>
      </c>
      <c r="R31" s="26">
        <f t="shared" si="1"/>
        <v>4711.5</v>
      </c>
      <c r="S31">
        <f t="shared" si="2"/>
        <v>2775</v>
      </c>
    </row>
    <row r="32" spans="1:19" x14ac:dyDescent="0.3">
      <c r="A32" s="1" t="s">
        <v>296</v>
      </c>
      <c r="B32" s="3" t="s">
        <v>329</v>
      </c>
      <c r="C32" s="3" t="s">
        <v>330</v>
      </c>
      <c r="D32" s="3" t="s">
        <v>331</v>
      </c>
      <c r="E32" s="3" t="s">
        <v>340</v>
      </c>
      <c r="F32" s="3"/>
      <c r="G32" s="5">
        <v>180000</v>
      </c>
      <c r="H32" s="5" t="s">
        <v>301</v>
      </c>
      <c r="I32" s="6"/>
      <c r="J32" s="3"/>
      <c r="K32" s="7">
        <v>0.93</v>
      </c>
      <c r="L32" s="8"/>
      <c r="M32" s="8" t="s">
        <v>333</v>
      </c>
      <c r="N32" s="8" t="s">
        <v>334</v>
      </c>
      <c r="O32" s="8"/>
      <c r="P32" s="9">
        <v>4765</v>
      </c>
      <c r="Q32" s="26">
        <f t="shared" si="0"/>
        <v>2382.5</v>
      </c>
      <c r="R32" s="26">
        <f t="shared" si="1"/>
        <v>4782.5</v>
      </c>
      <c r="S32">
        <f t="shared" si="2"/>
        <v>2900</v>
      </c>
    </row>
    <row r="33" spans="1:19" x14ac:dyDescent="0.3">
      <c r="A33" s="2" t="s">
        <v>296</v>
      </c>
      <c r="B33" s="4" t="s">
        <v>329</v>
      </c>
      <c r="C33" s="4" t="s">
        <v>330</v>
      </c>
      <c r="D33" s="4" t="s">
        <v>331</v>
      </c>
      <c r="E33" s="4" t="s">
        <v>341</v>
      </c>
      <c r="F33" s="4"/>
      <c r="G33" s="10">
        <v>215000</v>
      </c>
      <c r="H33" s="10" t="s">
        <v>301</v>
      </c>
      <c r="I33" s="11"/>
      <c r="J33" s="4"/>
      <c r="K33" s="12">
        <v>0.93</v>
      </c>
      <c r="L33" s="13"/>
      <c r="M33" s="13" t="s">
        <v>333</v>
      </c>
      <c r="N33" s="13" t="s">
        <v>334</v>
      </c>
      <c r="O33" s="13"/>
      <c r="P33" s="14">
        <v>5418</v>
      </c>
      <c r="Q33" s="26">
        <f t="shared" si="0"/>
        <v>2709</v>
      </c>
      <c r="R33" s="26">
        <f t="shared" si="1"/>
        <v>5109</v>
      </c>
      <c r="S33">
        <f t="shared" si="2"/>
        <v>3075</v>
      </c>
    </row>
    <row r="34" spans="1:19" x14ac:dyDescent="0.3">
      <c r="A34" s="1" t="s">
        <v>296</v>
      </c>
      <c r="B34" s="3" t="s">
        <v>329</v>
      </c>
      <c r="C34" s="3" t="s">
        <v>330</v>
      </c>
      <c r="D34" s="3" t="s">
        <v>331</v>
      </c>
      <c r="E34" s="3" t="s">
        <v>342</v>
      </c>
      <c r="F34" s="3"/>
      <c r="G34" s="5">
        <v>260000</v>
      </c>
      <c r="H34" s="5" t="s">
        <v>301</v>
      </c>
      <c r="I34" s="6"/>
      <c r="J34" s="3"/>
      <c r="K34" s="7">
        <v>0.93</v>
      </c>
      <c r="L34" s="8"/>
      <c r="M34" s="8" t="s">
        <v>333</v>
      </c>
      <c r="N34" s="8" t="s">
        <v>334</v>
      </c>
      <c r="O34" s="8"/>
      <c r="P34" s="9">
        <v>5680</v>
      </c>
      <c r="Q34" s="26">
        <f t="shared" si="0"/>
        <v>2840</v>
      </c>
      <c r="R34" s="26">
        <f t="shared" si="1"/>
        <v>5240</v>
      </c>
      <c r="S34">
        <f t="shared" si="2"/>
        <v>3300</v>
      </c>
    </row>
    <row r="35" spans="1:19" x14ac:dyDescent="0.3">
      <c r="A35" s="2" t="s">
        <v>296</v>
      </c>
      <c r="B35" s="4" t="s">
        <v>329</v>
      </c>
      <c r="C35" s="4" t="s">
        <v>330</v>
      </c>
      <c r="D35" s="4" t="s">
        <v>331</v>
      </c>
      <c r="E35" s="4" t="s">
        <v>343</v>
      </c>
      <c r="F35" s="4"/>
      <c r="G35" s="10">
        <v>310000</v>
      </c>
      <c r="H35" s="10" t="s">
        <v>301</v>
      </c>
      <c r="I35" s="11"/>
      <c r="J35" s="4"/>
      <c r="K35" s="12">
        <v>0.93</v>
      </c>
      <c r="L35" s="13"/>
      <c r="M35" s="13" t="s">
        <v>333</v>
      </c>
      <c r="N35" s="13" t="s">
        <v>334</v>
      </c>
      <c r="O35" s="13"/>
      <c r="P35" s="14">
        <v>6450</v>
      </c>
      <c r="Q35" s="26">
        <f t="shared" si="0"/>
        <v>3225</v>
      </c>
      <c r="R35" s="26">
        <f t="shared" si="1"/>
        <v>5625</v>
      </c>
      <c r="S35">
        <f t="shared" si="2"/>
        <v>3550</v>
      </c>
    </row>
    <row r="36" spans="1:19" x14ac:dyDescent="0.3">
      <c r="A36" s="1" t="s">
        <v>296</v>
      </c>
      <c r="B36" s="3" t="s">
        <v>329</v>
      </c>
      <c r="C36" s="3" t="s">
        <v>330</v>
      </c>
      <c r="D36" s="3" t="s">
        <v>331</v>
      </c>
      <c r="E36" s="3" t="s">
        <v>344</v>
      </c>
      <c r="F36" s="3"/>
      <c r="G36" s="5">
        <v>55000</v>
      </c>
      <c r="H36" s="5" t="s">
        <v>301</v>
      </c>
      <c r="I36" s="6"/>
      <c r="J36" s="3"/>
      <c r="K36" s="7">
        <v>0.93</v>
      </c>
      <c r="L36" s="8"/>
      <c r="M36" s="8" t="s">
        <v>333</v>
      </c>
      <c r="N36" s="8" t="s">
        <v>334</v>
      </c>
      <c r="O36" s="8"/>
      <c r="P36" s="9">
        <v>2210</v>
      </c>
      <c r="Q36" s="26">
        <f t="shared" si="0"/>
        <v>1105</v>
      </c>
      <c r="R36" s="26">
        <f t="shared" si="1"/>
        <v>3505</v>
      </c>
      <c r="S36">
        <f t="shared" si="2"/>
        <v>2275</v>
      </c>
    </row>
    <row r="37" spans="1:19" x14ac:dyDescent="0.3">
      <c r="A37" s="2" t="s">
        <v>296</v>
      </c>
      <c r="B37" s="4" t="s">
        <v>329</v>
      </c>
      <c r="C37" s="4" t="s">
        <v>330</v>
      </c>
      <c r="D37" s="4" t="s">
        <v>331</v>
      </c>
      <c r="E37" s="4" t="s">
        <v>345</v>
      </c>
      <c r="F37" s="4"/>
      <c r="G37" s="10">
        <v>65000</v>
      </c>
      <c r="H37" s="10" t="s">
        <v>301</v>
      </c>
      <c r="I37" s="11"/>
      <c r="J37" s="4"/>
      <c r="K37" s="12">
        <v>0.93</v>
      </c>
      <c r="L37" s="13"/>
      <c r="M37" s="13" t="s">
        <v>333</v>
      </c>
      <c r="N37" s="13" t="s">
        <v>334</v>
      </c>
      <c r="O37" s="13"/>
      <c r="P37" s="14">
        <v>2410</v>
      </c>
      <c r="Q37" s="26">
        <f t="shared" si="0"/>
        <v>1205</v>
      </c>
      <c r="R37" s="26">
        <f t="shared" si="1"/>
        <v>3605</v>
      </c>
      <c r="S37">
        <f t="shared" si="2"/>
        <v>2325</v>
      </c>
    </row>
    <row r="38" spans="1:19" x14ac:dyDescent="0.3">
      <c r="A38" s="1" t="s">
        <v>296</v>
      </c>
      <c r="B38" s="3" t="s">
        <v>329</v>
      </c>
      <c r="C38" s="3" t="s">
        <v>330</v>
      </c>
      <c r="D38" s="3" t="s">
        <v>331</v>
      </c>
      <c r="E38" s="3" t="s">
        <v>346</v>
      </c>
      <c r="F38" s="3"/>
      <c r="G38" s="5">
        <v>85000</v>
      </c>
      <c r="H38" s="5" t="s">
        <v>301</v>
      </c>
      <c r="I38" s="6"/>
      <c r="J38" s="3"/>
      <c r="K38" s="7">
        <v>0.93</v>
      </c>
      <c r="L38" s="8"/>
      <c r="M38" s="8" t="s">
        <v>333</v>
      </c>
      <c r="N38" s="8" t="s">
        <v>334</v>
      </c>
      <c r="O38" s="8"/>
      <c r="P38" s="9">
        <v>2940</v>
      </c>
      <c r="Q38" s="26">
        <f t="shared" si="0"/>
        <v>1470</v>
      </c>
      <c r="R38" s="26">
        <f t="shared" si="1"/>
        <v>3870</v>
      </c>
      <c r="S38">
        <f t="shared" si="2"/>
        <v>2425</v>
      </c>
    </row>
    <row r="39" spans="1:19" x14ac:dyDescent="0.3">
      <c r="A39" s="4" t="s">
        <v>296</v>
      </c>
      <c r="B39" s="4" t="s">
        <v>347</v>
      </c>
      <c r="C39" s="4" t="s">
        <v>348</v>
      </c>
      <c r="D39" s="4" t="s">
        <v>349</v>
      </c>
      <c r="E39" s="4" t="s">
        <v>350</v>
      </c>
      <c r="F39" s="4"/>
      <c r="G39" s="19">
        <v>110000</v>
      </c>
      <c r="H39" s="10" t="s">
        <v>301</v>
      </c>
      <c r="I39" s="20"/>
      <c r="J39" s="21"/>
      <c r="K39" s="13">
        <v>0.93</v>
      </c>
      <c r="L39" s="13"/>
      <c r="M39" s="13" t="s">
        <v>333</v>
      </c>
      <c r="N39" s="13" t="s">
        <v>351</v>
      </c>
      <c r="O39" s="13"/>
      <c r="P39" s="14">
        <v>2124</v>
      </c>
      <c r="Q39" s="26">
        <f t="shared" si="0"/>
        <v>1062</v>
      </c>
      <c r="R39" s="26">
        <f t="shared" si="1"/>
        <v>3462</v>
      </c>
      <c r="S39">
        <f t="shared" si="2"/>
        <v>2550</v>
      </c>
    </row>
    <row r="40" spans="1:19" x14ac:dyDescent="0.3">
      <c r="A40" s="3" t="s">
        <v>296</v>
      </c>
      <c r="B40" s="3" t="s">
        <v>347</v>
      </c>
      <c r="C40" s="3" t="s">
        <v>348</v>
      </c>
      <c r="D40" s="3" t="s">
        <v>349</v>
      </c>
      <c r="E40" s="3" t="s">
        <v>352</v>
      </c>
      <c r="F40" s="3"/>
      <c r="G40" s="15">
        <v>130000</v>
      </c>
      <c r="H40" s="5" t="s">
        <v>301</v>
      </c>
      <c r="I40" s="16"/>
      <c r="J40" s="17"/>
      <c r="K40" s="18">
        <v>0.93</v>
      </c>
      <c r="L40" s="8"/>
      <c r="M40" s="8" t="s">
        <v>333</v>
      </c>
      <c r="N40" s="8" t="s">
        <v>351</v>
      </c>
      <c r="O40" s="8"/>
      <c r="P40" s="9">
        <v>4500</v>
      </c>
      <c r="Q40" s="26">
        <f t="shared" si="0"/>
        <v>2250</v>
      </c>
      <c r="R40" s="26">
        <f t="shared" si="1"/>
        <v>4650</v>
      </c>
      <c r="S40">
        <f t="shared" si="2"/>
        <v>2650</v>
      </c>
    </row>
    <row r="41" spans="1:19" x14ac:dyDescent="0.3">
      <c r="A41" s="4" t="s">
        <v>296</v>
      </c>
      <c r="B41" s="4" t="s">
        <v>347</v>
      </c>
      <c r="C41" s="4" t="s">
        <v>348</v>
      </c>
      <c r="D41" s="4" t="s">
        <v>349</v>
      </c>
      <c r="E41" s="4" t="s">
        <v>353</v>
      </c>
      <c r="F41" s="4"/>
      <c r="G41" s="19">
        <v>175000</v>
      </c>
      <c r="H41" s="10" t="s">
        <v>301</v>
      </c>
      <c r="I41" s="20"/>
      <c r="J41" s="21"/>
      <c r="K41" s="22">
        <v>0.91</v>
      </c>
      <c r="L41" s="13"/>
      <c r="M41" s="13" t="s">
        <v>333</v>
      </c>
      <c r="N41" s="13" t="s">
        <v>351</v>
      </c>
      <c r="O41" s="13"/>
      <c r="P41" s="14">
        <v>5000</v>
      </c>
      <c r="Q41" s="26">
        <f t="shared" si="0"/>
        <v>2500</v>
      </c>
      <c r="R41" s="26">
        <f t="shared" si="1"/>
        <v>4900</v>
      </c>
      <c r="S41">
        <f t="shared" si="2"/>
        <v>2875</v>
      </c>
    </row>
    <row r="42" spans="1:19" x14ac:dyDescent="0.3">
      <c r="A42" s="3" t="s">
        <v>296</v>
      </c>
      <c r="B42" s="3" t="s">
        <v>347</v>
      </c>
      <c r="C42" s="3" t="s">
        <v>348</v>
      </c>
      <c r="D42" s="3" t="s">
        <v>349</v>
      </c>
      <c r="E42" s="3" t="s">
        <v>354</v>
      </c>
      <c r="F42" s="3"/>
      <c r="G42" s="15">
        <v>260000</v>
      </c>
      <c r="H42" s="5" t="s">
        <v>301</v>
      </c>
      <c r="I42" s="16"/>
      <c r="J42" s="17"/>
      <c r="K42" s="18">
        <v>0.92</v>
      </c>
      <c r="L42" s="8"/>
      <c r="M42" s="8" t="s">
        <v>333</v>
      </c>
      <c r="N42" s="8" t="s">
        <v>351</v>
      </c>
      <c r="O42" s="8"/>
      <c r="P42" s="9">
        <v>6100</v>
      </c>
      <c r="Q42" s="26">
        <f t="shared" si="0"/>
        <v>3050</v>
      </c>
      <c r="R42" s="26">
        <f t="shared" si="1"/>
        <v>5450</v>
      </c>
      <c r="S42">
        <f t="shared" si="2"/>
        <v>3300</v>
      </c>
    </row>
    <row r="43" spans="1:19" x14ac:dyDescent="0.3">
      <c r="A43" s="4" t="s">
        <v>296</v>
      </c>
      <c r="B43" s="4" t="s">
        <v>347</v>
      </c>
      <c r="C43" s="4" t="s">
        <v>348</v>
      </c>
      <c r="D43" s="4" t="s">
        <v>349</v>
      </c>
      <c r="E43" s="4" t="s">
        <v>355</v>
      </c>
      <c r="F43" s="4"/>
      <c r="G43" s="19">
        <v>305000</v>
      </c>
      <c r="H43" s="10" t="s">
        <v>301</v>
      </c>
      <c r="I43" s="20"/>
      <c r="J43" s="21"/>
      <c r="K43" s="22">
        <v>0.91</v>
      </c>
      <c r="L43" s="13"/>
      <c r="M43" s="13" t="s">
        <v>333</v>
      </c>
      <c r="N43" s="13" t="s">
        <v>351</v>
      </c>
      <c r="O43" s="13"/>
      <c r="P43" s="14">
        <v>7500</v>
      </c>
      <c r="Q43" s="26">
        <f t="shared" si="0"/>
        <v>3750</v>
      </c>
      <c r="R43" s="26">
        <f t="shared" si="1"/>
        <v>6150</v>
      </c>
      <c r="S43">
        <f t="shared" si="2"/>
        <v>3525</v>
      </c>
    </row>
    <row r="44" spans="1:19" x14ac:dyDescent="0.3">
      <c r="A44" s="3" t="s">
        <v>296</v>
      </c>
      <c r="B44" s="3" t="s">
        <v>347</v>
      </c>
      <c r="C44" s="3" t="s">
        <v>348</v>
      </c>
      <c r="D44" s="3" t="s">
        <v>349</v>
      </c>
      <c r="E44" s="3" t="s">
        <v>356</v>
      </c>
      <c r="F44" s="3"/>
      <c r="G44" s="15">
        <v>55000</v>
      </c>
      <c r="H44" s="5" t="s">
        <v>301</v>
      </c>
      <c r="I44" s="16"/>
      <c r="J44" s="17"/>
      <c r="K44" s="8">
        <v>0.93</v>
      </c>
      <c r="L44" s="8"/>
      <c r="M44" s="8" t="s">
        <v>333</v>
      </c>
      <c r="N44" s="8" t="s">
        <v>351</v>
      </c>
      <c r="O44" s="8"/>
      <c r="P44" s="9">
        <v>1310.26</v>
      </c>
      <c r="Q44" s="26">
        <f t="shared" si="0"/>
        <v>655.13</v>
      </c>
      <c r="R44" s="26">
        <f t="shared" si="1"/>
        <v>3055.13</v>
      </c>
      <c r="S44">
        <f t="shared" si="2"/>
        <v>2275</v>
      </c>
    </row>
    <row r="45" spans="1:19" x14ac:dyDescent="0.3">
      <c r="A45" s="4" t="s">
        <v>296</v>
      </c>
      <c r="B45" s="4" t="s">
        <v>347</v>
      </c>
      <c r="C45" s="4" t="s">
        <v>348</v>
      </c>
      <c r="D45" s="4" t="s">
        <v>349</v>
      </c>
      <c r="E45" s="4" t="s">
        <v>357</v>
      </c>
      <c r="F45" s="4"/>
      <c r="G45" s="19">
        <v>85000</v>
      </c>
      <c r="H45" s="10" t="s">
        <v>301</v>
      </c>
      <c r="I45" s="20"/>
      <c r="J45" s="21"/>
      <c r="K45" s="13">
        <v>0.93</v>
      </c>
      <c r="L45" s="13"/>
      <c r="M45" s="13" t="s">
        <v>333</v>
      </c>
      <c r="N45" s="13" t="s">
        <v>351</v>
      </c>
      <c r="O45" s="13"/>
      <c r="P45" s="14">
        <v>1775</v>
      </c>
      <c r="Q45" s="26">
        <f t="shared" si="0"/>
        <v>887.5</v>
      </c>
      <c r="R45" s="26">
        <f t="shared" si="1"/>
        <v>3287.5</v>
      </c>
      <c r="S45">
        <f t="shared" si="2"/>
        <v>2425</v>
      </c>
    </row>
    <row r="46" spans="1:19" x14ac:dyDescent="0.3">
      <c r="A46" s="1" t="s">
        <v>296</v>
      </c>
      <c r="B46" s="3" t="s">
        <v>358</v>
      </c>
      <c r="C46" s="3" t="s">
        <v>349</v>
      </c>
      <c r="D46" s="3" t="s">
        <v>349</v>
      </c>
      <c r="E46" s="3" t="s">
        <v>359</v>
      </c>
      <c r="F46" s="3"/>
      <c r="G46" s="5">
        <v>130000</v>
      </c>
      <c r="H46" s="5" t="s">
        <v>301</v>
      </c>
      <c r="I46" s="6"/>
      <c r="J46" s="3"/>
      <c r="K46" s="7">
        <v>0.93</v>
      </c>
      <c r="L46" s="8"/>
      <c r="M46" s="8" t="s">
        <v>360</v>
      </c>
      <c r="N46" s="8" t="s">
        <v>351</v>
      </c>
      <c r="O46" s="8"/>
      <c r="P46" s="9">
        <v>3730</v>
      </c>
      <c r="Q46" s="26">
        <f t="shared" si="0"/>
        <v>1865</v>
      </c>
      <c r="R46" s="26">
        <f t="shared" si="1"/>
        <v>4265</v>
      </c>
      <c r="S46">
        <f t="shared" si="2"/>
        <v>2650</v>
      </c>
    </row>
    <row r="47" spans="1:19" x14ac:dyDescent="0.3">
      <c r="A47" s="2" t="s">
        <v>296</v>
      </c>
      <c r="B47" s="4" t="s">
        <v>358</v>
      </c>
      <c r="C47" s="4" t="s">
        <v>349</v>
      </c>
      <c r="D47" s="4" t="s">
        <v>349</v>
      </c>
      <c r="E47" s="4" t="s">
        <v>361</v>
      </c>
      <c r="F47" s="4"/>
      <c r="G47" s="10">
        <v>180000</v>
      </c>
      <c r="H47" s="10" t="s">
        <v>301</v>
      </c>
      <c r="I47" s="11"/>
      <c r="J47" s="4"/>
      <c r="K47" s="12">
        <v>0.91</v>
      </c>
      <c r="L47" s="13"/>
      <c r="M47" s="13" t="s">
        <v>360</v>
      </c>
      <c r="N47" s="13" t="s">
        <v>351</v>
      </c>
      <c r="O47" s="13"/>
      <c r="P47" s="14">
        <v>4100</v>
      </c>
      <c r="Q47" s="26">
        <f t="shared" si="0"/>
        <v>2050</v>
      </c>
      <c r="R47" s="26">
        <f t="shared" si="1"/>
        <v>4450</v>
      </c>
      <c r="S47">
        <f t="shared" si="2"/>
        <v>2900</v>
      </c>
    </row>
    <row r="48" spans="1:19" x14ac:dyDescent="0.3">
      <c r="A48" s="1" t="s">
        <v>296</v>
      </c>
      <c r="B48" s="3" t="s">
        <v>358</v>
      </c>
      <c r="C48" s="3" t="s">
        <v>349</v>
      </c>
      <c r="D48" s="3" t="s">
        <v>349</v>
      </c>
      <c r="E48" s="3" t="s">
        <v>362</v>
      </c>
      <c r="F48" s="3"/>
      <c r="G48" s="5">
        <v>260000</v>
      </c>
      <c r="H48" s="5" t="s">
        <v>301</v>
      </c>
      <c r="I48" s="6"/>
      <c r="J48" s="3"/>
      <c r="K48" s="7">
        <v>0.92</v>
      </c>
      <c r="L48" s="8"/>
      <c r="M48" s="8" t="s">
        <v>360</v>
      </c>
      <c r="N48" s="8" t="s">
        <v>351</v>
      </c>
      <c r="O48" s="8"/>
      <c r="P48" s="9">
        <v>5190</v>
      </c>
      <c r="Q48" s="26">
        <f t="shared" si="0"/>
        <v>2595</v>
      </c>
      <c r="R48" s="26">
        <f t="shared" si="1"/>
        <v>4995</v>
      </c>
      <c r="S48">
        <f t="shared" si="2"/>
        <v>3300</v>
      </c>
    </row>
    <row r="49" spans="1:19" x14ac:dyDescent="0.3">
      <c r="A49" s="2" t="s">
        <v>296</v>
      </c>
      <c r="B49" s="4" t="s">
        <v>358</v>
      </c>
      <c r="C49" s="4" t="s">
        <v>349</v>
      </c>
      <c r="D49" s="4" t="s">
        <v>349</v>
      </c>
      <c r="E49" s="4" t="s">
        <v>363</v>
      </c>
      <c r="F49" s="4"/>
      <c r="G49" s="10">
        <v>310000</v>
      </c>
      <c r="H49" s="10" t="s">
        <v>301</v>
      </c>
      <c r="I49" s="11"/>
      <c r="J49" s="4"/>
      <c r="K49" s="12">
        <v>0.91</v>
      </c>
      <c r="L49" s="13"/>
      <c r="M49" s="13" t="s">
        <v>360</v>
      </c>
      <c r="N49" s="13" t="s">
        <v>351</v>
      </c>
      <c r="O49" s="13"/>
      <c r="P49" s="14">
        <v>6390</v>
      </c>
      <c r="Q49" s="26">
        <f t="shared" si="0"/>
        <v>3195</v>
      </c>
      <c r="R49" s="26">
        <f t="shared" si="1"/>
        <v>5595</v>
      </c>
      <c r="S49">
        <f t="shared" si="2"/>
        <v>3550</v>
      </c>
    </row>
    <row r="50" spans="1:19" x14ac:dyDescent="0.3">
      <c r="A50" s="3" t="s">
        <v>296</v>
      </c>
      <c r="B50" s="3" t="s">
        <v>364</v>
      </c>
      <c r="C50" s="3" t="s">
        <v>364</v>
      </c>
      <c r="D50" s="3" t="s">
        <v>364</v>
      </c>
      <c r="E50" s="3" t="s">
        <v>365</v>
      </c>
      <c r="F50" s="3"/>
      <c r="G50" s="15">
        <v>100000</v>
      </c>
      <c r="H50" s="5" t="s">
        <v>301</v>
      </c>
      <c r="I50" s="16"/>
      <c r="J50" s="17"/>
      <c r="K50" s="18">
        <v>0.95499999999999996</v>
      </c>
      <c r="L50" s="8"/>
      <c r="M50" s="8" t="s">
        <v>366</v>
      </c>
      <c r="N50" s="8" t="s">
        <v>303</v>
      </c>
      <c r="O50" s="8"/>
      <c r="P50" s="9">
        <v>5015</v>
      </c>
      <c r="Q50" s="26">
        <f t="shared" si="0"/>
        <v>2507.5</v>
      </c>
      <c r="R50" s="26">
        <f t="shared" si="1"/>
        <v>4907.5</v>
      </c>
      <c r="S50">
        <f t="shared" si="2"/>
        <v>2500</v>
      </c>
    </row>
    <row r="51" spans="1:19" x14ac:dyDescent="0.3">
      <c r="A51" s="4" t="s">
        <v>296</v>
      </c>
      <c r="B51" s="4" t="s">
        <v>364</v>
      </c>
      <c r="C51" s="4" t="s">
        <v>364</v>
      </c>
      <c r="D51" s="4" t="s">
        <v>364</v>
      </c>
      <c r="E51" s="4" t="s">
        <v>367</v>
      </c>
      <c r="F51" s="4"/>
      <c r="G51" s="19">
        <v>120000</v>
      </c>
      <c r="H51" s="10" t="s">
        <v>301</v>
      </c>
      <c r="I51" s="20"/>
      <c r="J51" s="21"/>
      <c r="K51" s="22">
        <v>0.95199999999999996</v>
      </c>
      <c r="L51" s="13"/>
      <c r="M51" s="13" t="s">
        <v>366</v>
      </c>
      <c r="N51" s="13" t="s">
        <v>303</v>
      </c>
      <c r="O51" s="13"/>
      <c r="P51" s="14">
        <v>5240</v>
      </c>
      <c r="Q51" s="26">
        <f t="shared" si="0"/>
        <v>2620</v>
      </c>
      <c r="R51" s="26">
        <f t="shared" si="1"/>
        <v>5020</v>
      </c>
      <c r="S51">
        <f t="shared" si="2"/>
        <v>2600</v>
      </c>
    </row>
    <row r="52" spans="1:19" x14ac:dyDescent="0.3">
      <c r="A52" s="3" t="s">
        <v>296</v>
      </c>
      <c r="B52" s="3" t="s">
        <v>364</v>
      </c>
      <c r="C52" s="3" t="s">
        <v>364</v>
      </c>
      <c r="D52" s="3" t="s">
        <v>364</v>
      </c>
      <c r="E52" s="3" t="s">
        <v>368</v>
      </c>
      <c r="F52" s="3"/>
      <c r="G52" s="15">
        <v>120000</v>
      </c>
      <c r="H52" s="5" t="s">
        <v>301</v>
      </c>
      <c r="I52" s="16"/>
      <c r="J52" s="17"/>
      <c r="K52" s="18">
        <v>0.95</v>
      </c>
      <c r="L52" s="8"/>
      <c r="M52" s="8" t="s">
        <v>366</v>
      </c>
      <c r="N52" s="8" t="s">
        <v>303</v>
      </c>
      <c r="O52" s="8"/>
      <c r="P52" s="9">
        <v>5600</v>
      </c>
      <c r="Q52" s="26">
        <f t="shared" si="0"/>
        <v>2800</v>
      </c>
      <c r="R52" s="26">
        <f t="shared" si="1"/>
        <v>5200</v>
      </c>
      <c r="S52">
        <f t="shared" si="2"/>
        <v>2600</v>
      </c>
    </row>
    <row r="53" spans="1:19" x14ac:dyDescent="0.3">
      <c r="A53" s="4" t="s">
        <v>296</v>
      </c>
      <c r="B53" s="4" t="s">
        <v>364</v>
      </c>
      <c r="C53" s="4" t="s">
        <v>364</v>
      </c>
      <c r="D53" s="4" t="s">
        <v>364</v>
      </c>
      <c r="E53" s="4" t="s">
        <v>369</v>
      </c>
      <c r="F53" s="4"/>
      <c r="G53" s="19">
        <v>150000</v>
      </c>
      <c r="H53" s="10" t="s">
        <v>301</v>
      </c>
      <c r="I53" s="20"/>
      <c r="J53" s="21"/>
      <c r="K53" s="22">
        <v>0.95499999999999996</v>
      </c>
      <c r="L53" s="13"/>
      <c r="M53" s="13" t="s">
        <v>366</v>
      </c>
      <c r="N53" s="13" t="s">
        <v>303</v>
      </c>
      <c r="O53" s="13"/>
      <c r="P53" s="14">
        <v>5765</v>
      </c>
      <c r="Q53" s="26">
        <f t="shared" si="0"/>
        <v>2882.5</v>
      </c>
      <c r="R53" s="26">
        <f t="shared" si="1"/>
        <v>5282.5</v>
      </c>
      <c r="S53">
        <f t="shared" si="2"/>
        <v>2750</v>
      </c>
    </row>
    <row r="54" spans="1:19" x14ac:dyDescent="0.3">
      <c r="A54" s="3" t="s">
        <v>296</v>
      </c>
      <c r="B54" s="3" t="s">
        <v>364</v>
      </c>
      <c r="C54" s="3" t="s">
        <v>364</v>
      </c>
      <c r="D54" s="3" t="s">
        <v>364</v>
      </c>
      <c r="E54" s="3" t="s">
        <v>370</v>
      </c>
      <c r="F54" s="3"/>
      <c r="G54" s="15">
        <v>180000</v>
      </c>
      <c r="H54" s="5" t="s">
        <v>301</v>
      </c>
      <c r="I54" s="16"/>
      <c r="J54" s="17"/>
      <c r="K54" s="18">
        <v>0.95199999999999996</v>
      </c>
      <c r="L54" s="8"/>
      <c r="M54" s="8" t="s">
        <v>366</v>
      </c>
      <c r="N54" s="8" t="s">
        <v>303</v>
      </c>
      <c r="O54" s="8"/>
      <c r="P54" s="9">
        <v>6205</v>
      </c>
      <c r="Q54" s="26">
        <f t="shared" si="0"/>
        <v>3102.5</v>
      </c>
      <c r="R54" s="26">
        <f t="shared" si="1"/>
        <v>5502.5</v>
      </c>
      <c r="S54">
        <f t="shared" si="2"/>
        <v>2900</v>
      </c>
    </row>
    <row r="55" spans="1:19" x14ac:dyDescent="0.3">
      <c r="A55" s="4" t="s">
        <v>296</v>
      </c>
      <c r="B55" s="4" t="s">
        <v>364</v>
      </c>
      <c r="C55" s="4" t="s">
        <v>364</v>
      </c>
      <c r="D55" s="4" t="s">
        <v>364</v>
      </c>
      <c r="E55" s="4" t="s">
        <v>371</v>
      </c>
      <c r="F55" s="4"/>
      <c r="G55" s="19">
        <v>180000</v>
      </c>
      <c r="H55" s="10" t="s">
        <v>301</v>
      </c>
      <c r="I55" s="20"/>
      <c r="J55" s="21"/>
      <c r="K55" s="22">
        <v>0.95299999999999996</v>
      </c>
      <c r="L55" s="13"/>
      <c r="M55" s="13" t="s">
        <v>366</v>
      </c>
      <c r="N55" s="13" t="s">
        <v>303</v>
      </c>
      <c r="O55" s="13"/>
      <c r="P55" s="14">
        <v>6500</v>
      </c>
      <c r="Q55" s="26">
        <f t="shared" si="0"/>
        <v>3250</v>
      </c>
      <c r="R55" s="26">
        <f t="shared" si="1"/>
        <v>5650</v>
      </c>
      <c r="S55">
        <f t="shared" si="2"/>
        <v>2900</v>
      </c>
    </row>
    <row r="56" spans="1:19" x14ac:dyDescent="0.3">
      <c r="A56" s="3" t="s">
        <v>296</v>
      </c>
      <c r="B56" s="3" t="s">
        <v>364</v>
      </c>
      <c r="C56" s="3" t="s">
        <v>364</v>
      </c>
      <c r="D56" s="3" t="s">
        <v>364</v>
      </c>
      <c r="E56" s="3" t="s">
        <v>372</v>
      </c>
      <c r="F56" s="3"/>
      <c r="G56" s="15">
        <v>295000</v>
      </c>
      <c r="H56" s="5" t="s">
        <v>301</v>
      </c>
      <c r="I56" s="16"/>
      <c r="J56" s="17"/>
      <c r="K56" s="18">
        <v>0.95099999999999996</v>
      </c>
      <c r="L56" s="8"/>
      <c r="M56" s="8" t="s">
        <v>366</v>
      </c>
      <c r="N56" s="8" t="s">
        <v>303</v>
      </c>
      <c r="O56" s="8"/>
      <c r="P56" s="9">
        <v>12355</v>
      </c>
      <c r="Q56" s="26">
        <f t="shared" si="0"/>
        <v>6177.5</v>
      </c>
      <c r="R56" s="26">
        <f t="shared" si="1"/>
        <v>8577.5</v>
      </c>
      <c r="S56">
        <f t="shared" si="2"/>
        <v>3475</v>
      </c>
    </row>
    <row r="57" spans="1:19" x14ac:dyDescent="0.3">
      <c r="A57" s="4" t="s">
        <v>296</v>
      </c>
      <c r="B57" s="4" t="s">
        <v>364</v>
      </c>
      <c r="C57" s="4" t="s">
        <v>364</v>
      </c>
      <c r="D57" s="4" t="s">
        <v>364</v>
      </c>
      <c r="E57" s="4" t="s">
        <v>373</v>
      </c>
      <c r="F57" s="4"/>
      <c r="G57" s="19">
        <v>396000</v>
      </c>
      <c r="H57" s="10" t="s">
        <v>301</v>
      </c>
      <c r="I57" s="20"/>
      <c r="J57" s="21"/>
      <c r="K57" s="22">
        <v>0.95499999999999996</v>
      </c>
      <c r="L57" s="13"/>
      <c r="M57" s="13" t="s">
        <v>366</v>
      </c>
      <c r="N57" s="13" t="s">
        <v>303</v>
      </c>
      <c r="O57" s="13"/>
      <c r="P57" s="14">
        <v>14770</v>
      </c>
      <c r="Q57" s="26">
        <f t="shared" si="0"/>
        <v>7385</v>
      </c>
      <c r="R57" s="26">
        <f t="shared" si="1"/>
        <v>9785</v>
      </c>
      <c r="S57">
        <f t="shared" si="2"/>
        <v>3980</v>
      </c>
    </row>
    <row r="58" spans="1:19" x14ac:dyDescent="0.3">
      <c r="A58" s="3" t="s">
        <v>296</v>
      </c>
      <c r="B58" s="3" t="s">
        <v>364</v>
      </c>
      <c r="C58" s="3" t="s">
        <v>364</v>
      </c>
      <c r="D58" s="3" t="s">
        <v>364</v>
      </c>
      <c r="E58" s="3" t="s">
        <v>374</v>
      </c>
      <c r="F58" s="3"/>
      <c r="G58" s="15">
        <v>500000</v>
      </c>
      <c r="H58" s="5" t="s">
        <v>301</v>
      </c>
      <c r="I58" s="16"/>
      <c r="J58" s="17"/>
      <c r="K58" s="18">
        <v>0.95099999999999996</v>
      </c>
      <c r="L58" s="8"/>
      <c r="M58" s="8" t="s">
        <v>366</v>
      </c>
      <c r="N58" s="8" t="s">
        <v>303</v>
      </c>
      <c r="O58" s="8"/>
      <c r="P58" s="9">
        <v>20170</v>
      </c>
      <c r="Q58" s="26">
        <f t="shared" si="0"/>
        <v>10085</v>
      </c>
      <c r="R58" s="26">
        <f t="shared" si="1"/>
        <v>12485</v>
      </c>
      <c r="S58">
        <f t="shared" si="2"/>
        <v>4500</v>
      </c>
    </row>
    <row r="59" spans="1:19" x14ac:dyDescent="0.3">
      <c r="A59" s="4" t="s">
        <v>296</v>
      </c>
      <c r="B59" s="4" t="s">
        <v>364</v>
      </c>
      <c r="C59" s="4" t="s">
        <v>364</v>
      </c>
      <c r="D59" s="4" t="s">
        <v>364</v>
      </c>
      <c r="E59" s="4" t="s">
        <v>375</v>
      </c>
      <c r="F59" s="4"/>
      <c r="G59" s="19">
        <v>80000</v>
      </c>
      <c r="H59" s="10" t="s">
        <v>301</v>
      </c>
      <c r="I59" s="20"/>
      <c r="J59" s="21"/>
      <c r="K59" s="22">
        <v>0.95699999999999996</v>
      </c>
      <c r="L59" s="13"/>
      <c r="M59" s="13" t="s">
        <v>366</v>
      </c>
      <c r="N59" s="13" t="s">
        <v>303</v>
      </c>
      <c r="O59" s="13"/>
      <c r="P59" s="14">
        <v>5005</v>
      </c>
      <c r="Q59" s="26">
        <f t="shared" si="0"/>
        <v>2502.5</v>
      </c>
      <c r="R59" s="26">
        <f t="shared" si="1"/>
        <v>4902.5</v>
      </c>
      <c r="S59">
        <f t="shared" si="2"/>
        <v>2400</v>
      </c>
    </row>
    <row r="60" spans="1:19" x14ac:dyDescent="0.3">
      <c r="A60" s="3" t="s">
        <v>296</v>
      </c>
      <c r="B60" s="3" t="s">
        <v>364</v>
      </c>
      <c r="C60" s="3" t="s">
        <v>364</v>
      </c>
      <c r="D60" s="3" t="s">
        <v>364</v>
      </c>
      <c r="E60" s="3" t="s">
        <v>376</v>
      </c>
      <c r="F60" s="3"/>
      <c r="G60" s="15">
        <v>90000</v>
      </c>
      <c r="H60" s="5" t="s">
        <v>301</v>
      </c>
      <c r="I60" s="16"/>
      <c r="J60" s="17"/>
      <c r="K60" s="18">
        <v>0.95699999999999996</v>
      </c>
      <c r="L60" s="8"/>
      <c r="M60" s="8" t="s">
        <v>366</v>
      </c>
      <c r="N60" s="8" t="s">
        <v>303</v>
      </c>
      <c r="O60" s="8"/>
      <c r="P60" s="9">
        <v>5010</v>
      </c>
      <c r="Q60" s="26">
        <f t="shared" si="0"/>
        <v>2505</v>
      </c>
      <c r="R60" s="26">
        <f t="shared" si="1"/>
        <v>4905</v>
      </c>
      <c r="S60">
        <f t="shared" si="2"/>
        <v>2450</v>
      </c>
    </row>
    <row r="61" spans="1:19" x14ac:dyDescent="0.3">
      <c r="A61" s="4" t="s">
        <v>296</v>
      </c>
      <c r="B61" s="4" t="s">
        <v>377</v>
      </c>
      <c r="C61" s="4" t="s">
        <v>378</v>
      </c>
      <c r="D61" s="4" t="s">
        <v>379</v>
      </c>
      <c r="E61" s="4" t="s">
        <v>380</v>
      </c>
      <c r="F61" s="4"/>
      <c r="G61" s="19">
        <v>114000</v>
      </c>
      <c r="H61" s="10" t="s">
        <v>301</v>
      </c>
      <c r="I61" s="20"/>
      <c r="J61" s="21"/>
      <c r="K61" s="22">
        <v>0.96040000000000003</v>
      </c>
      <c r="L61" s="13"/>
      <c r="M61" s="13" t="s">
        <v>302</v>
      </c>
      <c r="N61" s="13" t="s">
        <v>303</v>
      </c>
      <c r="O61" s="13"/>
      <c r="P61" s="14">
        <v>2400</v>
      </c>
      <c r="Q61" s="26">
        <f t="shared" si="0"/>
        <v>1200</v>
      </c>
      <c r="R61" s="26">
        <f t="shared" si="1"/>
        <v>3600</v>
      </c>
      <c r="S61">
        <f t="shared" si="2"/>
        <v>2570</v>
      </c>
    </row>
    <row r="62" spans="1:19" x14ac:dyDescent="0.3">
      <c r="A62" s="3" t="s">
        <v>296</v>
      </c>
      <c r="B62" s="3" t="s">
        <v>377</v>
      </c>
      <c r="C62" s="3" t="s">
        <v>378</v>
      </c>
      <c r="D62" s="3" t="s">
        <v>379</v>
      </c>
      <c r="E62" s="3" t="s">
        <v>381</v>
      </c>
      <c r="F62" s="3"/>
      <c r="G62" s="15">
        <v>151000</v>
      </c>
      <c r="H62" s="5" t="s">
        <v>301</v>
      </c>
      <c r="I62" s="16"/>
      <c r="J62" s="17"/>
      <c r="K62" s="18">
        <v>0.95760000000000001</v>
      </c>
      <c r="L62" s="8"/>
      <c r="M62" s="8" t="s">
        <v>302</v>
      </c>
      <c r="N62" s="8" t="s">
        <v>303</v>
      </c>
      <c r="O62" s="8"/>
      <c r="P62" s="9">
        <v>2775</v>
      </c>
      <c r="Q62" s="26">
        <f t="shared" si="0"/>
        <v>1387.5</v>
      </c>
      <c r="R62" s="26">
        <f t="shared" si="1"/>
        <v>3787.5</v>
      </c>
      <c r="S62">
        <f t="shared" si="2"/>
        <v>2755</v>
      </c>
    </row>
    <row r="63" spans="1:19" x14ac:dyDescent="0.3">
      <c r="A63" s="4" t="s">
        <v>296</v>
      </c>
      <c r="B63" s="4" t="s">
        <v>377</v>
      </c>
      <c r="C63" s="4" t="s">
        <v>378</v>
      </c>
      <c r="D63" s="4" t="s">
        <v>379</v>
      </c>
      <c r="E63" s="4" t="s">
        <v>382</v>
      </c>
      <c r="F63" s="4"/>
      <c r="G63" s="19">
        <v>189000</v>
      </c>
      <c r="H63" s="10" t="s">
        <v>301</v>
      </c>
      <c r="I63" s="20"/>
      <c r="J63" s="21"/>
      <c r="K63" s="22">
        <v>0.96689999999999998</v>
      </c>
      <c r="L63" s="13"/>
      <c r="M63" s="13" t="s">
        <v>302</v>
      </c>
      <c r="N63" s="13" t="s">
        <v>303</v>
      </c>
      <c r="O63" s="13"/>
      <c r="P63" s="14">
        <v>3125</v>
      </c>
      <c r="Q63" s="26">
        <f t="shared" si="0"/>
        <v>1562.5</v>
      </c>
      <c r="R63" s="26">
        <f t="shared" si="1"/>
        <v>3962.5</v>
      </c>
      <c r="S63">
        <f t="shared" si="2"/>
        <v>2945</v>
      </c>
    </row>
    <row r="64" spans="1:19" x14ac:dyDescent="0.3">
      <c r="A64" s="3" t="s">
        <v>296</v>
      </c>
      <c r="B64" s="3" t="s">
        <v>377</v>
      </c>
      <c r="C64" s="3" t="s">
        <v>378</v>
      </c>
      <c r="D64" s="3" t="s">
        <v>379</v>
      </c>
      <c r="E64" s="3" t="s">
        <v>383</v>
      </c>
      <c r="F64" s="3"/>
      <c r="G64" s="15">
        <v>227000</v>
      </c>
      <c r="H64" s="5" t="s">
        <v>301</v>
      </c>
      <c r="I64" s="16"/>
      <c r="J64" s="17"/>
      <c r="K64" s="18">
        <v>0.9546</v>
      </c>
      <c r="L64" s="8"/>
      <c r="M64" s="8" t="s">
        <v>302</v>
      </c>
      <c r="N64" s="8" t="s">
        <v>303</v>
      </c>
      <c r="O64" s="8"/>
      <c r="P64" s="9">
        <v>3475</v>
      </c>
      <c r="Q64" s="26">
        <f t="shared" si="0"/>
        <v>1737.5</v>
      </c>
      <c r="R64" s="26">
        <f t="shared" si="1"/>
        <v>4137.5</v>
      </c>
      <c r="S64">
        <f t="shared" si="2"/>
        <v>3135</v>
      </c>
    </row>
    <row r="65" spans="1:19" x14ac:dyDescent="0.3">
      <c r="A65" s="4" t="s">
        <v>296</v>
      </c>
      <c r="B65" s="4" t="s">
        <v>377</v>
      </c>
      <c r="C65" s="4" t="s">
        <v>378</v>
      </c>
      <c r="D65" s="4" t="s">
        <v>379</v>
      </c>
      <c r="E65" s="4" t="s">
        <v>384</v>
      </c>
      <c r="F65" s="4"/>
      <c r="G65" s="19">
        <v>47000</v>
      </c>
      <c r="H65" s="10" t="s">
        <v>301</v>
      </c>
      <c r="I65" s="20"/>
      <c r="J65" s="21"/>
      <c r="K65" s="22">
        <v>0.9526</v>
      </c>
      <c r="L65" s="13"/>
      <c r="M65" s="13" t="s">
        <v>302</v>
      </c>
      <c r="N65" s="13" t="s">
        <v>303</v>
      </c>
      <c r="O65" s="13"/>
      <c r="P65" s="14">
        <v>1900</v>
      </c>
      <c r="Q65" s="26">
        <f t="shared" si="0"/>
        <v>950</v>
      </c>
      <c r="R65" s="26">
        <f t="shared" si="1"/>
        <v>3350</v>
      </c>
      <c r="S65">
        <f t="shared" si="2"/>
        <v>2235</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5C5755661E634A8D8AD65236E50D23" ma:contentTypeVersion="13" ma:contentTypeDescription="Crée un document." ma:contentTypeScope="" ma:versionID="e1563018f59808232357633ac98f1cbe">
  <xsd:schema xmlns:xsd="http://www.w3.org/2001/XMLSchema" xmlns:xs="http://www.w3.org/2001/XMLSchema" xmlns:p="http://schemas.microsoft.com/office/2006/metadata/properties" xmlns:ns2="dcd6b121-3296-49b0-9919-12643eb87564" xmlns:ns3="035a76b4-c220-4e35-93f0-ae3a84c709cc" targetNamespace="http://schemas.microsoft.com/office/2006/metadata/properties" ma:root="true" ma:fieldsID="ac8f43f04110b5e0bfcd594d0c4729d1" ns2:_="" ns3:_="">
    <xsd:import namespace="dcd6b121-3296-49b0-9919-12643eb87564"/>
    <xsd:import namespace="035a76b4-c220-4e35-93f0-ae3a84c709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6b121-3296-49b0-9919-12643eb87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BillingMetadata" ma:index="11" nillable="true" ma:displayName="MediaServiceBillingMetadata" ma:hidden="true" ma:internalName="MediaServiceBilling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a76b4-c220-4e35-93f0-ae3a84c709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08a3f6f-f244-44d5-865c-7668bd1bfdc6}" ma:internalName="TaxCatchAll" ma:showField="CatchAllData" ma:web="035a76b4-c220-4e35-93f0-ae3a84c70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35a76b4-c220-4e35-93f0-ae3a84c709cc" xsi:nil="true"/>
    <lcf76f155ced4ddcb4097134ff3c332f xmlns="dcd6b121-3296-49b0-9919-12643eb8756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66B5C43-7AF8-413F-A70E-1D83603ECB90}"/>
</file>

<file path=customXml/itemProps2.xml><?xml version="1.0" encoding="utf-8"?>
<ds:datastoreItem xmlns:ds="http://schemas.openxmlformats.org/officeDocument/2006/customXml" ds:itemID="{12943C46-67D2-4F0D-858A-7F3F960AA643}">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b671e4ae-b606-4664-94ca-33f4e1ee5c43"/>
    <ds:schemaRef ds:uri="http://purl.org/dc/elements/1.1/"/>
  </ds:schemaRefs>
</ds:datastoreItem>
</file>

<file path=customXml/itemProps3.xml><?xml version="1.0" encoding="utf-8"?>
<ds:datastoreItem xmlns:ds="http://schemas.openxmlformats.org/officeDocument/2006/customXml" ds:itemID="{0F817A56-675A-4337-858E-83785317CF7F}">
  <ds:schemaRefs>
    <ds:schemaRef ds:uri="http://schemas.microsoft.com/sharepoint/v3/contenttype/forms"/>
  </ds:schemaRefs>
</ds:datastoreItem>
</file>

<file path=customXml/itemProps4.xml><?xml version="1.0" encoding="utf-8"?>
<ds:datastoreItem xmlns:ds="http://schemas.openxmlformats.org/officeDocument/2006/customXml" ds:itemID="{C05F1B46-EC75-452C-9045-E0F153D28A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Guide d'utilisation</vt:lpstr>
      <vt:lpstr>Calculateur</vt:lpstr>
      <vt:lpstr>Outil V3</vt:lpstr>
      <vt:lpstr>Instructions</vt:lpstr>
      <vt:lpstr>Prix GN</vt:lpstr>
      <vt:lpstr>Économies réelles</vt:lpstr>
      <vt:lpstr>Validation</vt:lpstr>
      <vt:lpstr>Courbe</vt:lpstr>
      <vt:lpstr>Instructions!Aérotherme</vt:lpstr>
      <vt:lpstr>Controle</vt:lpstr>
      <vt:lpstr>Instructions!Infrarouge</vt:lpstr>
      <vt:lpstr>InfrarougeListe</vt:lpstr>
      <vt:lpstr>NA</vt:lpstr>
      <vt:lpstr>StandardListe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Dubois Stéphanie</dc:creator>
  <cp:keywords/>
  <dc:description/>
  <cp:lastModifiedBy>Ye Bernard</cp:lastModifiedBy>
  <cp:revision/>
  <dcterms:created xsi:type="dcterms:W3CDTF">2023-11-06T20:06:01Z</dcterms:created>
  <dcterms:modified xsi:type="dcterms:W3CDTF">2025-08-04T18:08:09Z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0x010100585C5755661E634A8D8AD65236E50D23</vt:lpwstr>
  </property>
  <property fmtid="{D5CDD505-2E9C-101B-9397-08002B2CF9AE}" pid="3" name="MediaServiceImageTags">
    <vt:lpwstr/>
  </property>
</Properties>
</file>