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drawings/drawing4.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energir.sharepoint.com/sites/APPR-Equipe-Developpement-offre-de-programmes-tapedeconceptionprogramme/Documents partages/Documents utiles pour la conception de programme/Suivi des recommandations - Mandats d'évaluations/"/>
    </mc:Choice>
  </mc:AlternateContent>
  <xr:revisionPtr revIDLastSave="351" documentId="8_{EDB20E3D-7405-46CA-8E00-60A4F6F79970}" xr6:coauthVersionLast="47" xr6:coauthVersionMax="47" xr10:uidLastSave="{94C2FCC8-2B79-452F-A584-807C3A60B465}"/>
  <bookViews>
    <workbookView xWindow="-108" yWindow="-108" windowWidth="23256" windowHeight="12456" tabRatio="693" activeTab="1" xr2:uid="{0864FF69-0274-4C78-9844-FAD5E0587146}"/>
  </bookViews>
  <sheets>
    <sheet name="Guide d'utilisation" sheetId="29" r:id="rId1"/>
    <sheet name="Calculateur" sheetId="26" r:id="rId2"/>
    <sheet name="Outil V3" sheetId="33" state="hidden" r:id="rId3"/>
    <sheet name="Instructions" sheetId="34" state="hidden" r:id="rId4"/>
    <sheet name="Prix GN" sheetId="27" state="hidden" r:id="rId5"/>
    <sheet name="Économies réelles" sheetId="31" state="hidden" r:id="rId6"/>
    <sheet name="Validation" sheetId="32" state="hidden" r:id="rId7"/>
    <sheet name="Courbe" sheetId="20"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ccèsDonnéesIntang">[1]!AccèsIntangibles</definedName>
    <definedName name="AccèsDonnéesTang">[1]!AccèsTangibles</definedName>
    <definedName name="aDADF">'[2]Rapport suivi et implantation'!#REF!</definedName>
    <definedName name="Aérotherme" localSheetId="3">Instructions!$G$9:$G$10</definedName>
    <definedName name="Aérotherme">#REF!</definedName>
    <definedName name="afe">[3]!BudgetsSupAdmAn1</definedName>
    <definedName name="AnnéeDépart">[1]!AnnéeDépart</definedName>
    <definedName name="AnnéeSCGM">[1]!AnnéeSCGM</definedName>
    <definedName name="BénéfBonus">[4]Bonus!$D$18</definedName>
    <definedName name="Bonus">[4]Bonus!$D$19</definedName>
    <definedName name="Budgets">[1]!Budgets</definedName>
    <definedName name="BudgetsPICAn1">[1]!BudgetsPICAn1</definedName>
    <definedName name="BudgetsPICAn2">[1]!BudgetsPICAn2</definedName>
    <definedName name="BudgetsPICAn3">[1]!BudgetsPICAn3</definedName>
    <definedName name="BudgetsPICPlan">[1]!BudgetsPICPlan</definedName>
    <definedName name="BudgetsPIRAn1">[1]!BudgetsPIRAn1</definedName>
    <definedName name="BudgetsPIRAn2">[1]!BudgetsPIRAn2</definedName>
    <definedName name="BudgetsPIRAn3">[1]!BudgetsPIRAn3</definedName>
    <definedName name="BudgetsPIRPlan">[1]!BudgetsPIRPlan</definedName>
    <definedName name="BudgetsPTCAn1">[1]!BudgetsPTCAn1</definedName>
    <definedName name="BudgetsPTCAn2">[1]!BudgetsPTCAn2</definedName>
    <definedName name="BudgetsPTCAn3">[1]!BudgetsPTCAn3</definedName>
    <definedName name="BudgetsPTCPlan">[1]!BudgetsPTCPlan</definedName>
    <definedName name="BudgetsPTRAn1">[1]!BudgetsPTRAn1</definedName>
    <definedName name="BudgetsPTRAn2">[1]!BudgetsPTRAn2</definedName>
    <definedName name="BudgetsPTRAn3">[1]!BudgetsPTRAn3</definedName>
    <definedName name="BudgetsPTRPlan">[1]!BudgetsPTRPlan</definedName>
    <definedName name="BudgetsPTVAn1">[1]!BudgetsPTVAn1</definedName>
    <definedName name="BudgetsPTVAn2">[1]!BudgetsPTVAn2</definedName>
    <definedName name="BudgetsPTVAn3">[1]!BudgetsPTVAn3</definedName>
    <definedName name="BudgetsPTVPlan">[1]!BudgetsPTVPlan</definedName>
    <definedName name="BudgetsSupAdmAn1">[1]!BudgetsSupAdmAn1</definedName>
    <definedName name="BudgetsSupAdmAn2">[1]!BudgetsSupAdmAn2</definedName>
    <definedName name="BudgetsSupAdmAn3">[1]!BudgetsSupAdmAn3</definedName>
    <definedName name="CDSAFD">[5]!ProgTangiblesRés</definedName>
    <definedName name="ComposantesGES">[1]!ComposantesGES</definedName>
    <definedName name="Controle">Instructions!$O$7:$S$7</definedName>
    <definedName name="ContrôleColonnes">#REF!</definedName>
    <definedName name="ContrôleColonnesBudgets">'[2]Répartition des budgets du plan'!$L$17:$AI$17</definedName>
    <definedName name="ContrôleColonnesComparatifs">'[2]Comparatif de tests'!$J$20:$AE$20</definedName>
    <definedName name="ContrôleColonnesRécap">'[2]Récapitulatif financier'!$L$20:$BD$20</definedName>
    <definedName name="ContrôleRangées">#REF!</definedName>
    <definedName name="ContrôleRangéesPRI">[2]PRI!$D$25:$D$87</definedName>
    <definedName name="ContrôleRangéesProgrammesBudgets">'[2]Répartition des budgets du plan'!$D$26:$D$147</definedName>
    <definedName name="ContrôleRangéesProgrammesCachée" xml:space="preserve"> '[2]Feuille cachée!'!$D$12:$D$121</definedName>
    <definedName name="ContrôleRangéesProgrammesComparatifs">'[2]Comparatif de tests'!$D$30:$D$95</definedName>
    <definedName name="ContrôleRangéesProgrammesImpact">#REF!</definedName>
    <definedName name="ContrôleRangéesProgrammesRatio">'[2]Économies unitaires'!$D$24:$D$88</definedName>
    <definedName name="ContrôleRangéesProgrammesRécap">'[2]Récapitulatif financier'!$D$30:$D$147</definedName>
    <definedName name="ContrôleRangéesProgrammesRécomp">[2]Récompenses!$D$24:$D$133</definedName>
    <definedName name="ContrôleRangéesProgrammesRécompGlob">'[2]Récompense globale'!$D$24:$D$89</definedName>
    <definedName name="ContrôleRangéesProgrammesSuivi" xml:space="preserve"> '[2]Rapport suivi et implantation'!$D$23:$D$139</definedName>
    <definedName name="ContrôleRangéesTableauxBord">#REF!</definedName>
    <definedName name="CoûtBonus">[4]Bonus!$E$18</definedName>
    <definedName name="CoûtPlanAn1">'[2]Répartition des budgets du plan'!$M$149</definedName>
    <definedName name="CoûtPlanAn2">'[2]Répartition des budgets du plan'!$S$149</definedName>
    <definedName name="CoûtPlanAn3">'[2]Répartition des budgets du plan'!$Y$149</definedName>
    <definedName name="CoûtsCO2">[1]!CoûtsCO2</definedName>
    <definedName name="CoûtsProgramme">'[6]Données spécifiques'!$M$43:$Q$51</definedName>
    <definedName name="csas">#REF!</definedName>
    <definedName name="Ct_1">[1]!Ct_1</definedName>
    <definedName name="Ct_2">[1]!Ct_2</definedName>
    <definedName name="Ct_3">[1]!Ct_3</definedName>
    <definedName name="DestinationImpact">'[2]Feuille cachée!'!$K$13:$S$32,'[2]Feuille cachée!'!$K$35:$S$54,'[2]Feuille cachée!'!$K$79:$S$98,'[2]Feuille cachée!'!$K$101:$S$120</definedName>
    <definedName name="DestinationTableauxBord">#REF!</definedName>
    <definedName name="dfswvgswgde">#REF!</definedName>
    <definedName name="dqfrwgftwg">#REF!</definedName>
    <definedName name="eewrw">#REF!</definedName>
    <definedName name="ÉtudRechRéal">[1]!ÉtudRechRéal</definedName>
    <definedName name="ExternalData_1" localSheetId="4" hidden="1">'Prix GN'!$A$1:$E$21</definedName>
    <definedName name="fdewfwrg">#REF!</definedName>
    <definedName name="fewfg">[7]!ProgIntangiblesCII</definedName>
    <definedName name="FichiersIntangCII">[1]!FichiersIntangCII</definedName>
    <definedName name="FichiersIntangRés">[1]!FichiersIntangRés</definedName>
    <definedName name="FichiersTangCII">[1]!FichiersTangCII</definedName>
    <definedName name="FichiersTangRés">[1]!FichiersTangRés</definedName>
    <definedName name="FichiersTangVGE">[1]!FichiersTangVGE</definedName>
    <definedName name="FormuleImpact">'[2]Rapport suivi et implantation'!#REF!</definedName>
    <definedName name="FormuleTableauxBord">#REF!</definedName>
    <definedName name="FREGTRESHJ">#REF!</definedName>
    <definedName name="frgeet">#REF!</definedName>
    <definedName name="GainBrutAprèsTx">'[8]Pertes de revenus'!$I$51</definedName>
    <definedName name="GGHHRHR">#REF!</definedName>
    <definedName name="GJTotalAn1">'[2]Rapport suivi et implantation'!$AW$142</definedName>
    <definedName name="GJTotalAn2">'[2]Rapport suivi et implantation'!$AX$142</definedName>
    <definedName name="GJTotalAn3">'[2]Rapport suivi et implantation'!$AY$142</definedName>
    <definedName name="GJTotalRAn1">'[2]Rapport suivi et implantation'!$BA$142</definedName>
    <definedName name="GJTotalRAn2">'[2]Rapport suivi et implantation'!#REF!</definedName>
    <definedName name="GJTotalRAn3">'[2]Rapport suivi et implantation'!#REF!</definedName>
    <definedName name="hgugjhjh">'[2]Rapport suivi et implantation'!#REF!</definedName>
    <definedName name="IndexIndex">'[2]Contrôle Accès'!$B$11:$F$12</definedName>
    <definedName name="inflation">'[9]Paramètres économiques'!$C$4</definedName>
    <definedName name="Infrarouge" localSheetId="3">Instructions!$H$9:$H$11</definedName>
    <definedName name="Infrarouge">#REF!</definedName>
    <definedName name="InfrarougeListe">Instructions!$H$8:$H$11</definedName>
    <definedName name="ListeFichiersTableauxBord">#REF!</definedName>
    <definedName name="MoisAnnéeSCGM">[1]!MoisAnnéeSCGM</definedName>
    <definedName name="MoisComplété">[1]!MoisComplété</definedName>
    <definedName name="NA">Instructions!$O$15</definedName>
    <definedName name="NbMois">[1]!NbMois</definedName>
    <definedName name="NbParticipantsAn1">#REF!</definedName>
    <definedName name="NbProgrammes">[1]!NbProgrammes</definedName>
    <definedName name="PDFImpact">'[2]Rapport suivi et implantation'!#REF!</definedName>
    <definedName name="PDFTableauxBord">#REF!</definedName>
    <definedName name="peeeeee">#REF!</definedName>
    <definedName name="PerteBrutem3">'[10]Pertes de revenus'!$I$43</definedName>
    <definedName name="PertesNettesAn1">'[2]Feuille cachée!'!$N$123</definedName>
    <definedName name="PertesNettesAn2">'[2]Feuille cachée!'!$O$123</definedName>
    <definedName name="PertesNettesAn3">'[2]Feuille cachée!'!$P$123</definedName>
    <definedName name="ProgIntangiblesCII">[1]!ProgIntangiblesCII</definedName>
    <definedName name="ProgIntangiblesRés">[1]!ProgIntangiblesRés</definedName>
    <definedName name="ProgTangiblesCII">[1]!ProgTangiblesCII</definedName>
    <definedName name="ProgTangiblesRés">[1]!ProgTangiblesRés</definedName>
    <definedName name="ProgTangiblesVGE">[1]!ProgTangiblesVGE</definedName>
    <definedName name="r_réel_simple">[11]Paramètre!$C$6</definedName>
    <definedName name="RécompTotAn1">'[2]Feuille cachée!'!$Q$123</definedName>
    <definedName name="RécompTotAn2">'[2]Feuille cachée!'!$R$123</definedName>
    <definedName name="RépartitionBudgets">'[2]Répartition des budgets du plan'!$H$27:$AI$135</definedName>
    <definedName name="RevenusImpactTarif">[1]!RevenusImpactTarif</definedName>
    <definedName name="RevenusTotauxImpactTarif">[1]!RevenusTotauxImpactTarif</definedName>
    <definedName name="rtrtrhhj">#REF!</definedName>
    <definedName name="safc">[5]!ProgTangiblesRés</definedName>
    <definedName name="SDGDF">#REF!</definedName>
    <definedName name="StandardListe">Instructions!$G$8:$G$10</definedName>
    <definedName name="Subvention">#REF!</definedName>
    <definedName name="SupportAdmAN1">'[6]Données spécifiques'!$N$48</definedName>
    <definedName name="SupportAdmAN2">'[6]Données spécifiques'!$O$48</definedName>
    <definedName name="SupportAdmAN3">'[6]Données spécifiques'!$Q$48</definedName>
    <definedName name="SupportAdministration">[1]!SupportAdministration</definedName>
    <definedName name="TableauMasquableTableauxBord">#REF!</definedName>
    <definedName name="TauxInflation">[12]!TauxInflation</definedName>
    <definedName name="Taxes">#REF!</definedName>
    <definedName name="TexteMoisComplété">'[2]Feuille cachée!'!$AE$14:$AF$25</definedName>
    <definedName name="TotalRépartAn1">[1]!TotalRépartAn1</definedName>
    <definedName name="TotalRépartAn2">[1]!TotalRépartAn2</definedName>
    <definedName name="TotalRépartAn3">[1]!TotalRépartAn3</definedName>
    <definedName name="TotalSupAdmAN1">[1]!TotalSupAdmAN1</definedName>
    <definedName name="TotalSupAdmAN2">[1]!TotalSupAdmAN2</definedName>
    <definedName name="TotalSupAdmAN3">[1]!TotalSupAdmAN3</definedName>
    <definedName name="TotalSupAdmProg">[1]!TotalSupAdmProg</definedName>
    <definedName name="TpClientèles">[1]!TpClientèles</definedName>
    <definedName name="tx_act_nominal">'[9]Paramètres économiques'!$C$3</definedName>
    <definedName name="tx_act_réel">'[9]Paramètres économiques'!$C$5</definedName>
    <definedName name="VANSansSub">[1]!VANSansSub</definedName>
    <definedName name="vcdsfs">[5]!Ct_2</definedName>
    <definedName name="VersCourOutils">[1]!VersCourOutils</definedName>
    <definedName name="VersCourPEE">[1]!VersCourPEE</definedName>
    <definedName name="VolumeImpactTarif">[1]!VolumeImpactTarif</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26" l="1"/>
  <c r="F32" i="26"/>
  <c r="D69" i="26"/>
  <c r="D67" i="26"/>
  <c r="J2" i="26" l="1"/>
  <c r="F67" i="26"/>
  <c r="H39" i="26"/>
  <c r="F39" i="26"/>
  <c r="F24" i="33"/>
  <c r="F9" i="33"/>
  <c r="F23" i="33"/>
  <c r="F8" i="33"/>
  <c r="F22" i="33" a="1"/>
  <c r="F22" i="33" s="1"/>
  <c r="C29" i="33"/>
  <c r="C14" i="33"/>
  <c r="C28" i="33"/>
  <c r="C27" i="33"/>
  <c r="C24" i="33"/>
  <c r="C23" i="33"/>
  <c r="C22" i="33"/>
  <c r="C21" i="33"/>
  <c r="C20" i="33"/>
  <c r="C9" i="33"/>
  <c r="I6" i="33" l="1"/>
  <c r="F41" i="26" s="1"/>
  <c r="F7" i="33" a="1"/>
  <c r="F7" i="33" s="1"/>
  <c r="F6" i="33" a="1"/>
  <c r="F6" i="33" s="1"/>
  <c r="F5" i="33"/>
  <c r="I8" i="33" l="1"/>
  <c r="F34" i="26"/>
  <c r="C13" i="33"/>
  <c r="I21" i="33"/>
  <c r="I22" i="33"/>
  <c r="F69" i="26" s="1"/>
  <c r="F21" i="33" a="1"/>
  <c r="F21" i="33" s="1"/>
  <c r="C12" i="33"/>
  <c r="C8" i="33"/>
  <c r="C7" i="33"/>
  <c r="C6" i="33"/>
  <c r="C5" i="33"/>
  <c r="H34" i="26"/>
  <c r="H26" i="26"/>
  <c r="C25" i="33" s="1"/>
  <c r="F25" i="33" s="1"/>
  <c r="F26" i="26"/>
  <c r="C10" i="33" s="1"/>
  <c r="F10" i="33" s="1"/>
  <c r="L6" i="34"/>
  <c r="G14" i="34"/>
  <c r="F20" i="33"/>
  <c r="H41" i="26" l="1"/>
  <c r="F27" i="33"/>
  <c r="I25" i="33" s="1"/>
  <c r="I23" i="33"/>
  <c r="H43" i="26" s="1"/>
  <c r="D55" i="26" s="1"/>
  <c r="F43" i="26"/>
  <c r="F57" i="26"/>
  <c r="I5" i="33"/>
  <c r="I20" i="33"/>
  <c r="E4" i="32" l="1"/>
  <c r="E5" i="32"/>
  <c r="E6" i="32"/>
  <c r="E7" i="32"/>
  <c r="E8" i="32"/>
  <c r="E9" i="32"/>
  <c r="E10" i="32"/>
  <c r="E3" i="32"/>
  <c r="C4" i="32"/>
  <c r="C5" i="32"/>
  <c r="C6" i="32"/>
  <c r="C7" i="32"/>
  <c r="C8" i="32"/>
  <c r="C9" i="32"/>
  <c r="C10" i="32"/>
  <c r="C3" i="32"/>
  <c r="D188" i="31"/>
  <c r="C188" i="31"/>
  <c r="AC187" i="31"/>
  <c r="AD187" i="31" s="1"/>
  <c r="Y187" i="31"/>
  <c r="Z187" i="31" s="1"/>
  <c r="AA187" i="31" s="1"/>
  <c r="AB187" i="31" s="1"/>
  <c r="U187" i="31"/>
  <c r="V187" i="31" s="1"/>
  <c r="W187" i="31" s="1"/>
  <c r="X187" i="31" s="1"/>
  <c r="T187" i="31"/>
  <c r="Q187" i="31"/>
  <c r="R187" i="31" s="1"/>
  <c r="M187" i="31"/>
  <c r="N187" i="31" s="1"/>
  <c r="K187" i="31"/>
  <c r="H187" i="31"/>
  <c r="J187" i="31" s="1"/>
  <c r="S187" i="31" s="1"/>
  <c r="F187" i="31"/>
  <c r="AC186" i="31"/>
  <c r="AD186" i="31" s="1"/>
  <c r="Y186" i="31"/>
  <c r="Z186" i="31" s="1"/>
  <c r="AA186" i="31" s="1"/>
  <c r="AB186" i="31" s="1"/>
  <c r="U186" i="31"/>
  <c r="V186" i="31" s="1"/>
  <c r="Q186" i="31"/>
  <c r="R186" i="31" s="1"/>
  <c r="M186" i="31"/>
  <c r="N186" i="31" s="1"/>
  <c r="H186" i="31"/>
  <c r="J186" i="31" s="1"/>
  <c r="S186" i="31" s="1"/>
  <c r="T186" i="31" s="1"/>
  <c r="F186" i="31"/>
  <c r="AC185" i="31"/>
  <c r="AD185" i="31" s="1"/>
  <c r="Y185" i="31"/>
  <c r="Z185" i="31" s="1"/>
  <c r="U185" i="31"/>
  <c r="V185" i="31" s="1"/>
  <c r="Q185" i="31"/>
  <c r="R185" i="31" s="1"/>
  <c r="M185" i="31"/>
  <c r="N185" i="31" s="1"/>
  <c r="H185" i="31"/>
  <c r="J185" i="31" s="1"/>
  <c r="F185" i="31"/>
  <c r="AC184" i="31"/>
  <c r="AD184" i="31" s="1"/>
  <c r="AB184" i="31"/>
  <c r="Y184" i="31"/>
  <c r="Z184" i="31" s="1"/>
  <c r="AA184" i="31" s="1"/>
  <c r="U184" i="31"/>
  <c r="V184" i="31" s="1"/>
  <c r="W184" i="31" s="1"/>
  <c r="X184" i="31" s="1"/>
  <c r="T184" i="31"/>
  <c r="Q184" i="31"/>
  <c r="R184" i="31" s="1"/>
  <c r="M184" i="31"/>
  <c r="N184" i="31" s="1"/>
  <c r="K184" i="31"/>
  <c r="H184" i="31"/>
  <c r="J184" i="31" s="1"/>
  <c r="S184" i="31" s="1"/>
  <c r="F184" i="31"/>
  <c r="AC183" i="31"/>
  <c r="AD183" i="31" s="1"/>
  <c r="Y183" i="31"/>
  <c r="Z183" i="31" s="1"/>
  <c r="AA183" i="31" s="1"/>
  <c r="AB183" i="31" s="1"/>
  <c r="U183" i="31"/>
  <c r="V183" i="31" s="1"/>
  <c r="W183" i="31" s="1"/>
  <c r="X183" i="31" s="1"/>
  <c r="T183" i="31"/>
  <c r="Q183" i="31"/>
  <c r="R183" i="31" s="1"/>
  <c r="M183" i="31"/>
  <c r="N183" i="31" s="1"/>
  <c r="K183" i="31"/>
  <c r="H183" i="31"/>
  <c r="J183" i="31" s="1"/>
  <c r="S183" i="31" s="1"/>
  <c r="F183" i="31"/>
  <c r="AC182" i="31"/>
  <c r="AD182" i="31" s="1"/>
  <c r="Y182" i="31"/>
  <c r="Z182" i="31" s="1"/>
  <c r="AA182" i="31" s="1"/>
  <c r="AB182" i="31" s="1"/>
  <c r="U182" i="31"/>
  <c r="V182" i="31" s="1"/>
  <c r="Q182" i="31"/>
  <c r="R182" i="31" s="1"/>
  <c r="M182" i="31"/>
  <c r="N182" i="31" s="1"/>
  <c r="H182" i="31"/>
  <c r="J182" i="31" s="1"/>
  <c r="S182" i="31" s="1"/>
  <c r="T182" i="31" s="1"/>
  <c r="F182" i="31"/>
  <c r="AC181" i="31"/>
  <c r="AD181" i="31" s="1"/>
  <c r="AF181" i="31" s="1"/>
  <c r="AE181" i="31" s="1"/>
  <c r="Y181" i="31"/>
  <c r="Z181" i="31" s="1"/>
  <c r="U181" i="31"/>
  <c r="V181" i="31" s="1"/>
  <c r="Q181" i="31"/>
  <c r="R181" i="31" s="1"/>
  <c r="M181" i="31"/>
  <c r="N181" i="31" s="1"/>
  <c r="H181" i="31"/>
  <c r="J181" i="31" s="1"/>
  <c r="F181" i="31"/>
  <c r="AC180" i="31"/>
  <c r="AD180" i="31" s="1"/>
  <c r="AB180" i="31"/>
  <c r="Y180" i="31"/>
  <c r="Z180" i="31" s="1"/>
  <c r="AA180" i="31" s="1"/>
  <c r="U180" i="31"/>
  <c r="V180" i="31" s="1"/>
  <c r="W180" i="31" s="1"/>
  <c r="X180" i="31" s="1"/>
  <c r="T180" i="31"/>
  <c r="Q180" i="31"/>
  <c r="R180" i="31" s="1"/>
  <c r="M180" i="31"/>
  <c r="N180" i="31" s="1"/>
  <c r="K180" i="31"/>
  <c r="H180" i="31"/>
  <c r="J180" i="31" s="1"/>
  <c r="S180" i="31" s="1"/>
  <c r="F180" i="31"/>
  <c r="AC179" i="31"/>
  <c r="AD179" i="31" s="1"/>
  <c r="Y179" i="31"/>
  <c r="Z179" i="31" s="1"/>
  <c r="AA179" i="31" s="1"/>
  <c r="AB179" i="31" s="1"/>
  <c r="U179" i="31"/>
  <c r="V179" i="31" s="1"/>
  <c r="W179" i="31" s="1"/>
  <c r="X179" i="31" s="1"/>
  <c r="Q179" i="31"/>
  <c r="R179" i="31" s="1"/>
  <c r="M179" i="31"/>
  <c r="N179" i="31" s="1"/>
  <c r="K179" i="31"/>
  <c r="H179" i="31"/>
  <c r="J179" i="31" s="1"/>
  <c r="F179" i="31"/>
  <c r="AC178" i="31"/>
  <c r="AD178" i="31" s="1"/>
  <c r="Y178" i="31"/>
  <c r="Z178" i="31" s="1"/>
  <c r="AA178" i="31" s="1"/>
  <c r="AB178" i="31" s="1"/>
  <c r="U178" i="31"/>
  <c r="V178" i="31" s="1"/>
  <c r="Q178" i="31"/>
  <c r="R178" i="31" s="1"/>
  <c r="M178" i="31"/>
  <c r="N178" i="31" s="1"/>
  <c r="H178" i="31"/>
  <c r="J178" i="31" s="1"/>
  <c r="F178" i="31"/>
  <c r="AC177" i="31"/>
  <c r="AD177" i="31" s="1"/>
  <c r="AF177" i="31" s="1"/>
  <c r="AE177" i="31" s="1"/>
  <c r="Y177" i="31"/>
  <c r="Z177" i="31" s="1"/>
  <c r="U177" i="31"/>
  <c r="V177" i="31" s="1"/>
  <c r="Q177" i="31"/>
  <c r="R177" i="31" s="1"/>
  <c r="M177" i="31"/>
  <c r="N177" i="31" s="1"/>
  <c r="H177" i="31"/>
  <c r="J177" i="31" s="1"/>
  <c r="F177" i="31"/>
  <c r="AC176" i="31"/>
  <c r="AD176" i="31" s="1"/>
  <c r="Y176" i="31"/>
  <c r="Z176" i="31" s="1"/>
  <c r="U176" i="31"/>
  <c r="V176" i="31" s="1"/>
  <c r="W176" i="31" s="1"/>
  <c r="X176" i="31" s="1"/>
  <c r="Q176" i="31"/>
  <c r="R176" i="31" s="1"/>
  <c r="M176" i="31"/>
  <c r="N176" i="31" s="1"/>
  <c r="K176" i="31"/>
  <c r="H176" i="31"/>
  <c r="J176" i="31" s="1"/>
  <c r="F176" i="31"/>
  <c r="AC175" i="31"/>
  <c r="AD175" i="31" s="1"/>
  <c r="Y175" i="31"/>
  <c r="Z175" i="31" s="1"/>
  <c r="AA175" i="31" s="1"/>
  <c r="AB175" i="31" s="1"/>
  <c r="U175" i="31"/>
  <c r="V175" i="31" s="1"/>
  <c r="W175" i="31" s="1"/>
  <c r="X175" i="31" s="1"/>
  <c r="Q175" i="31"/>
  <c r="R175" i="31" s="1"/>
  <c r="M175" i="31"/>
  <c r="N175" i="31" s="1"/>
  <c r="K175" i="31"/>
  <c r="H175" i="31"/>
  <c r="J175" i="31" s="1"/>
  <c r="F175" i="31"/>
  <c r="AC174" i="31"/>
  <c r="AD174" i="31" s="1"/>
  <c r="Y174" i="31"/>
  <c r="Z174" i="31" s="1"/>
  <c r="AA174" i="31" s="1"/>
  <c r="AB174" i="31" s="1"/>
  <c r="U174" i="31"/>
  <c r="V174" i="31" s="1"/>
  <c r="Q174" i="31"/>
  <c r="R174" i="31" s="1"/>
  <c r="M174" i="31"/>
  <c r="N174" i="31" s="1"/>
  <c r="H174" i="31"/>
  <c r="J174" i="31" s="1"/>
  <c r="F174" i="31"/>
  <c r="AC173" i="31"/>
  <c r="AD173" i="31" s="1"/>
  <c r="AF173" i="31" s="1"/>
  <c r="AE173" i="31" s="1"/>
  <c r="Y173" i="31"/>
  <c r="Z173" i="31" s="1"/>
  <c r="U173" i="31"/>
  <c r="V173" i="31" s="1"/>
  <c r="Q173" i="31"/>
  <c r="R173" i="31" s="1"/>
  <c r="M173" i="31"/>
  <c r="N173" i="31" s="1"/>
  <c r="H173" i="31"/>
  <c r="J173" i="31" s="1"/>
  <c r="F173" i="31"/>
  <c r="AC172" i="31"/>
  <c r="AD172" i="31" s="1"/>
  <c r="Y172" i="31"/>
  <c r="Z172" i="31" s="1"/>
  <c r="U172" i="31"/>
  <c r="V172" i="31" s="1"/>
  <c r="W172" i="31" s="1"/>
  <c r="X172" i="31" s="1"/>
  <c r="Q172" i="31"/>
  <c r="R172" i="31" s="1"/>
  <c r="M172" i="31"/>
  <c r="N172" i="31" s="1"/>
  <c r="K172" i="31"/>
  <c r="H172" i="31"/>
  <c r="J172" i="31" s="1"/>
  <c r="F172" i="31"/>
  <c r="AC171" i="31"/>
  <c r="AD171" i="31" s="1"/>
  <c r="Y171" i="31"/>
  <c r="Z171" i="31" s="1"/>
  <c r="AA171" i="31" s="1"/>
  <c r="AB171" i="31" s="1"/>
  <c r="U171" i="31"/>
  <c r="V171" i="31" s="1"/>
  <c r="W171" i="31" s="1"/>
  <c r="X171" i="31" s="1"/>
  <c r="Q171" i="31"/>
  <c r="R171" i="31" s="1"/>
  <c r="M171" i="31"/>
  <c r="N171" i="31" s="1"/>
  <c r="H171" i="31"/>
  <c r="J171" i="31" s="1"/>
  <c r="F171" i="31"/>
  <c r="AC170" i="31"/>
  <c r="AD170" i="31" s="1"/>
  <c r="AF170" i="31" s="1"/>
  <c r="AE170" i="31" s="1"/>
  <c r="Y170" i="31"/>
  <c r="Z170" i="31" s="1"/>
  <c r="AA170" i="31" s="1"/>
  <c r="AB170" i="31" s="1"/>
  <c r="U170" i="31"/>
  <c r="V170" i="31" s="1"/>
  <c r="Q170" i="31"/>
  <c r="R170" i="31" s="1"/>
  <c r="M170" i="31"/>
  <c r="N170" i="31" s="1"/>
  <c r="K170" i="31"/>
  <c r="H170" i="31"/>
  <c r="J170" i="31" s="1"/>
  <c r="F170" i="31"/>
  <c r="AC169" i="31"/>
  <c r="AD169" i="31" s="1"/>
  <c r="Y169" i="31"/>
  <c r="Z169" i="31" s="1"/>
  <c r="AA169" i="31" s="1"/>
  <c r="AB169" i="31" s="1"/>
  <c r="U169" i="31"/>
  <c r="V169" i="31" s="1"/>
  <c r="W169" i="31" s="1"/>
  <c r="X169" i="31" s="1"/>
  <c r="Q169" i="31"/>
  <c r="R169" i="31" s="1"/>
  <c r="M169" i="31"/>
  <c r="N169" i="31" s="1"/>
  <c r="H169" i="31"/>
  <c r="J169" i="31" s="1"/>
  <c r="F169" i="31"/>
  <c r="AC168" i="31"/>
  <c r="AD168" i="31" s="1"/>
  <c r="AF168" i="31" s="1"/>
  <c r="AE168" i="31" s="1"/>
  <c r="Y168" i="31"/>
  <c r="Z168" i="31" s="1"/>
  <c r="AA168" i="31" s="1"/>
  <c r="AB168" i="31" s="1"/>
  <c r="U168" i="31"/>
  <c r="V168" i="31" s="1"/>
  <c r="W168" i="31" s="1"/>
  <c r="X168" i="31" s="1"/>
  <c r="Q168" i="31"/>
  <c r="R168" i="31" s="1"/>
  <c r="M168" i="31"/>
  <c r="N168" i="31" s="1"/>
  <c r="K168" i="31"/>
  <c r="H168" i="31"/>
  <c r="J168" i="31" s="1"/>
  <c r="F168" i="31"/>
  <c r="AC167" i="31"/>
  <c r="AD167" i="31" s="1"/>
  <c r="Y167" i="31"/>
  <c r="Z167" i="31" s="1"/>
  <c r="AA167" i="31" s="1"/>
  <c r="AB167" i="31" s="1"/>
  <c r="U167" i="31"/>
  <c r="V167" i="31" s="1"/>
  <c r="W167" i="31" s="1"/>
  <c r="X167" i="31" s="1"/>
  <c r="Q167" i="31"/>
  <c r="R167" i="31" s="1"/>
  <c r="M167" i="31"/>
  <c r="N167" i="31" s="1"/>
  <c r="H167" i="31"/>
  <c r="J167" i="31" s="1"/>
  <c r="F167" i="31"/>
  <c r="AC166" i="31"/>
  <c r="AD166" i="31" s="1"/>
  <c r="AF166" i="31" s="1"/>
  <c r="AE166" i="31" s="1"/>
  <c r="Y166" i="31"/>
  <c r="Z166" i="31" s="1"/>
  <c r="AA166" i="31" s="1"/>
  <c r="AB166" i="31" s="1"/>
  <c r="U166" i="31"/>
  <c r="V166" i="31" s="1"/>
  <c r="W166" i="31" s="1"/>
  <c r="X166" i="31" s="1"/>
  <c r="Q166" i="31"/>
  <c r="R166" i="31" s="1"/>
  <c r="M166" i="31"/>
  <c r="N166" i="31" s="1"/>
  <c r="K166" i="31"/>
  <c r="H166" i="31"/>
  <c r="J166" i="31" s="1"/>
  <c r="F166" i="31"/>
  <c r="AC165" i="31"/>
  <c r="AD165" i="31" s="1"/>
  <c r="Y165" i="31"/>
  <c r="Z165" i="31" s="1"/>
  <c r="AA165" i="31" s="1"/>
  <c r="AB165" i="31" s="1"/>
  <c r="U165" i="31"/>
  <c r="V165" i="31" s="1"/>
  <c r="W165" i="31" s="1"/>
  <c r="X165" i="31" s="1"/>
  <c r="Q165" i="31"/>
  <c r="R165" i="31" s="1"/>
  <c r="M165" i="31"/>
  <c r="N165" i="31" s="1"/>
  <c r="H165" i="31"/>
  <c r="J165" i="31" s="1"/>
  <c r="F165" i="31"/>
  <c r="AC164" i="31"/>
  <c r="AD164" i="31" s="1"/>
  <c r="AF164" i="31" s="1"/>
  <c r="AE164" i="31" s="1"/>
  <c r="Y164" i="31"/>
  <c r="Z164" i="31" s="1"/>
  <c r="AA164" i="31" s="1"/>
  <c r="AB164" i="31" s="1"/>
  <c r="U164" i="31"/>
  <c r="V164" i="31" s="1"/>
  <c r="W164" i="31" s="1"/>
  <c r="X164" i="31" s="1"/>
  <c r="Q164" i="31"/>
  <c r="R164" i="31" s="1"/>
  <c r="M164" i="31"/>
  <c r="N164" i="31" s="1"/>
  <c r="K164" i="31"/>
  <c r="H164" i="31"/>
  <c r="J164" i="31" s="1"/>
  <c r="F164" i="31"/>
  <c r="AC163" i="31"/>
  <c r="AD163" i="31" s="1"/>
  <c r="Y163" i="31"/>
  <c r="Z163" i="31" s="1"/>
  <c r="AA163" i="31" s="1"/>
  <c r="AB163" i="31" s="1"/>
  <c r="U163" i="31"/>
  <c r="V163" i="31" s="1"/>
  <c r="W163" i="31" s="1"/>
  <c r="X163" i="31" s="1"/>
  <c r="Q163" i="31"/>
  <c r="R163" i="31" s="1"/>
  <c r="M163" i="31"/>
  <c r="N163" i="31" s="1"/>
  <c r="H163" i="31"/>
  <c r="J163" i="31" s="1"/>
  <c r="F163" i="31"/>
  <c r="AC162" i="31"/>
  <c r="AD162" i="31" s="1"/>
  <c r="AF162" i="31" s="1"/>
  <c r="AE162" i="31" s="1"/>
  <c r="Y162" i="31"/>
  <c r="Z162" i="31" s="1"/>
  <c r="AA162" i="31" s="1"/>
  <c r="AB162" i="31" s="1"/>
  <c r="U162" i="31"/>
  <c r="V162" i="31" s="1"/>
  <c r="W162" i="31" s="1"/>
  <c r="X162" i="31" s="1"/>
  <c r="Q162" i="31"/>
  <c r="R162" i="31" s="1"/>
  <c r="M162" i="31"/>
  <c r="N162" i="31" s="1"/>
  <c r="K162" i="31"/>
  <c r="H162" i="31"/>
  <c r="J162" i="31" s="1"/>
  <c r="F162" i="31"/>
  <c r="AC161" i="31"/>
  <c r="AD161" i="31" s="1"/>
  <c r="AF161" i="31" s="1"/>
  <c r="AE161" i="31" s="1"/>
  <c r="Y161" i="31"/>
  <c r="Z161" i="31" s="1"/>
  <c r="AA161" i="31" s="1"/>
  <c r="AB161" i="31" s="1"/>
  <c r="U161" i="31"/>
  <c r="V161" i="31" s="1"/>
  <c r="W161" i="31" s="1"/>
  <c r="X161" i="31" s="1"/>
  <c r="Q161" i="31"/>
  <c r="R161" i="31" s="1"/>
  <c r="M161" i="31"/>
  <c r="N161" i="31" s="1"/>
  <c r="H161" i="31"/>
  <c r="J161" i="31" s="1"/>
  <c r="F161" i="31"/>
  <c r="AC160" i="31"/>
  <c r="AD160" i="31" s="1"/>
  <c r="AF160" i="31" s="1"/>
  <c r="AE160" i="31" s="1"/>
  <c r="Y160" i="31"/>
  <c r="Z160" i="31" s="1"/>
  <c r="AA160" i="31" s="1"/>
  <c r="AB160" i="31" s="1"/>
  <c r="U160" i="31"/>
  <c r="V160" i="31" s="1"/>
  <c r="R160" i="31"/>
  <c r="Q160" i="31"/>
  <c r="M160" i="31"/>
  <c r="N160" i="31" s="1"/>
  <c r="K160" i="31"/>
  <c r="H160" i="31"/>
  <c r="J160" i="31" s="1"/>
  <c r="F160" i="31"/>
  <c r="AD159" i="31"/>
  <c r="AF159" i="31" s="1"/>
  <c r="AE159" i="31" s="1"/>
  <c r="AC159" i="31"/>
  <c r="Z159" i="31"/>
  <c r="Y159" i="31"/>
  <c r="U159" i="31"/>
  <c r="V159" i="31" s="1"/>
  <c r="W159" i="31" s="1"/>
  <c r="X159" i="31" s="1"/>
  <c r="R159" i="31"/>
  <c r="Q159" i="31"/>
  <c r="M159" i="31"/>
  <c r="N159" i="31" s="1"/>
  <c r="H159" i="31"/>
  <c r="J159" i="31" s="1"/>
  <c r="F159" i="31"/>
  <c r="AC158" i="31"/>
  <c r="AD158" i="31" s="1"/>
  <c r="AF158" i="31" s="1"/>
  <c r="AE158" i="31" s="1"/>
  <c r="Z158" i="31"/>
  <c r="Y158" i="31"/>
  <c r="U158" i="31"/>
  <c r="V158" i="31" s="1"/>
  <c r="W158" i="31" s="1"/>
  <c r="X158" i="31" s="1"/>
  <c r="R158" i="31"/>
  <c r="Q158" i="31"/>
  <c r="M158" i="31"/>
  <c r="N158" i="31" s="1"/>
  <c r="H158" i="31"/>
  <c r="J158" i="31" s="1"/>
  <c r="F158" i="31"/>
  <c r="AC157" i="31"/>
  <c r="AD157" i="31" s="1"/>
  <c r="AF157" i="31" s="1"/>
  <c r="AE157" i="31" s="1"/>
  <c r="Z157" i="31"/>
  <c r="Y157" i="31"/>
  <c r="U157" i="31"/>
  <c r="V157" i="31" s="1"/>
  <c r="W157" i="31" s="1"/>
  <c r="X157" i="31" s="1"/>
  <c r="R157" i="31"/>
  <c r="Q157" i="31"/>
  <c r="M157" i="31"/>
  <c r="N157" i="31" s="1"/>
  <c r="H157" i="31"/>
  <c r="J157" i="31" s="1"/>
  <c r="F157" i="31"/>
  <c r="AC156" i="31"/>
  <c r="AD156" i="31" s="1"/>
  <c r="AF156" i="31" s="1"/>
  <c r="AE156" i="31" s="1"/>
  <c r="Z156" i="31"/>
  <c r="Y156" i="31"/>
  <c r="U156" i="31"/>
  <c r="V156" i="31" s="1"/>
  <c r="W156" i="31" s="1"/>
  <c r="X156" i="31" s="1"/>
  <c r="R156" i="31"/>
  <c r="Q156" i="31"/>
  <c r="M156" i="31"/>
  <c r="N156" i="31" s="1"/>
  <c r="H156" i="31"/>
  <c r="J156" i="31" s="1"/>
  <c r="F156" i="31"/>
  <c r="AC155" i="31"/>
  <c r="AD155" i="31" s="1"/>
  <c r="AF155" i="31" s="1"/>
  <c r="AE155" i="31" s="1"/>
  <c r="Z155" i="31"/>
  <c r="Y155" i="31"/>
  <c r="U155" i="31"/>
  <c r="V155" i="31" s="1"/>
  <c r="W155" i="31" s="1"/>
  <c r="X155" i="31" s="1"/>
  <c r="R155" i="31"/>
  <c r="Q155" i="31"/>
  <c r="M155" i="31"/>
  <c r="N155" i="31" s="1"/>
  <c r="H155" i="31"/>
  <c r="J155" i="31" s="1"/>
  <c r="F155" i="31"/>
  <c r="AC154" i="31"/>
  <c r="AD154" i="31" s="1"/>
  <c r="AF154" i="31" s="1"/>
  <c r="AE154" i="31" s="1"/>
  <c r="Z154" i="31"/>
  <c r="Y154" i="31"/>
  <c r="U154" i="31"/>
  <c r="V154" i="31" s="1"/>
  <c r="W154" i="31" s="1"/>
  <c r="X154" i="31" s="1"/>
  <c r="R154" i="31"/>
  <c r="Q154" i="31"/>
  <c r="M154" i="31"/>
  <c r="N154" i="31" s="1"/>
  <c r="H154" i="31"/>
  <c r="J154" i="31" s="1"/>
  <c r="F154" i="31"/>
  <c r="AC153" i="31"/>
  <c r="AD153" i="31" s="1"/>
  <c r="AF153" i="31" s="1"/>
  <c r="AE153" i="31" s="1"/>
  <c r="Z153" i="31"/>
  <c r="Y153" i="31"/>
  <c r="U153" i="31"/>
  <c r="V153" i="31" s="1"/>
  <c r="W153" i="31" s="1"/>
  <c r="X153" i="31" s="1"/>
  <c r="R153" i="31"/>
  <c r="Q153" i="31"/>
  <c r="M153" i="31"/>
  <c r="N153" i="31" s="1"/>
  <c r="H153" i="31"/>
  <c r="J153" i="31" s="1"/>
  <c r="F153" i="31"/>
  <c r="AC152" i="31"/>
  <c r="AD152" i="31" s="1"/>
  <c r="AF152" i="31" s="1"/>
  <c r="AE152" i="31" s="1"/>
  <c r="Z152" i="31"/>
  <c r="Y152" i="31"/>
  <c r="U152" i="31"/>
  <c r="V152" i="31" s="1"/>
  <c r="W152" i="31" s="1"/>
  <c r="X152" i="31" s="1"/>
  <c r="Q152" i="31"/>
  <c r="R152" i="31" s="1"/>
  <c r="M152" i="31"/>
  <c r="N152" i="31" s="1"/>
  <c r="H152" i="31"/>
  <c r="J152" i="31" s="1"/>
  <c r="F152" i="31"/>
  <c r="AC151" i="31"/>
  <c r="AD151" i="31" s="1"/>
  <c r="AF151" i="31" s="1"/>
  <c r="AE151" i="31" s="1"/>
  <c r="Y151" i="31"/>
  <c r="Z151" i="31" s="1"/>
  <c r="AA151" i="31" s="1"/>
  <c r="AB151" i="31" s="1"/>
  <c r="U151" i="31"/>
  <c r="V151" i="31" s="1"/>
  <c r="W151" i="31" s="1"/>
  <c r="X151" i="31" s="1"/>
  <c r="R151" i="31"/>
  <c r="Q151" i="31"/>
  <c r="M151" i="31"/>
  <c r="N151" i="31" s="1"/>
  <c r="H151" i="31"/>
  <c r="J151" i="31" s="1"/>
  <c r="F151" i="31"/>
  <c r="AC150" i="31"/>
  <c r="AD150" i="31" s="1"/>
  <c r="AF150" i="31" s="1"/>
  <c r="AE150" i="31" s="1"/>
  <c r="Z150" i="31"/>
  <c r="Y150" i="31"/>
  <c r="U150" i="31"/>
  <c r="V150" i="31" s="1"/>
  <c r="W150" i="31" s="1"/>
  <c r="X150" i="31" s="1"/>
  <c r="Q150" i="31"/>
  <c r="R150" i="31" s="1"/>
  <c r="M150" i="31"/>
  <c r="N150" i="31" s="1"/>
  <c r="H150" i="31"/>
  <c r="J150" i="31" s="1"/>
  <c r="F150" i="31"/>
  <c r="AC149" i="31"/>
  <c r="AD149" i="31" s="1"/>
  <c r="AF149" i="31" s="1"/>
  <c r="AE149" i="31" s="1"/>
  <c r="Y149" i="31"/>
  <c r="Z149" i="31" s="1"/>
  <c r="AA149" i="31" s="1"/>
  <c r="AB149" i="31" s="1"/>
  <c r="U149" i="31"/>
  <c r="V149" i="31" s="1"/>
  <c r="W149" i="31" s="1"/>
  <c r="X149" i="31" s="1"/>
  <c r="R149" i="31"/>
  <c r="Q149" i="31"/>
  <c r="M149" i="31"/>
  <c r="N149" i="31" s="1"/>
  <c r="H149" i="31"/>
  <c r="J149" i="31" s="1"/>
  <c r="F149" i="31"/>
  <c r="AC148" i="31"/>
  <c r="AD148" i="31" s="1"/>
  <c r="AF148" i="31" s="1"/>
  <c r="AE148" i="31" s="1"/>
  <c r="Z148" i="31"/>
  <c r="Y148" i="31"/>
  <c r="U148" i="31"/>
  <c r="V148" i="31" s="1"/>
  <c r="W148" i="31" s="1"/>
  <c r="X148" i="31" s="1"/>
  <c r="Q148" i="31"/>
  <c r="R148" i="31" s="1"/>
  <c r="M148" i="31"/>
  <c r="N148" i="31" s="1"/>
  <c r="H148" i="31"/>
  <c r="J148" i="31" s="1"/>
  <c r="F148" i="31"/>
  <c r="AC147" i="31"/>
  <c r="AD147" i="31" s="1"/>
  <c r="AF147" i="31" s="1"/>
  <c r="AE147" i="31" s="1"/>
  <c r="Y147" i="31"/>
  <c r="Z147" i="31" s="1"/>
  <c r="AA147" i="31" s="1"/>
  <c r="AB147" i="31" s="1"/>
  <c r="U147" i="31"/>
  <c r="V147" i="31" s="1"/>
  <c r="W147" i="31" s="1"/>
  <c r="X147" i="31" s="1"/>
  <c r="R147" i="31"/>
  <c r="Q147" i="31"/>
  <c r="M147" i="31"/>
  <c r="N147" i="31" s="1"/>
  <c r="H147" i="31"/>
  <c r="J147" i="31" s="1"/>
  <c r="F147" i="31"/>
  <c r="AC146" i="31"/>
  <c r="AD146" i="31" s="1"/>
  <c r="AF146" i="31" s="1"/>
  <c r="AE146" i="31" s="1"/>
  <c r="Z146" i="31"/>
  <c r="AA146" i="31" s="1"/>
  <c r="AB146" i="31" s="1"/>
  <c r="Y146" i="31"/>
  <c r="U146" i="31"/>
  <c r="V146" i="31" s="1"/>
  <c r="W146" i="31" s="1"/>
  <c r="X146" i="31" s="1"/>
  <c r="Q146" i="31"/>
  <c r="R146" i="31" s="1"/>
  <c r="M146" i="31"/>
  <c r="N146" i="31" s="1"/>
  <c r="H146" i="31"/>
  <c r="J146" i="31" s="1"/>
  <c r="F146" i="31"/>
  <c r="AC145" i="31"/>
  <c r="AD145" i="31" s="1"/>
  <c r="AF145" i="31" s="1"/>
  <c r="AE145" i="31" s="1"/>
  <c r="Y145" i="31"/>
  <c r="Z145" i="31" s="1"/>
  <c r="AA145" i="31" s="1"/>
  <c r="AB145" i="31" s="1"/>
  <c r="U145" i="31"/>
  <c r="V145" i="31" s="1"/>
  <c r="W145" i="31" s="1"/>
  <c r="X145" i="31" s="1"/>
  <c r="R145" i="31"/>
  <c r="Q145" i="31"/>
  <c r="M145" i="31"/>
  <c r="N145" i="31" s="1"/>
  <c r="H145" i="31"/>
  <c r="J145" i="31" s="1"/>
  <c r="F145" i="31"/>
  <c r="AC144" i="31"/>
  <c r="AD144" i="31" s="1"/>
  <c r="AF144" i="31" s="1"/>
  <c r="AE144" i="31" s="1"/>
  <c r="Z144" i="31"/>
  <c r="AA144" i="31" s="1"/>
  <c r="AB144" i="31" s="1"/>
  <c r="Y144" i="31"/>
  <c r="U144" i="31"/>
  <c r="V144" i="31" s="1"/>
  <c r="W144" i="31" s="1"/>
  <c r="X144" i="31" s="1"/>
  <c r="Q144" i="31"/>
  <c r="R144" i="31" s="1"/>
  <c r="N144" i="31"/>
  <c r="M144" i="31"/>
  <c r="H144" i="31"/>
  <c r="J144" i="31" s="1"/>
  <c r="F144" i="31"/>
  <c r="AC143" i="31"/>
  <c r="AD143" i="31" s="1"/>
  <c r="AF143" i="31" s="1"/>
  <c r="AE143" i="31" s="1"/>
  <c r="Y143" i="31"/>
  <c r="Z143" i="31" s="1"/>
  <c r="AA143" i="31" s="1"/>
  <c r="AB143" i="31" s="1"/>
  <c r="X143" i="31"/>
  <c r="U143" i="31"/>
  <c r="V143" i="31" s="1"/>
  <c r="W143" i="31" s="1"/>
  <c r="Q143" i="31"/>
  <c r="R143" i="31" s="1"/>
  <c r="N143" i="31"/>
  <c r="M143" i="31"/>
  <c r="H143" i="31"/>
  <c r="J143" i="31" s="1"/>
  <c r="F143" i="31"/>
  <c r="AC142" i="31"/>
  <c r="AD142" i="31" s="1"/>
  <c r="Z142" i="31"/>
  <c r="Y142" i="31"/>
  <c r="U142" i="31"/>
  <c r="V142" i="31" s="1"/>
  <c r="W142" i="31" s="1"/>
  <c r="X142" i="31" s="1"/>
  <c r="Q142" i="31"/>
  <c r="R142" i="31" s="1"/>
  <c r="M142" i="31"/>
  <c r="N142" i="31" s="1"/>
  <c r="J142" i="31"/>
  <c r="H142" i="31"/>
  <c r="F142" i="31"/>
  <c r="AC141" i="31"/>
  <c r="AD141" i="31" s="1"/>
  <c r="AF141" i="31" s="1"/>
  <c r="AE141" i="31" s="1"/>
  <c r="Y141" i="31"/>
  <c r="Z141" i="31" s="1"/>
  <c r="AA141" i="31" s="1"/>
  <c r="AB141" i="31" s="1"/>
  <c r="U141" i="31"/>
  <c r="V141" i="31" s="1"/>
  <c r="Q141" i="31"/>
  <c r="R141" i="31" s="1"/>
  <c r="M141" i="31"/>
  <c r="N141" i="31" s="1"/>
  <c r="J141" i="31"/>
  <c r="K141" i="31" s="1"/>
  <c r="H141" i="31"/>
  <c r="F141" i="31"/>
  <c r="AF140" i="31"/>
  <c r="AE140" i="31" s="1"/>
  <c r="AC140" i="31"/>
  <c r="AD140" i="31" s="1"/>
  <c r="Y140" i="31"/>
  <c r="Z140" i="31" s="1"/>
  <c r="AA140" i="31" s="1"/>
  <c r="AB140" i="31" s="1"/>
  <c r="U140" i="31"/>
  <c r="V140" i="31" s="1"/>
  <c r="W140" i="31" s="1"/>
  <c r="X140" i="31" s="1"/>
  <c r="S140" i="31"/>
  <c r="T140" i="31" s="1"/>
  <c r="Q140" i="31"/>
  <c r="R140" i="31" s="1"/>
  <c r="M140" i="31"/>
  <c r="N140" i="31" s="1"/>
  <c r="J140" i="31"/>
  <c r="K140" i="31" s="1"/>
  <c r="H140" i="31"/>
  <c r="F140" i="31"/>
  <c r="AC139" i="31"/>
  <c r="AD139" i="31" s="1"/>
  <c r="AF139" i="31" s="1"/>
  <c r="AE139" i="31" s="1"/>
  <c r="Y139" i="31"/>
  <c r="Z139" i="31" s="1"/>
  <c r="AA139" i="31" s="1"/>
  <c r="AB139" i="31" s="1"/>
  <c r="U139" i="31"/>
  <c r="V139" i="31" s="1"/>
  <c r="Q139" i="31"/>
  <c r="R139" i="31" s="1"/>
  <c r="M139" i="31"/>
  <c r="N139" i="31" s="1"/>
  <c r="J139" i="31"/>
  <c r="K139" i="31" s="1"/>
  <c r="H139" i="31"/>
  <c r="F139" i="31"/>
  <c r="AC138" i="31"/>
  <c r="AD138" i="31" s="1"/>
  <c r="AF138" i="31" s="1"/>
  <c r="AE138" i="31" s="1"/>
  <c r="Y138" i="31"/>
  <c r="Z138" i="31" s="1"/>
  <c r="AA138" i="31" s="1"/>
  <c r="AB138" i="31" s="1"/>
  <c r="U138" i="31"/>
  <c r="V138" i="31" s="1"/>
  <c r="S138" i="31"/>
  <c r="T138" i="31" s="1"/>
  <c r="Q138" i="31"/>
  <c r="R138" i="31" s="1"/>
  <c r="M138" i="31"/>
  <c r="N138" i="31" s="1"/>
  <c r="J138" i="31"/>
  <c r="K138" i="31" s="1"/>
  <c r="H138" i="31"/>
  <c r="F138" i="31"/>
  <c r="AC137" i="31"/>
  <c r="AD137" i="31" s="1"/>
  <c r="AF137" i="31" s="1"/>
  <c r="AE137" i="31" s="1"/>
  <c r="Y137" i="31"/>
  <c r="Z137" i="31" s="1"/>
  <c r="U137" i="31"/>
  <c r="V137" i="31" s="1"/>
  <c r="W137" i="31" s="1"/>
  <c r="X137" i="31" s="1"/>
  <c r="Q137" i="31"/>
  <c r="M137" i="31"/>
  <c r="N137" i="31" s="1"/>
  <c r="J137" i="31"/>
  <c r="K137" i="31" s="1"/>
  <c r="H137" i="31"/>
  <c r="F137" i="31"/>
  <c r="AC136" i="31"/>
  <c r="AD136" i="31" s="1"/>
  <c r="AF136" i="31" s="1"/>
  <c r="AE136" i="31" s="1"/>
  <c r="AA136" i="31"/>
  <c r="AB136" i="31" s="1"/>
  <c r="Y136" i="31"/>
  <c r="Z136" i="31" s="1"/>
  <c r="U136" i="31"/>
  <c r="V136" i="31" s="1"/>
  <c r="Q136" i="31"/>
  <c r="R136" i="31" s="1"/>
  <c r="M136" i="31"/>
  <c r="N136" i="31" s="1"/>
  <c r="J136" i="31"/>
  <c r="H136" i="31"/>
  <c r="F136" i="31"/>
  <c r="AF135" i="31"/>
  <c r="AE135" i="31" s="1"/>
  <c r="AC135" i="31"/>
  <c r="AD135" i="31" s="1"/>
  <c r="Y135" i="31"/>
  <c r="Z135" i="31" s="1"/>
  <c r="AA135" i="31" s="1"/>
  <c r="AB135" i="31" s="1"/>
  <c r="U135" i="31"/>
  <c r="V135" i="31" s="1"/>
  <c r="W135" i="31" s="1"/>
  <c r="X135" i="31" s="1"/>
  <c r="Q135" i="31"/>
  <c r="R135" i="31" s="1"/>
  <c r="M135" i="31"/>
  <c r="N135" i="31" s="1"/>
  <c r="J135" i="31"/>
  <c r="K135" i="31" s="1"/>
  <c r="H135" i="31"/>
  <c r="F135" i="31"/>
  <c r="AF134" i="31"/>
  <c r="AE134" i="31" s="1"/>
  <c r="AC134" i="31"/>
  <c r="AD134" i="31" s="1"/>
  <c r="Y134" i="31"/>
  <c r="Z134" i="31" s="1"/>
  <c r="U134" i="31"/>
  <c r="V134" i="31" s="1"/>
  <c r="Q134" i="31"/>
  <c r="R134" i="31" s="1"/>
  <c r="M134" i="31"/>
  <c r="N134" i="31" s="1"/>
  <c r="J134" i="31"/>
  <c r="K134" i="31" s="1"/>
  <c r="H134" i="31"/>
  <c r="F134" i="31"/>
  <c r="AC133" i="31"/>
  <c r="AD133" i="31" s="1"/>
  <c r="AF133" i="31" s="1"/>
  <c r="AE133" i="31" s="1"/>
  <c r="Y133" i="31"/>
  <c r="Z133" i="31" s="1"/>
  <c r="AA133" i="31" s="1"/>
  <c r="AB133" i="31" s="1"/>
  <c r="U133" i="31"/>
  <c r="V133" i="31" s="1"/>
  <c r="W133" i="31" s="1"/>
  <c r="X133" i="31" s="1"/>
  <c r="Q133" i="31"/>
  <c r="R133" i="31" s="1"/>
  <c r="M133" i="31"/>
  <c r="N133" i="31" s="1"/>
  <c r="J133" i="31"/>
  <c r="K133" i="31" s="1"/>
  <c r="H133" i="31"/>
  <c r="F133" i="31"/>
  <c r="AF132" i="31"/>
  <c r="AE132" i="31" s="1"/>
  <c r="AC132" i="31"/>
  <c r="AD132" i="31" s="1"/>
  <c r="Y132" i="31"/>
  <c r="Z132" i="31" s="1"/>
  <c r="AA132" i="31" s="1"/>
  <c r="AB132" i="31" s="1"/>
  <c r="U132" i="31"/>
  <c r="V132" i="31" s="1"/>
  <c r="W132" i="31" s="1"/>
  <c r="X132" i="31" s="1"/>
  <c r="S132" i="31"/>
  <c r="T132" i="31" s="1"/>
  <c r="Q132" i="31"/>
  <c r="R132" i="31" s="1"/>
  <c r="M132" i="31"/>
  <c r="N132" i="31" s="1"/>
  <c r="J132" i="31"/>
  <c r="K132" i="31" s="1"/>
  <c r="H132" i="31"/>
  <c r="F132" i="31"/>
  <c r="AC131" i="31"/>
  <c r="AD131" i="31" s="1"/>
  <c r="AF131" i="31" s="1"/>
  <c r="AE131" i="31" s="1"/>
  <c r="Y131" i="31"/>
  <c r="Z131" i="31" s="1"/>
  <c r="AA131" i="31" s="1"/>
  <c r="AB131" i="31" s="1"/>
  <c r="U131" i="31"/>
  <c r="V131" i="31" s="1"/>
  <c r="Q131" i="31"/>
  <c r="R131" i="31" s="1"/>
  <c r="M131" i="31"/>
  <c r="N131" i="31" s="1"/>
  <c r="J131" i="31"/>
  <c r="K131" i="31" s="1"/>
  <c r="H131" i="31"/>
  <c r="F131" i="31"/>
  <c r="AC130" i="31"/>
  <c r="AD130" i="31" s="1"/>
  <c r="AF130" i="31" s="1"/>
  <c r="AE130" i="31" s="1"/>
  <c r="Y130" i="31"/>
  <c r="Z130" i="31" s="1"/>
  <c r="AA130" i="31" s="1"/>
  <c r="AB130" i="31" s="1"/>
  <c r="X130" i="31"/>
  <c r="U130" i="31"/>
  <c r="V130" i="31" s="1"/>
  <c r="W130" i="31" s="1"/>
  <c r="S130" i="31"/>
  <c r="T130" i="31" s="1"/>
  <c r="Q130" i="31"/>
  <c r="R130" i="31" s="1"/>
  <c r="M130" i="31"/>
  <c r="N130" i="31" s="1"/>
  <c r="J130" i="31"/>
  <c r="K130" i="31" s="1"/>
  <c r="H130" i="31"/>
  <c r="F130" i="31"/>
  <c r="AC129" i="31"/>
  <c r="AD129" i="31" s="1"/>
  <c r="AF129" i="31" s="1"/>
  <c r="AE129" i="31" s="1"/>
  <c r="Y129" i="31"/>
  <c r="Z129" i="31" s="1"/>
  <c r="U129" i="31"/>
  <c r="V129" i="31" s="1"/>
  <c r="W129" i="31" s="1"/>
  <c r="X129" i="31" s="1"/>
  <c r="Q129" i="31"/>
  <c r="M129" i="31"/>
  <c r="N129" i="31" s="1"/>
  <c r="J129" i="31"/>
  <c r="K129" i="31" s="1"/>
  <c r="H129" i="31"/>
  <c r="F129" i="31"/>
  <c r="AC128" i="31"/>
  <c r="AD128" i="31" s="1"/>
  <c r="AF128" i="31" s="1"/>
  <c r="AE128" i="31" s="1"/>
  <c r="AA128" i="31"/>
  <c r="AB128" i="31" s="1"/>
  <c r="Y128" i="31"/>
  <c r="Z128" i="31" s="1"/>
  <c r="U128" i="31"/>
  <c r="V128" i="31" s="1"/>
  <c r="Q128" i="31"/>
  <c r="R128" i="31" s="1"/>
  <c r="M128" i="31"/>
  <c r="N128" i="31" s="1"/>
  <c r="J128" i="31"/>
  <c r="H128" i="31"/>
  <c r="F128" i="31"/>
  <c r="AC127" i="31"/>
  <c r="AD127" i="31" s="1"/>
  <c r="Y127" i="31"/>
  <c r="Z127" i="31" s="1"/>
  <c r="AA127" i="31" s="1"/>
  <c r="AB127" i="31" s="1"/>
  <c r="U127" i="31"/>
  <c r="V127" i="31" s="1"/>
  <c r="W127" i="31" s="1"/>
  <c r="X127" i="31" s="1"/>
  <c r="Q127" i="31"/>
  <c r="R127" i="31" s="1"/>
  <c r="M127" i="31"/>
  <c r="N127" i="31" s="1"/>
  <c r="J127" i="31"/>
  <c r="K127" i="31" s="1"/>
  <c r="H127" i="31"/>
  <c r="F127" i="31"/>
  <c r="AF126" i="31"/>
  <c r="AE126" i="31" s="1"/>
  <c r="AC126" i="31"/>
  <c r="AD126" i="31" s="1"/>
  <c r="Y126" i="31"/>
  <c r="Z126" i="31" s="1"/>
  <c r="U126" i="31"/>
  <c r="V126" i="31" s="1"/>
  <c r="Q126" i="31"/>
  <c r="R126" i="31" s="1"/>
  <c r="M126" i="31"/>
  <c r="N126" i="31" s="1"/>
  <c r="J126" i="31"/>
  <c r="K126" i="31" s="1"/>
  <c r="H126" i="31"/>
  <c r="F126" i="31"/>
  <c r="AC125" i="31"/>
  <c r="AD125" i="31" s="1"/>
  <c r="AF125" i="31" s="1"/>
  <c r="AE125" i="31" s="1"/>
  <c r="Y125" i="31"/>
  <c r="Z125" i="31" s="1"/>
  <c r="AA125" i="31" s="1"/>
  <c r="AB125" i="31" s="1"/>
  <c r="U125" i="31"/>
  <c r="V125" i="31" s="1"/>
  <c r="W125" i="31" s="1"/>
  <c r="X125" i="31" s="1"/>
  <c r="Q125" i="31"/>
  <c r="R125" i="31" s="1"/>
  <c r="M125" i="31"/>
  <c r="N125" i="31" s="1"/>
  <c r="J125" i="31"/>
  <c r="K125" i="31" s="1"/>
  <c r="H125" i="31"/>
  <c r="F125" i="31"/>
  <c r="AF124" i="31"/>
  <c r="AE124" i="31" s="1"/>
  <c r="AC124" i="31"/>
  <c r="AD124" i="31" s="1"/>
  <c r="Y124" i="31"/>
  <c r="Z124" i="31" s="1"/>
  <c r="AA124" i="31" s="1"/>
  <c r="AB124" i="31" s="1"/>
  <c r="U124" i="31"/>
  <c r="V124" i="31" s="1"/>
  <c r="W124" i="31" s="1"/>
  <c r="X124" i="31" s="1"/>
  <c r="S124" i="31"/>
  <c r="T124" i="31" s="1"/>
  <c r="Q124" i="31"/>
  <c r="R124" i="31" s="1"/>
  <c r="M124" i="31"/>
  <c r="N124" i="31" s="1"/>
  <c r="J124" i="31"/>
  <c r="K124" i="31" s="1"/>
  <c r="H124" i="31"/>
  <c r="F124" i="31"/>
  <c r="AC123" i="31"/>
  <c r="AD123" i="31" s="1"/>
  <c r="AF123" i="31" s="1"/>
  <c r="AE123" i="31" s="1"/>
  <c r="Y123" i="31"/>
  <c r="Z123" i="31" s="1"/>
  <c r="AA123" i="31" s="1"/>
  <c r="AB123" i="31" s="1"/>
  <c r="U123" i="31"/>
  <c r="V123" i="31" s="1"/>
  <c r="Q123" i="31"/>
  <c r="R123" i="31" s="1"/>
  <c r="M123" i="31"/>
  <c r="N123" i="31" s="1"/>
  <c r="J123" i="31"/>
  <c r="K123" i="31" s="1"/>
  <c r="H123" i="31"/>
  <c r="F123" i="31"/>
  <c r="AC122" i="31"/>
  <c r="AD122" i="31" s="1"/>
  <c r="AF122" i="31" s="1"/>
  <c r="AE122" i="31" s="1"/>
  <c r="Y122" i="31"/>
  <c r="Z122" i="31" s="1"/>
  <c r="U122" i="31"/>
  <c r="V122" i="31" s="1"/>
  <c r="Q122" i="31"/>
  <c r="R122" i="31" s="1"/>
  <c r="M122" i="31"/>
  <c r="N122" i="31" s="1"/>
  <c r="J122" i="31"/>
  <c r="H122" i="31"/>
  <c r="F122" i="31"/>
  <c r="AC121" i="31"/>
  <c r="AD121" i="31" s="1"/>
  <c r="AF121" i="31" s="1"/>
  <c r="AE121" i="31" s="1"/>
  <c r="Y121" i="31"/>
  <c r="Z121" i="31" s="1"/>
  <c r="AA121" i="31" s="1"/>
  <c r="AB121" i="31" s="1"/>
  <c r="V121" i="31"/>
  <c r="W121" i="31" s="1"/>
  <c r="X121" i="31" s="1"/>
  <c r="U121" i="31"/>
  <c r="Q121" i="31"/>
  <c r="R121" i="31" s="1"/>
  <c r="N121" i="31"/>
  <c r="M121" i="31"/>
  <c r="J121" i="31"/>
  <c r="K121" i="31" s="1"/>
  <c r="H121" i="31"/>
  <c r="F121" i="31"/>
  <c r="AC120" i="31"/>
  <c r="AD120" i="31" s="1"/>
  <c r="AF120" i="31" s="1"/>
  <c r="AE120" i="31" s="1"/>
  <c r="Y120" i="31"/>
  <c r="Z120" i="31" s="1"/>
  <c r="AA120" i="31" s="1"/>
  <c r="AB120" i="31" s="1"/>
  <c r="U120" i="31"/>
  <c r="V120" i="31" s="1"/>
  <c r="W120" i="31" s="1"/>
  <c r="X120" i="31" s="1"/>
  <c r="Q120" i="31"/>
  <c r="N120" i="31"/>
  <c r="M120" i="31"/>
  <c r="J120" i="31"/>
  <c r="K120" i="31" s="1"/>
  <c r="H120" i="31"/>
  <c r="F120" i="31"/>
  <c r="AD119" i="31"/>
  <c r="AC119" i="31"/>
  <c r="Y119" i="31"/>
  <c r="Z119" i="31" s="1"/>
  <c r="V119" i="31"/>
  <c r="U119" i="31"/>
  <c r="Q119" i="31"/>
  <c r="R119" i="31" s="1"/>
  <c r="M119" i="31"/>
  <c r="N119" i="31" s="1"/>
  <c r="J119" i="31"/>
  <c r="H119" i="31"/>
  <c r="F119" i="31"/>
  <c r="AC118" i="31"/>
  <c r="AD118" i="31" s="1"/>
  <c r="AF118" i="31" s="1"/>
  <c r="AE118" i="31" s="1"/>
  <c r="Y118" i="31"/>
  <c r="Z118" i="31" s="1"/>
  <c r="AA118" i="31" s="1"/>
  <c r="AB118" i="31" s="1"/>
  <c r="W118" i="31"/>
  <c r="X118" i="31" s="1"/>
  <c r="V118" i="31"/>
  <c r="U118" i="31"/>
  <c r="Q118" i="31"/>
  <c r="R118" i="31" s="1"/>
  <c r="M118" i="31"/>
  <c r="N118" i="31" s="1"/>
  <c r="J118" i="31"/>
  <c r="K118" i="31" s="1"/>
  <c r="H118" i="31"/>
  <c r="F118" i="31"/>
  <c r="AD117" i="31"/>
  <c r="AF117" i="31" s="1"/>
  <c r="AE117" i="31" s="1"/>
  <c r="AC117" i="31"/>
  <c r="AA117" i="31"/>
  <c r="AB117" i="31" s="1"/>
  <c r="Y117" i="31"/>
  <c r="Z117" i="31" s="1"/>
  <c r="U117" i="31"/>
  <c r="V117" i="31" s="1"/>
  <c r="W117" i="31" s="1"/>
  <c r="X117" i="31" s="1"/>
  <c r="S117" i="31"/>
  <c r="T117" i="31" s="1"/>
  <c r="Q117" i="31"/>
  <c r="R117" i="31" s="1"/>
  <c r="M117" i="31"/>
  <c r="N117" i="31" s="1"/>
  <c r="J117" i="31"/>
  <c r="K117" i="31" s="1"/>
  <c r="H117" i="31"/>
  <c r="F117" i="31"/>
  <c r="AD116" i="31"/>
  <c r="AC116" i="31"/>
  <c r="Y116" i="31"/>
  <c r="Z116" i="31" s="1"/>
  <c r="AA116" i="31" s="1"/>
  <c r="AB116" i="31" s="1"/>
  <c r="U116" i="31"/>
  <c r="V116" i="31" s="1"/>
  <c r="W116" i="31" s="1"/>
  <c r="X116" i="31" s="1"/>
  <c r="Q116" i="31"/>
  <c r="R116" i="31" s="1"/>
  <c r="N116" i="31"/>
  <c r="M116" i="31"/>
  <c r="J116" i="31"/>
  <c r="K116" i="31" s="1"/>
  <c r="H116" i="31"/>
  <c r="F116" i="31"/>
  <c r="AC115" i="31"/>
  <c r="AD115" i="31" s="1"/>
  <c r="AF115" i="31" s="1"/>
  <c r="AE115" i="31" s="1"/>
  <c r="AA115" i="31"/>
  <c r="AB115" i="31" s="1"/>
  <c r="Y115" i="31"/>
  <c r="Z115" i="31" s="1"/>
  <c r="X115" i="31"/>
  <c r="U115" i="31"/>
  <c r="V115" i="31" s="1"/>
  <c r="W115" i="31" s="1"/>
  <c r="R115" i="31"/>
  <c r="Q115" i="31"/>
  <c r="N115" i="31"/>
  <c r="M115" i="31"/>
  <c r="H115" i="31"/>
  <c r="J115" i="31" s="1"/>
  <c r="F115" i="31"/>
  <c r="AD114" i="31"/>
  <c r="AC114" i="31"/>
  <c r="Y114" i="31"/>
  <c r="Z114" i="31" s="1"/>
  <c r="AA114" i="31" s="1"/>
  <c r="AB114" i="31" s="1"/>
  <c r="V114" i="31"/>
  <c r="U114" i="31"/>
  <c r="R114" i="31"/>
  <c r="Q114" i="31"/>
  <c r="N114" i="31"/>
  <c r="M114" i="31"/>
  <c r="H114" i="31"/>
  <c r="J114" i="31" s="1"/>
  <c r="F114" i="31"/>
  <c r="AD113" i="31"/>
  <c r="AC113" i="31"/>
  <c r="Y113" i="31"/>
  <c r="Z113" i="31" s="1"/>
  <c r="AA113" i="31" s="1"/>
  <c r="AB113" i="31" s="1"/>
  <c r="V113" i="31"/>
  <c r="U113" i="31"/>
  <c r="R113" i="31"/>
  <c r="Q113" i="31"/>
  <c r="N113" i="31"/>
  <c r="M113" i="31"/>
  <c r="H113" i="31"/>
  <c r="J113" i="31" s="1"/>
  <c r="F113" i="31"/>
  <c r="AD112" i="31"/>
  <c r="AC112" i="31"/>
  <c r="Z112" i="31"/>
  <c r="Y112" i="31"/>
  <c r="V112" i="31"/>
  <c r="U112" i="31"/>
  <c r="Q112" i="31"/>
  <c r="R112" i="31" s="1"/>
  <c r="N112" i="31"/>
  <c r="M112" i="31"/>
  <c r="H112" i="31"/>
  <c r="J112" i="31" s="1"/>
  <c r="F112" i="31"/>
  <c r="AD111" i="31"/>
  <c r="AC111" i="31"/>
  <c r="Z111" i="31"/>
  <c r="AA111" i="31" s="1"/>
  <c r="AB111" i="31" s="1"/>
  <c r="Y111" i="31"/>
  <c r="V111" i="31"/>
  <c r="U111" i="31"/>
  <c r="R111" i="31"/>
  <c r="Q111" i="31"/>
  <c r="N111" i="31"/>
  <c r="M111" i="31"/>
  <c r="H111" i="31"/>
  <c r="J111" i="31" s="1"/>
  <c r="F111" i="31"/>
  <c r="AD110" i="31"/>
  <c r="AC110" i="31"/>
  <c r="Z110" i="31"/>
  <c r="AA110" i="31" s="1"/>
  <c r="AB110" i="31" s="1"/>
  <c r="Y110" i="31"/>
  <c r="V110" i="31"/>
  <c r="U110" i="31"/>
  <c r="Q110" i="31"/>
  <c r="R110" i="31" s="1"/>
  <c r="N110" i="31"/>
  <c r="M110" i="31"/>
  <c r="H110" i="31"/>
  <c r="J110" i="31" s="1"/>
  <c r="F110" i="31"/>
  <c r="AD109" i="31"/>
  <c r="AC109" i="31"/>
  <c r="Y109" i="31"/>
  <c r="Z109" i="31" s="1"/>
  <c r="AA109" i="31" s="1"/>
  <c r="AB109" i="31" s="1"/>
  <c r="V109" i="31"/>
  <c r="U109" i="31"/>
  <c r="Q109" i="31"/>
  <c r="R109" i="31" s="1"/>
  <c r="N109" i="31"/>
  <c r="M109" i="31"/>
  <c r="H109" i="31"/>
  <c r="J109" i="31" s="1"/>
  <c r="F109" i="31"/>
  <c r="AD108" i="31"/>
  <c r="AC108" i="31"/>
  <c r="Z108" i="31"/>
  <c r="Y108" i="31"/>
  <c r="W108" i="31"/>
  <c r="X108" i="31" s="1"/>
  <c r="V108" i="31"/>
  <c r="U108" i="31"/>
  <c r="Q108" i="31"/>
  <c r="R108" i="31" s="1"/>
  <c r="N108" i="31"/>
  <c r="M108" i="31"/>
  <c r="H108" i="31"/>
  <c r="J108" i="31" s="1"/>
  <c r="F108" i="31"/>
  <c r="AD107" i="31"/>
  <c r="AC107" i="31"/>
  <c r="Y107" i="31"/>
  <c r="Z107" i="31" s="1"/>
  <c r="AA107" i="31" s="1"/>
  <c r="AB107" i="31" s="1"/>
  <c r="V107" i="31"/>
  <c r="U107" i="31"/>
  <c r="R107" i="31"/>
  <c r="Q107" i="31"/>
  <c r="N107" i="31"/>
  <c r="M107" i="31"/>
  <c r="H107" i="31"/>
  <c r="J107" i="31" s="1"/>
  <c r="F107" i="31"/>
  <c r="AD106" i="31"/>
  <c r="AC106" i="31"/>
  <c r="Y106" i="31"/>
  <c r="Z106" i="31" s="1"/>
  <c r="AA106" i="31" s="1"/>
  <c r="AB106" i="31" s="1"/>
  <c r="V106" i="31"/>
  <c r="U106" i="31"/>
  <c r="R106" i="31"/>
  <c r="Q106" i="31"/>
  <c r="N106" i="31"/>
  <c r="M106" i="31"/>
  <c r="H106" i="31"/>
  <c r="J106" i="31" s="1"/>
  <c r="F106" i="31"/>
  <c r="AD105" i="31"/>
  <c r="AC105" i="31"/>
  <c r="Y105" i="31"/>
  <c r="Z105" i="31" s="1"/>
  <c r="AA105" i="31" s="1"/>
  <c r="AB105" i="31" s="1"/>
  <c r="V105" i="31"/>
  <c r="U105" i="31"/>
  <c r="R105" i="31"/>
  <c r="Q105" i="31"/>
  <c r="N105" i="31"/>
  <c r="M105" i="31"/>
  <c r="H105" i="31"/>
  <c r="J105" i="31" s="1"/>
  <c r="F105" i="31"/>
  <c r="AD104" i="31"/>
  <c r="AC104" i="31"/>
  <c r="Z104" i="31"/>
  <c r="Y104" i="31"/>
  <c r="V104" i="31"/>
  <c r="U104" i="31"/>
  <c r="Q104" i="31"/>
  <c r="R104" i="31" s="1"/>
  <c r="N104" i="31"/>
  <c r="M104" i="31"/>
  <c r="H104" i="31"/>
  <c r="J104" i="31" s="1"/>
  <c r="F104" i="31"/>
  <c r="AD103" i="31"/>
  <c r="AC103" i="31"/>
  <c r="Z103" i="31"/>
  <c r="AA103" i="31" s="1"/>
  <c r="AB103" i="31" s="1"/>
  <c r="Y103" i="31"/>
  <c r="V103" i="31"/>
  <c r="U103" i="31"/>
  <c r="R103" i="31"/>
  <c r="Q103" i="31"/>
  <c r="N103" i="31"/>
  <c r="M103" i="31"/>
  <c r="H103" i="31"/>
  <c r="J103" i="31" s="1"/>
  <c r="F103" i="31"/>
  <c r="AD102" i="31"/>
  <c r="AC102" i="31"/>
  <c r="Z102" i="31"/>
  <c r="AA102" i="31" s="1"/>
  <c r="AB102" i="31" s="1"/>
  <c r="Y102" i="31"/>
  <c r="V102" i="31"/>
  <c r="U102" i="31"/>
  <c r="Q102" i="31"/>
  <c r="R102" i="31" s="1"/>
  <c r="N102" i="31"/>
  <c r="M102" i="31"/>
  <c r="H102" i="31"/>
  <c r="J102" i="31" s="1"/>
  <c r="F102" i="31"/>
  <c r="AD101" i="31"/>
  <c r="AC101" i="31"/>
  <c r="Y101" i="31"/>
  <c r="Z101" i="31" s="1"/>
  <c r="AA101" i="31" s="1"/>
  <c r="AB101" i="31" s="1"/>
  <c r="V101" i="31"/>
  <c r="U101" i="31"/>
  <c r="Q101" i="31"/>
  <c r="R101" i="31" s="1"/>
  <c r="N101" i="31"/>
  <c r="M101" i="31"/>
  <c r="H101" i="31"/>
  <c r="J101" i="31" s="1"/>
  <c r="F101" i="31"/>
  <c r="AD100" i="31"/>
  <c r="AC100" i="31"/>
  <c r="Z100" i="31"/>
  <c r="Y100" i="31"/>
  <c r="V100" i="31"/>
  <c r="U100" i="31"/>
  <c r="Q100" i="31"/>
  <c r="R100" i="31" s="1"/>
  <c r="N100" i="31"/>
  <c r="M100" i="31"/>
  <c r="H100" i="31"/>
  <c r="J100" i="31" s="1"/>
  <c r="W100" i="31" s="1"/>
  <c r="X100" i="31" s="1"/>
  <c r="F100" i="31"/>
  <c r="AD99" i="31"/>
  <c r="AC99" i="31"/>
  <c r="Y99" i="31"/>
  <c r="Z99" i="31" s="1"/>
  <c r="AA99" i="31" s="1"/>
  <c r="AB99" i="31" s="1"/>
  <c r="V99" i="31"/>
  <c r="U99" i="31"/>
  <c r="R99" i="31"/>
  <c r="Q99" i="31"/>
  <c r="N99" i="31"/>
  <c r="M99" i="31"/>
  <c r="H99" i="31"/>
  <c r="J99" i="31" s="1"/>
  <c r="F99" i="31"/>
  <c r="AD98" i="31"/>
  <c r="AC98" i="31"/>
  <c r="Y98" i="31"/>
  <c r="Z98" i="31" s="1"/>
  <c r="AA98" i="31" s="1"/>
  <c r="AB98" i="31" s="1"/>
  <c r="V98" i="31"/>
  <c r="U98" i="31"/>
  <c r="R98" i="31"/>
  <c r="Q98" i="31"/>
  <c r="N98" i="31"/>
  <c r="M98" i="31"/>
  <c r="H98" i="31"/>
  <c r="J98" i="31" s="1"/>
  <c r="F98" i="31"/>
  <c r="AD97" i="31"/>
  <c r="AC97" i="31"/>
  <c r="Y97" i="31"/>
  <c r="Z97" i="31" s="1"/>
  <c r="AA97" i="31" s="1"/>
  <c r="AB97" i="31" s="1"/>
  <c r="W97" i="31"/>
  <c r="X97" i="31" s="1"/>
  <c r="V97" i="31"/>
  <c r="U97" i="31"/>
  <c r="R97" i="31"/>
  <c r="Q97" i="31"/>
  <c r="N97" i="31"/>
  <c r="M97" i="31"/>
  <c r="H97" i="31"/>
  <c r="J97" i="31" s="1"/>
  <c r="F97" i="31"/>
  <c r="AD96" i="31"/>
  <c r="AC96" i="31"/>
  <c r="Y96" i="31"/>
  <c r="Z96" i="31" s="1"/>
  <c r="AA96" i="31" s="1"/>
  <c r="AB96" i="31" s="1"/>
  <c r="W96" i="31"/>
  <c r="X96" i="31" s="1"/>
  <c r="V96" i="31"/>
  <c r="U96" i="31"/>
  <c r="Q96" i="31"/>
  <c r="R96" i="31" s="1"/>
  <c r="N96" i="31"/>
  <c r="M96" i="31"/>
  <c r="H96" i="31"/>
  <c r="J96" i="31" s="1"/>
  <c r="F96" i="31"/>
  <c r="AD95" i="31"/>
  <c r="AC95" i="31"/>
  <c r="Y95" i="31"/>
  <c r="Z95" i="31" s="1"/>
  <c r="AA95" i="31" s="1"/>
  <c r="AB95" i="31" s="1"/>
  <c r="X95" i="31"/>
  <c r="W95" i="31"/>
  <c r="V95" i="31"/>
  <c r="U95" i="31"/>
  <c r="Q95" i="31"/>
  <c r="R95" i="31" s="1"/>
  <c r="N95" i="31"/>
  <c r="M95" i="31"/>
  <c r="H95" i="31"/>
  <c r="J95" i="31" s="1"/>
  <c r="F95" i="31"/>
  <c r="AD94" i="31"/>
  <c r="AC94" i="31"/>
  <c r="Z94" i="31"/>
  <c r="AA94" i="31" s="1"/>
  <c r="AB94" i="31" s="1"/>
  <c r="Y94" i="31"/>
  <c r="V94" i="31"/>
  <c r="U94" i="31"/>
  <c r="R94" i="31"/>
  <c r="Q94" i="31"/>
  <c r="N94" i="31"/>
  <c r="M94" i="31"/>
  <c r="J94" i="31"/>
  <c r="K94" i="31" s="1"/>
  <c r="H94" i="31"/>
  <c r="F94" i="31"/>
  <c r="AD93" i="31"/>
  <c r="AC93" i="31"/>
  <c r="Z93" i="31"/>
  <c r="Y93" i="31"/>
  <c r="W93" i="31"/>
  <c r="X93" i="31" s="1"/>
  <c r="V93" i="31"/>
  <c r="U93" i="31"/>
  <c r="Q93" i="31"/>
  <c r="R93" i="31" s="1"/>
  <c r="N93" i="31"/>
  <c r="M93" i="31"/>
  <c r="H93" i="31"/>
  <c r="J93" i="31" s="1"/>
  <c r="AF93" i="31" s="1"/>
  <c r="AE93" i="31" s="1"/>
  <c r="F93" i="31"/>
  <c r="AD92" i="31"/>
  <c r="AC92" i="31"/>
  <c r="Y92" i="31"/>
  <c r="Z92" i="31" s="1"/>
  <c r="V92" i="31"/>
  <c r="U92" i="31"/>
  <c r="R92" i="31"/>
  <c r="Q92" i="31"/>
  <c r="N92" i="31"/>
  <c r="M92" i="31"/>
  <c r="H92" i="31"/>
  <c r="J92" i="31" s="1"/>
  <c r="F92" i="31"/>
  <c r="AD91" i="31"/>
  <c r="AC91" i="31"/>
  <c r="Y91" i="31"/>
  <c r="Z91" i="31" s="1"/>
  <c r="U91" i="31"/>
  <c r="V91" i="31" s="1"/>
  <c r="Q91" i="31"/>
  <c r="R91" i="31" s="1"/>
  <c r="M91" i="31"/>
  <c r="N91" i="31" s="1"/>
  <c r="H91" i="31"/>
  <c r="J91" i="31" s="1"/>
  <c r="F91" i="31"/>
  <c r="AF90" i="31"/>
  <c r="AE90" i="31" s="1"/>
  <c r="AD90" i="31"/>
  <c r="AC90" i="31"/>
  <c r="Y90" i="31"/>
  <c r="Z90" i="31" s="1"/>
  <c r="AA90" i="31" s="1"/>
  <c r="AB90" i="31" s="1"/>
  <c r="V90" i="31"/>
  <c r="W90" i="31" s="1"/>
  <c r="X90" i="31" s="1"/>
  <c r="U90" i="31"/>
  <c r="Q90" i="31"/>
  <c r="R90" i="31" s="1"/>
  <c r="M90" i="31"/>
  <c r="N90" i="31" s="1"/>
  <c r="J90" i="31"/>
  <c r="K90" i="31" s="1"/>
  <c r="H90" i="31"/>
  <c r="F90" i="31"/>
  <c r="AC89" i="31"/>
  <c r="AD89" i="31" s="1"/>
  <c r="Z89" i="31"/>
  <c r="Y89" i="31"/>
  <c r="V89" i="31"/>
  <c r="W89" i="31" s="1"/>
  <c r="X89" i="31" s="1"/>
  <c r="U89" i="31"/>
  <c r="R89" i="31"/>
  <c r="Q89" i="31"/>
  <c r="M89" i="31"/>
  <c r="N89" i="31" s="1"/>
  <c r="H89" i="31"/>
  <c r="J89" i="31" s="1"/>
  <c r="K89" i="31" s="1"/>
  <c r="F89" i="31"/>
  <c r="AC88" i="31"/>
  <c r="AD88" i="31" s="1"/>
  <c r="AF88" i="31" s="1"/>
  <c r="AE88" i="31" s="1"/>
  <c r="AA88" i="31"/>
  <c r="AB88" i="31" s="1"/>
  <c r="Y88" i="31"/>
  <c r="Z88" i="31" s="1"/>
  <c r="U88" i="31"/>
  <c r="V88" i="31" s="1"/>
  <c r="W88" i="31" s="1"/>
  <c r="X88" i="31" s="1"/>
  <c r="Q88" i="31"/>
  <c r="M88" i="31"/>
  <c r="N88" i="31" s="1"/>
  <c r="K88" i="31"/>
  <c r="J88" i="31"/>
  <c r="H88" i="31"/>
  <c r="F88" i="31"/>
  <c r="AC87" i="31"/>
  <c r="AD87" i="31" s="1"/>
  <c r="AF87" i="31" s="1"/>
  <c r="AE87" i="31" s="1"/>
  <c r="AA87" i="31"/>
  <c r="AB87" i="31" s="1"/>
  <c r="Y87" i="31"/>
  <c r="Z87" i="31" s="1"/>
  <c r="U87" i="31"/>
  <c r="V87" i="31" s="1"/>
  <c r="W87" i="31" s="1"/>
  <c r="X87" i="31" s="1"/>
  <c r="Q87" i="31"/>
  <c r="M87" i="31"/>
  <c r="N87" i="31" s="1"/>
  <c r="K87" i="31"/>
  <c r="J87" i="31"/>
  <c r="H87" i="31"/>
  <c r="F87" i="31"/>
  <c r="AC86" i="31"/>
  <c r="AD86" i="31" s="1"/>
  <c r="AF86" i="31" s="1"/>
  <c r="AE86" i="31" s="1"/>
  <c r="AA86" i="31"/>
  <c r="AB86" i="31" s="1"/>
  <c r="Y86" i="31"/>
  <c r="Z86" i="31" s="1"/>
  <c r="U86" i="31"/>
  <c r="V86" i="31" s="1"/>
  <c r="W86" i="31" s="1"/>
  <c r="X86" i="31" s="1"/>
  <c r="Q86" i="31"/>
  <c r="M86" i="31"/>
  <c r="N86" i="31" s="1"/>
  <c r="K86" i="31"/>
  <c r="J86" i="31"/>
  <c r="H86" i="31"/>
  <c r="F86" i="31"/>
  <c r="AC85" i="31"/>
  <c r="AD85" i="31" s="1"/>
  <c r="AF85" i="31" s="1"/>
  <c r="AE85" i="31" s="1"/>
  <c r="AA85" i="31"/>
  <c r="AB85" i="31" s="1"/>
  <c r="Y85" i="31"/>
  <c r="Z85" i="31" s="1"/>
  <c r="U85" i="31"/>
  <c r="V85" i="31" s="1"/>
  <c r="W85" i="31" s="1"/>
  <c r="X85" i="31" s="1"/>
  <c r="Q85" i="31"/>
  <c r="M85" i="31"/>
  <c r="N85" i="31" s="1"/>
  <c r="K85" i="31"/>
  <c r="J85" i="31"/>
  <c r="H85" i="31"/>
  <c r="F85" i="31"/>
  <c r="AC84" i="31"/>
  <c r="AD84" i="31" s="1"/>
  <c r="AF84" i="31" s="1"/>
  <c r="AE84" i="31" s="1"/>
  <c r="AA84" i="31"/>
  <c r="AB84" i="31" s="1"/>
  <c r="Y84" i="31"/>
  <c r="Z84" i="31" s="1"/>
  <c r="U84" i="31"/>
  <c r="V84" i="31" s="1"/>
  <c r="W84" i="31" s="1"/>
  <c r="X84" i="31" s="1"/>
  <c r="Q84" i="31"/>
  <c r="M84" i="31"/>
  <c r="N84" i="31" s="1"/>
  <c r="K84" i="31"/>
  <c r="J84" i="31"/>
  <c r="H84" i="31"/>
  <c r="F84" i="31"/>
  <c r="AC83" i="31"/>
  <c r="AD83" i="31" s="1"/>
  <c r="AF83" i="31" s="1"/>
  <c r="AE83" i="31" s="1"/>
  <c r="AA83" i="31"/>
  <c r="AB83" i="31" s="1"/>
  <c r="Y83" i="31"/>
  <c r="Z83" i="31" s="1"/>
  <c r="U83" i="31"/>
  <c r="V83" i="31" s="1"/>
  <c r="W83" i="31" s="1"/>
  <c r="X83" i="31" s="1"/>
  <c r="Q83" i="31"/>
  <c r="M83" i="31"/>
  <c r="N83" i="31" s="1"/>
  <c r="K83" i="31"/>
  <c r="J83" i="31"/>
  <c r="H83" i="31"/>
  <c r="F83" i="31"/>
  <c r="AC82" i="31"/>
  <c r="AD82" i="31" s="1"/>
  <c r="AF82" i="31" s="1"/>
  <c r="AE82" i="31" s="1"/>
  <c r="AA82" i="31"/>
  <c r="AB82" i="31" s="1"/>
  <c r="Y82" i="31"/>
  <c r="Z82" i="31" s="1"/>
  <c r="U82" i="31"/>
  <c r="V82" i="31" s="1"/>
  <c r="W82" i="31" s="1"/>
  <c r="X82" i="31" s="1"/>
  <c r="Q82" i="31"/>
  <c r="M82" i="31"/>
  <c r="N82" i="31" s="1"/>
  <c r="K82" i="31"/>
  <c r="J82" i="31"/>
  <c r="H82" i="31"/>
  <c r="F82" i="31"/>
  <c r="AC81" i="31"/>
  <c r="AD81" i="31" s="1"/>
  <c r="AF81" i="31" s="1"/>
  <c r="AE81" i="31" s="1"/>
  <c r="AA81" i="31"/>
  <c r="AB81" i="31" s="1"/>
  <c r="Y81" i="31"/>
  <c r="Z81" i="31" s="1"/>
  <c r="U81" i="31"/>
  <c r="V81" i="31" s="1"/>
  <c r="W81" i="31" s="1"/>
  <c r="X81" i="31" s="1"/>
  <c r="Q81" i="31"/>
  <c r="M81" i="31"/>
  <c r="N81" i="31" s="1"/>
  <c r="K81" i="31"/>
  <c r="J81" i="31"/>
  <c r="H81" i="31"/>
  <c r="F81" i="31"/>
  <c r="AC80" i="31"/>
  <c r="AD80" i="31" s="1"/>
  <c r="AF80" i="31" s="1"/>
  <c r="AE80" i="31" s="1"/>
  <c r="AA80" i="31"/>
  <c r="AB80" i="31" s="1"/>
  <c r="Y80" i="31"/>
  <c r="Z80" i="31" s="1"/>
  <c r="U80" i="31"/>
  <c r="V80" i="31" s="1"/>
  <c r="W80" i="31" s="1"/>
  <c r="X80" i="31" s="1"/>
  <c r="Q80" i="31"/>
  <c r="M80" i="31"/>
  <c r="N80" i="31" s="1"/>
  <c r="K80" i="31"/>
  <c r="J80" i="31"/>
  <c r="H80" i="31"/>
  <c r="F80" i="31"/>
  <c r="AC79" i="31"/>
  <c r="AD79" i="31" s="1"/>
  <c r="AF79" i="31" s="1"/>
  <c r="AE79" i="31" s="1"/>
  <c r="AA79" i="31"/>
  <c r="AB79" i="31" s="1"/>
  <c r="Y79" i="31"/>
  <c r="Z79" i="31" s="1"/>
  <c r="U79" i="31"/>
  <c r="V79" i="31" s="1"/>
  <c r="W79" i="31" s="1"/>
  <c r="X79" i="31" s="1"/>
  <c r="Q79" i="31"/>
  <c r="M79" i="31"/>
  <c r="N79" i="31" s="1"/>
  <c r="K79" i="31"/>
  <c r="J79" i="31"/>
  <c r="H79" i="31"/>
  <c r="F79" i="31"/>
  <c r="AC78" i="31"/>
  <c r="AD78" i="31" s="1"/>
  <c r="AF78" i="31" s="1"/>
  <c r="AE78" i="31" s="1"/>
  <c r="AA78" i="31"/>
  <c r="AB78" i="31" s="1"/>
  <c r="Y78" i="31"/>
  <c r="Z78" i="31" s="1"/>
  <c r="U78" i="31"/>
  <c r="V78" i="31" s="1"/>
  <c r="W78" i="31" s="1"/>
  <c r="X78" i="31" s="1"/>
  <c r="Q78" i="31"/>
  <c r="M78" i="31"/>
  <c r="N78" i="31" s="1"/>
  <c r="K78" i="31"/>
  <c r="J78" i="31"/>
  <c r="H78" i="31"/>
  <c r="F78" i="31"/>
  <c r="AC77" i="31"/>
  <c r="AD77" i="31" s="1"/>
  <c r="AF77" i="31" s="1"/>
  <c r="AE77" i="31" s="1"/>
  <c r="AA77" i="31"/>
  <c r="AB77" i="31" s="1"/>
  <c r="Y77" i="31"/>
  <c r="Z77" i="31" s="1"/>
  <c r="U77" i="31"/>
  <c r="V77" i="31" s="1"/>
  <c r="W77" i="31" s="1"/>
  <c r="X77" i="31" s="1"/>
  <c r="Q77" i="31"/>
  <c r="M77" i="31"/>
  <c r="N77" i="31" s="1"/>
  <c r="K77" i="31"/>
  <c r="J77" i="31"/>
  <c r="H77" i="31"/>
  <c r="F77" i="31"/>
  <c r="AC76" i="31"/>
  <c r="AD76" i="31" s="1"/>
  <c r="AF76" i="31" s="1"/>
  <c r="AE76" i="31" s="1"/>
  <c r="Z76" i="31"/>
  <c r="Y76" i="31"/>
  <c r="U76" i="31"/>
  <c r="V76" i="31" s="1"/>
  <c r="Q76" i="31"/>
  <c r="R76" i="31" s="1"/>
  <c r="M76" i="31"/>
  <c r="N76" i="31" s="1"/>
  <c r="H76" i="31"/>
  <c r="J76" i="31" s="1"/>
  <c r="F76" i="31"/>
  <c r="AC75" i="31"/>
  <c r="AD75" i="31" s="1"/>
  <c r="AF75" i="31" s="1"/>
  <c r="AE75" i="31" s="1"/>
  <c r="Y75" i="31"/>
  <c r="Z75" i="31" s="1"/>
  <c r="AA75" i="31" s="1"/>
  <c r="AB75" i="31" s="1"/>
  <c r="U75" i="31"/>
  <c r="V75" i="31" s="1"/>
  <c r="R75" i="31"/>
  <c r="Q75" i="31"/>
  <c r="M75" i="31"/>
  <c r="N75" i="31" s="1"/>
  <c r="J75" i="31"/>
  <c r="H75" i="31"/>
  <c r="F75" i="31"/>
  <c r="AC74" i="31"/>
  <c r="AD74" i="31" s="1"/>
  <c r="Y74" i="31"/>
  <c r="Z74" i="31" s="1"/>
  <c r="AA74" i="31" s="1"/>
  <c r="AB74" i="31" s="1"/>
  <c r="U74" i="31"/>
  <c r="V74" i="31" s="1"/>
  <c r="Q74" i="31"/>
  <c r="R74" i="31" s="1"/>
  <c r="M74" i="31"/>
  <c r="N74" i="31" s="1"/>
  <c r="J74" i="31"/>
  <c r="AF74" i="31" s="1"/>
  <c r="AE74" i="31" s="1"/>
  <c r="H74" i="31"/>
  <c r="F74" i="31"/>
  <c r="AC73" i="31"/>
  <c r="AD73" i="31" s="1"/>
  <c r="AF73" i="31" s="1"/>
  <c r="AE73" i="31" s="1"/>
  <c r="Y73" i="31"/>
  <c r="Z73" i="31" s="1"/>
  <c r="U73" i="31"/>
  <c r="V73" i="31" s="1"/>
  <c r="Q73" i="31"/>
  <c r="R73" i="31" s="1"/>
  <c r="M73" i="31"/>
  <c r="N73" i="31" s="1"/>
  <c r="H73" i="31"/>
  <c r="J73" i="31" s="1"/>
  <c r="F73" i="31"/>
  <c r="AC72" i="31"/>
  <c r="AD72" i="31" s="1"/>
  <c r="Z72" i="31"/>
  <c r="Y72" i="31"/>
  <c r="U72" i="31"/>
  <c r="V72" i="31" s="1"/>
  <c r="Q72" i="31"/>
  <c r="R72" i="31" s="1"/>
  <c r="M72" i="31"/>
  <c r="N72" i="31" s="1"/>
  <c r="H72" i="31"/>
  <c r="J72" i="31" s="1"/>
  <c r="F72" i="31"/>
  <c r="AC71" i="31"/>
  <c r="AD71" i="31" s="1"/>
  <c r="Y71" i="31"/>
  <c r="Z71" i="31" s="1"/>
  <c r="U71" i="31"/>
  <c r="V71" i="31" s="1"/>
  <c r="R71" i="31"/>
  <c r="Q71" i="31"/>
  <c r="M71" i="31"/>
  <c r="N71" i="31" s="1"/>
  <c r="J71" i="31"/>
  <c r="K71" i="31" s="1"/>
  <c r="H71" i="31"/>
  <c r="F71" i="31"/>
  <c r="AC70" i="31"/>
  <c r="AD70" i="31" s="1"/>
  <c r="Y70" i="31"/>
  <c r="Z70" i="31" s="1"/>
  <c r="AA70" i="31" s="1"/>
  <c r="AB70" i="31" s="1"/>
  <c r="U70" i="31"/>
  <c r="V70" i="31" s="1"/>
  <c r="W70" i="31" s="1"/>
  <c r="X70" i="31" s="1"/>
  <c r="Q70" i="31"/>
  <c r="R70" i="31" s="1"/>
  <c r="N70" i="31"/>
  <c r="M70" i="31"/>
  <c r="K70" i="31"/>
  <c r="J70" i="31"/>
  <c r="AF70" i="31" s="1"/>
  <c r="AE70" i="31" s="1"/>
  <c r="H70" i="31"/>
  <c r="F70" i="31"/>
  <c r="AD69" i="31"/>
  <c r="AF69" i="31" s="1"/>
  <c r="AE69" i="31" s="1"/>
  <c r="AC69" i="31"/>
  <c r="AB69" i="31"/>
  <c r="Y69" i="31"/>
  <c r="Z69" i="31" s="1"/>
  <c r="AA69" i="31" s="1"/>
  <c r="V69" i="31"/>
  <c r="W69" i="31" s="1"/>
  <c r="X69" i="31" s="1"/>
  <c r="U69" i="31"/>
  <c r="Q69" i="31"/>
  <c r="R69" i="31" s="1"/>
  <c r="N69" i="31"/>
  <c r="M69" i="31"/>
  <c r="K69" i="31"/>
  <c r="J69" i="31"/>
  <c r="S69" i="31" s="1"/>
  <c r="T69" i="31" s="1"/>
  <c r="H69" i="31"/>
  <c r="F69" i="31"/>
  <c r="AD68" i="31"/>
  <c r="AF68" i="31" s="1"/>
  <c r="AE68" i="31" s="1"/>
  <c r="AC68" i="31"/>
  <c r="AB68" i="31"/>
  <c r="Y68" i="31"/>
  <c r="Z68" i="31" s="1"/>
  <c r="AA68" i="31" s="1"/>
  <c r="V68" i="31"/>
  <c r="W68" i="31" s="1"/>
  <c r="X68" i="31" s="1"/>
  <c r="U68" i="31"/>
  <c r="Q68" i="31"/>
  <c r="R68" i="31" s="1"/>
  <c r="N68" i="31"/>
  <c r="M68" i="31"/>
  <c r="K68" i="31"/>
  <c r="J68" i="31"/>
  <c r="S68" i="31" s="1"/>
  <c r="T68" i="31" s="1"/>
  <c r="H68" i="31"/>
  <c r="F68" i="31"/>
  <c r="AD67" i="31"/>
  <c r="AF67" i="31" s="1"/>
  <c r="AE67" i="31" s="1"/>
  <c r="AC67" i="31"/>
  <c r="AB67" i="31"/>
  <c r="Y67" i="31"/>
  <c r="Z67" i="31" s="1"/>
  <c r="AA67" i="31" s="1"/>
  <c r="W67" i="31"/>
  <c r="X67" i="31" s="1"/>
  <c r="V67" i="31"/>
  <c r="U67" i="31"/>
  <c r="Q67" i="31"/>
  <c r="R67" i="31" s="1"/>
  <c r="N67" i="31"/>
  <c r="M67" i="31"/>
  <c r="K67" i="31"/>
  <c r="J67" i="31"/>
  <c r="S67" i="31" s="1"/>
  <c r="T67" i="31" s="1"/>
  <c r="H67" i="31"/>
  <c r="F67" i="31"/>
  <c r="AD66" i="31"/>
  <c r="AF66" i="31" s="1"/>
  <c r="AE66" i="31" s="1"/>
  <c r="AC66" i="31"/>
  <c r="Y66" i="31"/>
  <c r="Z66" i="31" s="1"/>
  <c r="AA66" i="31" s="1"/>
  <c r="AB66" i="31" s="1"/>
  <c r="W66" i="31"/>
  <c r="X66" i="31" s="1"/>
  <c r="V66" i="31"/>
  <c r="U66" i="31"/>
  <c r="T66" i="31"/>
  <c r="Q66" i="31"/>
  <c r="R66" i="31" s="1"/>
  <c r="N66" i="31"/>
  <c r="M66" i="31"/>
  <c r="K66" i="31"/>
  <c r="J66" i="31"/>
  <c r="S66" i="31" s="1"/>
  <c r="H66" i="31"/>
  <c r="F66" i="31"/>
  <c r="AE65" i="31"/>
  <c r="AD65" i="31"/>
  <c r="AF65" i="31" s="1"/>
  <c r="AC65" i="31"/>
  <c r="AB65" i="31"/>
  <c r="Y65" i="31"/>
  <c r="Z65" i="31" s="1"/>
  <c r="AA65" i="31" s="1"/>
  <c r="W65" i="31"/>
  <c r="X65" i="31" s="1"/>
  <c r="V65" i="31"/>
  <c r="U65" i="31"/>
  <c r="T65" i="31"/>
  <c r="Q65" i="31"/>
  <c r="R65" i="31" s="1"/>
  <c r="N65" i="31"/>
  <c r="M65" i="31"/>
  <c r="K65" i="31"/>
  <c r="J65" i="31"/>
  <c r="S65" i="31" s="1"/>
  <c r="H65" i="31"/>
  <c r="F65" i="31"/>
  <c r="AE64" i="31"/>
  <c r="AD64" i="31"/>
  <c r="AF64" i="31" s="1"/>
  <c r="AC64" i="31"/>
  <c r="AB64" i="31"/>
  <c r="Y64" i="31"/>
  <c r="Z64" i="31" s="1"/>
  <c r="AA64" i="31" s="1"/>
  <c r="V64" i="31"/>
  <c r="W64" i="31" s="1"/>
  <c r="X64" i="31" s="1"/>
  <c r="U64" i="31"/>
  <c r="T64" i="31"/>
  <c r="Q64" i="31"/>
  <c r="R64" i="31" s="1"/>
  <c r="N64" i="31"/>
  <c r="M64" i="31"/>
  <c r="K64" i="31"/>
  <c r="J64" i="31"/>
  <c r="S64" i="31" s="1"/>
  <c r="H64" i="31"/>
  <c r="F64" i="31"/>
  <c r="AD63" i="31"/>
  <c r="AF63" i="31" s="1"/>
  <c r="AE63" i="31" s="1"/>
  <c r="AC63" i="31"/>
  <c r="AB63" i="31"/>
  <c r="Y63" i="31"/>
  <c r="Z63" i="31" s="1"/>
  <c r="AA63" i="31" s="1"/>
  <c r="V63" i="31"/>
  <c r="W63" i="31" s="1"/>
  <c r="X63" i="31" s="1"/>
  <c r="U63" i="31"/>
  <c r="Q63" i="31"/>
  <c r="R63" i="31" s="1"/>
  <c r="N63" i="31"/>
  <c r="M63" i="31"/>
  <c r="K63" i="31"/>
  <c r="J63" i="31"/>
  <c r="S63" i="31" s="1"/>
  <c r="T63" i="31" s="1"/>
  <c r="H63" i="31"/>
  <c r="F63" i="31"/>
  <c r="AE62" i="31"/>
  <c r="AD62" i="31"/>
  <c r="AF62" i="31" s="1"/>
  <c r="AC62" i="31"/>
  <c r="Y62" i="31"/>
  <c r="Z62" i="31" s="1"/>
  <c r="AA62" i="31" s="1"/>
  <c r="AB62" i="31" s="1"/>
  <c r="W62" i="31"/>
  <c r="X62" i="31" s="1"/>
  <c r="V62" i="31"/>
  <c r="U62" i="31"/>
  <c r="T62" i="31"/>
  <c r="Q62" i="31"/>
  <c r="R62" i="31" s="1"/>
  <c r="N62" i="31"/>
  <c r="M62" i="31"/>
  <c r="K62" i="31"/>
  <c r="J62" i="31"/>
  <c r="S62" i="31" s="1"/>
  <c r="H62" i="31"/>
  <c r="F62" i="31"/>
  <c r="AE61" i="31"/>
  <c r="AD61" i="31"/>
  <c r="AF61" i="31" s="1"/>
  <c r="AC61" i="31"/>
  <c r="Y61" i="31"/>
  <c r="Z61" i="31" s="1"/>
  <c r="AA61" i="31" s="1"/>
  <c r="AB61" i="31" s="1"/>
  <c r="W61" i="31"/>
  <c r="X61" i="31" s="1"/>
  <c r="V61" i="31"/>
  <c r="U61" i="31"/>
  <c r="T61" i="31"/>
  <c r="Q61" i="31"/>
  <c r="R61" i="31" s="1"/>
  <c r="N61" i="31"/>
  <c r="M61" i="31"/>
  <c r="K61" i="31"/>
  <c r="J61" i="31"/>
  <c r="S61" i="31" s="1"/>
  <c r="H61" i="31"/>
  <c r="F61" i="31"/>
  <c r="AE60" i="31"/>
  <c r="AD60" i="31"/>
  <c r="AF60" i="31" s="1"/>
  <c r="AC60" i="31"/>
  <c r="AB60" i="31"/>
  <c r="Y60" i="31"/>
  <c r="Z60" i="31" s="1"/>
  <c r="AA60" i="31" s="1"/>
  <c r="V60" i="31"/>
  <c r="W60" i="31" s="1"/>
  <c r="X60" i="31" s="1"/>
  <c r="U60" i="31"/>
  <c r="Q60" i="31"/>
  <c r="R60" i="31" s="1"/>
  <c r="N60" i="31"/>
  <c r="M60" i="31"/>
  <c r="K60" i="31"/>
  <c r="J60" i="31"/>
  <c r="S60" i="31" s="1"/>
  <c r="T60" i="31" s="1"/>
  <c r="H60" i="31"/>
  <c r="F60" i="31"/>
  <c r="AD59" i="31"/>
  <c r="AF59" i="31" s="1"/>
  <c r="AE59" i="31" s="1"/>
  <c r="AC59" i="31"/>
  <c r="AB59" i="31"/>
  <c r="Y59" i="31"/>
  <c r="Z59" i="31" s="1"/>
  <c r="AA59" i="31" s="1"/>
  <c r="W59" i="31"/>
  <c r="X59" i="31" s="1"/>
  <c r="V59" i="31"/>
  <c r="U59" i="31"/>
  <c r="Q59" i="31"/>
  <c r="R59" i="31" s="1"/>
  <c r="N59" i="31"/>
  <c r="M59" i="31"/>
  <c r="K59" i="31"/>
  <c r="J59" i="31"/>
  <c r="S59" i="31" s="1"/>
  <c r="T59" i="31" s="1"/>
  <c r="H59" i="31"/>
  <c r="F59" i="31"/>
  <c r="AD58" i="31"/>
  <c r="AF58" i="31" s="1"/>
  <c r="AE58" i="31" s="1"/>
  <c r="AC58" i="31"/>
  <c r="Y58" i="31"/>
  <c r="Z58" i="31" s="1"/>
  <c r="AA58" i="31" s="1"/>
  <c r="AB58" i="31" s="1"/>
  <c r="W58" i="31"/>
  <c r="X58" i="31" s="1"/>
  <c r="V58" i="31"/>
  <c r="U58" i="31"/>
  <c r="T58" i="31"/>
  <c r="Q58" i="31"/>
  <c r="R58" i="31" s="1"/>
  <c r="N58" i="31"/>
  <c r="M58" i="31"/>
  <c r="K58" i="31"/>
  <c r="J58" i="31"/>
  <c r="S58" i="31" s="1"/>
  <c r="H58" i="31"/>
  <c r="F58" i="31"/>
  <c r="AE57" i="31"/>
  <c r="AD57" i="31"/>
  <c r="AF57" i="31" s="1"/>
  <c r="AC57" i="31"/>
  <c r="AB57" i="31"/>
  <c r="Y57" i="31"/>
  <c r="Z57" i="31" s="1"/>
  <c r="AA57" i="31" s="1"/>
  <c r="W57" i="31"/>
  <c r="X57" i="31" s="1"/>
  <c r="V57" i="31"/>
  <c r="U57" i="31"/>
  <c r="T57" i="31"/>
  <c r="Q57" i="31"/>
  <c r="R57" i="31" s="1"/>
  <c r="N57" i="31"/>
  <c r="M57" i="31"/>
  <c r="K57" i="31"/>
  <c r="J57" i="31"/>
  <c r="S57" i="31" s="1"/>
  <c r="H57" i="31"/>
  <c r="F57" i="31"/>
  <c r="AE56" i="31"/>
  <c r="AD56" i="31"/>
  <c r="AF56" i="31" s="1"/>
  <c r="AC56" i="31"/>
  <c r="AB56" i="31"/>
  <c r="Y56" i="31"/>
  <c r="Z56" i="31" s="1"/>
  <c r="AA56" i="31" s="1"/>
  <c r="V56" i="31"/>
  <c r="W56" i="31" s="1"/>
  <c r="X56" i="31" s="1"/>
  <c r="U56" i="31"/>
  <c r="T56" i="31"/>
  <c r="Q56" i="31"/>
  <c r="R56" i="31" s="1"/>
  <c r="N56" i="31"/>
  <c r="M56" i="31"/>
  <c r="K56" i="31"/>
  <c r="J56" i="31"/>
  <c r="S56" i="31" s="1"/>
  <c r="H56" i="31"/>
  <c r="F56" i="31"/>
  <c r="AD55" i="31"/>
  <c r="AF55" i="31" s="1"/>
  <c r="AE55" i="31" s="1"/>
  <c r="AC55" i="31"/>
  <c r="AB55" i="31"/>
  <c r="Y55" i="31"/>
  <c r="Z55" i="31" s="1"/>
  <c r="AA55" i="31" s="1"/>
  <c r="V55" i="31"/>
  <c r="W55" i="31" s="1"/>
  <c r="X55" i="31" s="1"/>
  <c r="U55" i="31"/>
  <c r="Q55" i="31"/>
  <c r="R55" i="31" s="1"/>
  <c r="N55" i="31"/>
  <c r="M55" i="31"/>
  <c r="K55" i="31"/>
  <c r="J55" i="31"/>
  <c r="S55" i="31" s="1"/>
  <c r="T55" i="31" s="1"/>
  <c r="H55" i="31"/>
  <c r="F55" i="31"/>
  <c r="AE54" i="31"/>
  <c r="AD54" i="31"/>
  <c r="AF54" i="31" s="1"/>
  <c r="AC54" i="31"/>
  <c r="Y54" i="31"/>
  <c r="Z54" i="31" s="1"/>
  <c r="AA54" i="31" s="1"/>
  <c r="AB54" i="31" s="1"/>
  <c r="W54" i="31"/>
  <c r="X54" i="31" s="1"/>
  <c r="V54" i="31"/>
  <c r="U54" i="31"/>
  <c r="T54" i="31"/>
  <c r="Q54" i="31"/>
  <c r="R54" i="31" s="1"/>
  <c r="N54" i="31"/>
  <c r="M54" i="31"/>
  <c r="K54" i="31"/>
  <c r="J54" i="31"/>
  <c r="S54" i="31" s="1"/>
  <c r="H54" i="31"/>
  <c r="F54" i="31"/>
  <c r="AE53" i="31"/>
  <c r="AD53" i="31"/>
  <c r="AF53" i="31" s="1"/>
  <c r="AC53" i="31"/>
  <c r="Y53" i="31"/>
  <c r="Z53" i="31" s="1"/>
  <c r="AA53" i="31" s="1"/>
  <c r="AB53" i="31" s="1"/>
  <c r="W53" i="31"/>
  <c r="X53" i="31" s="1"/>
  <c r="V53" i="31"/>
  <c r="U53" i="31"/>
  <c r="T53" i="31"/>
  <c r="Q53" i="31"/>
  <c r="R53" i="31" s="1"/>
  <c r="N53" i="31"/>
  <c r="M53" i="31"/>
  <c r="K53" i="31"/>
  <c r="J53" i="31"/>
  <c r="S53" i="31" s="1"/>
  <c r="H53" i="31"/>
  <c r="F53" i="31"/>
  <c r="AE52" i="31"/>
  <c r="AD52" i="31"/>
  <c r="AF52" i="31" s="1"/>
  <c r="AC52" i="31"/>
  <c r="AB52" i="31"/>
  <c r="Y52" i="31"/>
  <c r="Z52" i="31" s="1"/>
  <c r="AA52" i="31" s="1"/>
  <c r="V52" i="31"/>
  <c r="W52" i="31" s="1"/>
  <c r="X52" i="31" s="1"/>
  <c r="U52" i="31"/>
  <c r="Q52" i="31"/>
  <c r="R52" i="31" s="1"/>
  <c r="N52" i="31"/>
  <c r="M52" i="31"/>
  <c r="K52" i="31"/>
  <c r="J52" i="31"/>
  <c r="S52" i="31" s="1"/>
  <c r="T52" i="31" s="1"/>
  <c r="H52" i="31"/>
  <c r="F52" i="31"/>
  <c r="AD51" i="31"/>
  <c r="AF51" i="31" s="1"/>
  <c r="AE51" i="31" s="1"/>
  <c r="AC51" i="31"/>
  <c r="AB51" i="31"/>
  <c r="Y51" i="31"/>
  <c r="Z51" i="31" s="1"/>
  <c r="AA51" i="31" s="1"/>
  <c r="W51" i="31"/>
  <c r="X51" i="31" s="1"/>
  <c r="V51" i="31"/>
  <c r="U51" i="31"/>
  <c r="Q51" i="31"/>
  <c r="R51" i="31" s="1"/>
  <c r="N51" i="31"/>
  <c r="M51" i="31"/>
  <c r="K51" i="31"/>
  <c r="J51" i="31"/>
  <c r="S51" i="31" s="1"/>
  <c r="T51" i="31" s="1"/>
  <c r="H51" i="31"/>
  <c r="F51" i="31"/>
  <c r="AD50" i="31"/>
  <c r="AF50" i="31" s="1"/>
  <c r="AE50" i="31" s="1"/>
  <c r="AC50" i="31"/>
  <c r="Y50" i="31"/>
  <c r="Z50" i="31" s="1"/>
  <c r="AA50" i="31" s="1"/>
  <c r="AB50" i="31" s="1"/>
  <c r="W50" i="31"/>
  <c r="X50" i="31" s="1"/>
  <c r="V50" i="31"/>
  <c r="U50" i="31"/>
  <c r="Q50" i="31"/>
  <c r="R50" i="31" s="1"/>
  <c r="N50" i="31"/>
  <c r="M50" i="31"/>
  <c r="K50" i="31"/>
  <c r="J50" i="31"/>
  <c r="H50" i="31"/>
  <c r="F50" i="31"/>
  <c r="AE49" i="31"/>
  <c r="AD49" i="31"/>
  <c r="AF49" i="31" s="1"/>
  <c r="AC49" i="31"/>
  <c r="AB49" i="31"/>
  <c r="Y49" i="31"/>
  <c r="Z49" i="31" s="1"/>
  <c r="AA49" i="31" s="1"/>
  <c r="W49" i="31"/>
  <c r="X49" i="31" s="1"/>
  <c r="V49" i="31"/>
  <c r="U49" i="31"/>
  <c r="Q49" i="31"/>
  <c r="R49" i="31" s="1"/>
  <c r="N49" i="31"/>
  <c r="M49" i="31"/>
  <c r="K49" i="31"/>
  <c r="J49" i="31"/>
  <c r="H49" i="31"/>
  <c r="F49" i="31"/>
  <c r="AC48" i="31"/>
  <c r="AD48" i="31" s="1"/>
  <c r="AF48" i="31" s="1"/>
  <c r="AE48" i="31" s="1"/>
  <c r="AB48" i="31"/>
  <c r="Y48" i="31"/>
  <c r="Z48" i="31" s="1"/>
  <c r="AA48" i="31" s="1"/>
  <c r="U48" i="31"/>
  <c r="V48" i="31" s="1"/>
  <c r="W48" i="31" s="1"/>
  <c r="X48" i="31" s="1"/>
  <c r="Q48" i="31"/>
  <c r="R48" i="31" s="1"/>
  <c r="N48" i="31"/>
  <c r="M48" i="31"/>
  <c r="K48" i="31"/>
  <c r="J48" i="31"/>
  <c r="H48" i="31"/>
  <c r="F48" i="31"/>
  <c r="AE47" i="31"/>
  <c r="AD47" i="31"/>
  <c r="AF47" i="31" s="1"/>
  <c r="AC47" i="31"/>
  <c r="Y47" i="31"/>
  <c r="Z47" i="31" s="1"/>
  <c r="AA47" i="31" s="1"/>
  <c r="AB47" i="31" s="1"/>
  <c r="U47" i="31"/>
  <c r="V47" i="31" s="1"/>
  <c r="W47" i="31" s="1"/>
  <c r="X47" i="31" s="1"/>
  <c r="Q47" i="31"/>
  <c r="R47" i="31" s="1"/>
  <c r="N47" i="31"/>
  <c r="M47" i="31"/>
  <c r="K47" i="31"/>
  <c r="J47" i="31"/>
  <c r="S47" i="31" s="1"/>
  <c r="T47" i="31" s="1"/>
  <c r="H47" i="31"/>
  <c r="F47" i="31"/>
  <c r="AD46" i="31"/>
  <c r="AF46" i="31" s="1"/>
  <c r="AE46" i="31" s="1"/>
  <c r="AC46" i="31"/>
  <c r="Y46" i="31"/>
  <c r="Z46" i="31" s="1"/>
  <c r="AA46" i="31" s="1"/>
  <c r="AB46" i="31" s="1"/>
  <c r="U46" i="31"/>
  <c r="V46" i="31" s="1"/>
  <c r="W46" i="31" s="1"/>
  <c r="X46" i="31" s="1"/>
  <c r="Q46" i="31"/>
  <c r="R46" i="31" s="1"/>
  <c r="N46" i="31"/>
  <c r="M46" i="31"/>
  <c r="H46" i="31"/>
  <c r="J46" i="31" s="1"/>
  <c r="F46" i="31"/>
  <c r="AD45" i="31"/>
  <c r="AF45" i="31" s="1"/>
  <c r="AE45" i="31" s="1"/>
  <c r="AC45" i="31"/>
  <c r="Y45" i="31"/>
  <c r="Z45" i="31" s="1"/>
  <c r="W45" i="31"/>
  <c r="X45" i="31" s="1"/>
  <c r="V45" i="31"/>
  <c r="U45" i="31"/>
  <c r="Q45" i="31"/>
  <c r="R45" i="31" s="1"/>
  <c r="M45" i="31"/>
  <c r="N45" i="31" s="1"/>
  <c r="K45" i="31"/>
  <c r="H45" i="31"/>
  <c r="J45" i="31" s="1"/>
  <c r="F45" i="31"/>
  <c r="AC44" i="31"/>
  <c r="AD44" i="31" s="1"/>
  <c r="AF44" i="31" s="1"/>
  <c r="AE44" i="31" s="1"/>
  <c r="AB44" i="31"/>
  <c r="Y44" i="31"/>
  <c r="Z44" i="31" s="1"/>
  <c r="AA44" i="31" s="1"/>
  <c r="W44" i="31"/>
  <c r="X44" i="31" s="1"/>
  <c r="V44" i="31"/>
  <c r="U44" i="31"/>
  <c r="Q44" i="31"/>
  <c r="R44" i="31" s="1"/>
  <c r="M44" i="31"/>
  <c r="N44" i="31" s="1"/>
  <c r="K44" i="31"/>
  <c r="H44" i="31"/>
  <c r="J44" i="31" s="1"/>
  <c r="F44" i="31"/>
  <c r="AD43" i="31"/>
  <c r="AF43" i="31" s="1"/>
  <c r="AE43" i="31" s="1"/>
  <c r="AC43" i="31"/>
  <c r="AB43" i="31"/>
  <c r="Z43" i="31"/>
  <c r="AA43" i="31" s="1"/>
  <c r="Y43" i="31"/>
  <c r="V43" i="31"/>
  <c r="W43" i="31" s="1"/>
  <c r="X43" i="31" s="1"/>
  <c r="U43" i="31"/>
  <c r="R43" i="31"/>
  <c r="Q43" i="31"/>
  <c r="M43" i="31"/>
  <c r="N43" i="31" s="1"/>
  <c r="K43" i="31"/>
  <c r="H43" i="31"/>
  <c r="J43" i="31" s="1"/>
  <c r="F43" i="31"/>
  <c r="AC42" i="31"/>
  <c r="AD42" i="31" s="1"/>
  <c r="AF42" i="31" s="1"/>
  <c r="AE42" i="31" s="1"/>
  <c r="AB42" i="31"/>
  <c r="Z42" i="31"/>
  <c r="AA42" i="31" s="1"/>
  <c r="Y42" i="31"/>
  <c r="X42" i="31"/>
  <c r="W42" i="31"/>
  <c r="V42" i="31"/>
  <c r="U42" i="31"/>
  <c r="R42" i="31"/>
  <c r="Q42" i="31"/>
  <c r="O42" i="31"/>
  <c r="P42" i="31" s="1"/>
  <c r="N42" i="31"/>
  <c r="M42" i="31"/>
  <c r="H42" i="31"/>
  <c r="J42" i="31" s="1"/>
  <c r="F42" i="31"/>
  <c r="AD41" i="31"/>
  <c r="AF41" i="31" s="1"/>
  <c r="AE41" i="31" s="1"/>
  <c r="AC41" i="31"/>
  <c r="Y41" i="31"/>
  <c r="Z41" i="31" s="1"/>
  <c r="AA41" i="31" s="1"/>
  <c r="AB41" i="31" s="1"/>
  <c r="U41" i="31"/>
  <c r="V41" i="31" s="1"/>
  <c r="W41" i="31" s="1"/>
  <c r="X41" i="31" s="1"/>
  <c r="R41" i="31"/>
  <c r="Q41" i="31"/>
  <c r="N41" i="31"/>
  <c r="M41" i="31"/>
  <c r="K41" i="31"/>
  <c r="H41" i="31"/>
  <c r="J41" i="31" s="1"/>
  <c r="S41" i="31" s="1"/>
  <c r="T41" i="31" s="1"/>
  <c r="F41" i="31"/>
  <c r="AD40" i="31"/>
  <c r="AF40" i="31" s="1"/>
  <c r="AE40" i="31" s="1"/>
  <c r="AC40" i="31"/>
  <c r="Z40" i="31"/>
  <c r="AA40" i="31" s="1"/>
  <c r="AB40" i="31" s="1"/>
  <c r="Y40" i="31"/>
  <c r="U40" i="31"/>
  <c r="V40" i="31" s="1"/>
  <c r="W40" i="31" s="1"/>
  <c r="X40" i="31" s="1"/>
  <c r="Q40" i="31"/>
  <c r="R40" i="31" s="1"/>
  <c r="M40" i="31"/>
  <c r="N40" i="31" s="1"/>
  <c r="K40" i="31"/>
  <c r="H40" i="31"/>
  <c r="J40" i="31" s="1"/>
  <c r="F40" i="31"/>
  <c r="AF39" i="31"/>
  <c r="AE39" i="31" s="1"/>
  <c r="AD39" i="31"/>
  <c r="AC39" i="31"/>
  <c r="Z39" i="31"/>
  <c r="Y39" i="31"/>
  <c r="V39" i="31"/>
  <c r="U39" i="31"/>
  <c r="Q39" i="31"/>
  <c r="R39" i="31" s="1"/>
  <c r="N39" i="31"/>
  <c r="M39" i="31"/>
  <c r="H39" i="31"/>
  <c r="J39" i="31" s="1"/>
  <c r="W39" i="31" s="1"/>
  <c r="X39" i="31" s="1"/>
  <c r="F39" i="31"/>
  <c r="AD38" i="31"/>
  <c r="AC38" i="31"/>
  <c r="Y38" i="31"/>
  <c r="Z38" i="31" s="1"/>
  <c r="AA38" i="31" s="1"/>
  <c r="AB38" i="31" s="1"/>
  <c r="V38" i="31"/>
  <c r="W38" i="31" s="1"/>
  <c r="X38" i="31" s="1"/>
  <c r="U38" i="31"/>
  <c r="Q38" i="31"/>
  <c r="R38" i="31" s="1"/>
  <c r="N38" i="31"/>
  <c r="M38" i="31"/>
  <c r="H38" i="31"/>
  <c r="J38" i="31" s="1"/>
  <c r="F38" i="31"/>
  <c r="AD37" i="31"/>
  <c r="AC37" i="31"/>
  <c r="Y37" i="31"/>
  <c r="Z37" i="31" s="1"/>
  <c r="V37" i="31"/>
  <c r="W37" i="31" s="1"/>
  <c r="X37" i="31" s="1"/>
  <c r="U37" i="31"/>
  <c r="Q37" i="31"/>
  <c r="R37" i="31" s="1"/>
  <c r="N37" i="31"/>
  <c r="M37" i="31"/>
  <c r="H37" i="31"/>
  <c r="J37" i="31" s="1"/>
  <c r="F37" i="31"/>
  <c r="AD36" i="31"/>
  <c r="AC36" i="31"/>
  <c r="Y36" i="31"/>
  <c r="Z36" i="31" s="1"/>
  <c r="V36" i="31"/>
  <c r="U36" i="31"/>
  <c r="Q36" i="31"/>
  <c r="R36" i="31" s="1"/>
  <c r="N36" i="31"/>
  <c r="M36" i="31"/>
  <c r="H36" i="31"/>
  <c r="J36" i="31" s="1"/>
  <c r="F36" i="31"/>
  <c r="AD35" i="31"/>
  <c r="AC35" i="31"/>
  <c r="Y35" i="31"/>
  <c r="Z35" i="31" s="1"/>
  <c r="AA35" i="31" s="1"/>
  <c r="AB35" i="31" s="1"/>
  <c r="V35" i="31"/>
  <c r="W35" i="31" s="1"/>
  <c r="X35" i="31" s="1"/>
  <c r="U35" i="31"/>
  <c r="Q35" i="31"/>
  <c r="R35" i="31" s="1"/>
  <c r="N35" i="31"/>
  <c r="M35" i="31"/>
  <c r="H35" i="31"/>
  <c r="J35" i="31" s="1"/>
  <c r="F35" i="31"/>
  <c r="AD34" i="31"/>
  <c r="AC34" i="31"/>
  <c r="Y34" i="31"/>
  <c r="Z34" i="31" s="1"/>
  <c r="AA34" i="31" s="1"/>
  <c r="AB34" i="31" s="1"/>
  <c r="V34" i="31"/>
  <c r="W34" i="31" s="1"/>
  <c r="X34" i="31" s="1"/>
  <c r="U34" i="31"/>
  <c r="Q34" i="31"/>
  <c r="R34" i="31" s="1"/>
  <c r="N34" i="31"/>
  <c r="M34" i="31"/>
  <c r="H34" i="31"/>
  <c r="J34" i="31" s="1"/>
  <c r="F34" i="31"/>
  <c r="AD33" i="31"/>
  <c r="AC33" i="31"/>
  <c r="Y33" i="31"/>
  <c r="Z33" i="31" s="1"/>
  <c r="V33" i="31"/>
  <c r="W33" i="31" s="1"/>
  <c r="X33" i="31" s="1"/>
  <c r="U33" i="31"/>
  <c r="Q33" i="31"/>
  <c r="R33" i="31" s="1"/>
  <c r="N33" i="31"/>
  <c r="M33" i="31"/>
  <c r="H33" i="31"/>
  <c r="J33" i="31" s="1"/>
  <c r="F33" i="31"/>
  <c r="AD32" i="31"/>
  <c r="AC32" i="31"/>
  <c r="Y32" i="31"/>
  <c r="Z32" i="31" s="1"/>
  <c r="U32" i="31"/>
  <c r="V32" i="31" s="1"/>
  <c r="W32" i="31" s="1"/>
  <c r="X32" i="31" s="1"/>
  <c r="Q32" i="31"/>
  <c r="R32" i="31" s="1"/>
  <c r="M32" i="31"/>
  <c r="N32" i="31" s="1"/>
  <c r="H32" i="31"/>
  <c r="J32" i="31" s="1"/>
  <c r="F32" i="31"/>
  <c r="AC31" i="31"/>
  <c r="AD31" i="31" s="1"/>
  <c r="AF31" i="31" s="1"/>
  <c r="AE31" i="31" s="1"/>
  <c r="Y31" i="31"/>
  <c r="Z31" i="31" s="1"/>
  <c r="AA31" i="31" s="1"/>
  <c r="AB31" i="31" s="1"/>
  <c r="V31" i="31"/>
  <c r="W31" i="31" s="1"/>
  <c r="X31" i="31" s="1"/>
  <c r="U31" i="31"/>
  <c r="Q31" i="31"/>
  <c r="R31" i="31" s="1"/>
  <c r="M31" i="31"/>
  <c r="N31" i="31" s="1"/>
  <c r="H31" i="31"/>
  <c r="J31" i="31" s="1"/>
  <c r="F31" i="31"/>
  <c r="AC30" i="31"/>
  <c r="AD30" i="31" s="1"/>
  <c r="AF30" i="31" s="1"/>
  <c r="AE30" i="31" s="1"/>
  <c r="Y30" i="31"/>
  <c r="Z30" i="31" s="1"/>
  <c r="AA30" i="31" s="1"/>
  <c r="AB30" i="31" s="1"/>
  <c r="V30" i="31"/>
  <c r="W30" i="31" s="1"/>
  <c r="X30" i="31" s="1"/>
  <c r="U30" i="31"/>
  <c r="Q30" i="31"/>
  <c r="R30" i="31" s="1"/>
  <c r="M30" i="31"/>
  <c r="N30" i="31" s="1"/>
  <c r="H30" i="31"/>
  <c r="J30" i="31" s="1"/>
  <c r="F30" i="31"/>
  <c r="AC29" i="31"/>
  <c r="AD29" i="31" s="1"/>
  <c r="AF29" i="31" s="1"/>
  <c r="AE29" i="31" s="1"/>
  <c r="Y29" i="31"/>
  <c r="Z29" i="31" s="1"/>
  <c r="V29" i="31"/>
  <c r="W29" i="31" s="1"/>
  <c r="X29" i="31" s="1"/>
  <c r="U29" i="31"/>
  <c r="Q29" i="31"/>
  <c r="R29" i="31" s="1"/>
  <c r="M29" i="31"/>
  <c r="N29" i="31" s="1"/>
  <c r="H29" i="31"/>
  <c r="J29" i="31" s="1"/>
  <c r="F29" i="31"/>
  <c r="AC28" i="31"/>
  <c r="AD28" i="31" s="1"/>
  <c r="AF28" i="31" s="1"/>
  <c r="AE28" i="31" s="1"/>
  <c r="Y28" i="31"/>
  <c r="Z28" i="31" s="1"/>
  <c r="U28" i="31"/>
  <c r="V28" i="31" s="1"/>
  <c r="W28" i="31" s="1"/>
  <c r="X28" i="31" s="1"/>
  <c r="Q28" i="31"/>
  <c r="R28" i="31" s="1"/>
  <c r="M28" i="31"/>
  <c r="N28" i="31" s="1"/>
  <c r="H28" i="31"/>
  <c r="J28" i="31" s="1"/>
  <c r="F28" i="31"/>
  <c r="AC27" i="31"/>
  <c r="AD27" i="31" s="1"/>
  <c r="AF27" i="31" s="1"/>
  <c r="AE27" i="31" s="1"/>
  <c r="Y27" i="31"/>
  <c r="Z27" i="31" s="1"/>
  <c r="AA27" i="31" s="1"/>
  <c r="AB27" i="31" s="1"/>
  <c r="V27" i="31"/>
  <c r="W27" i="31" s="1"/>
  <c r="X27" i="31" s="1"/>
  <c r="U27" i="31"/>
  <c r="Q27" i="31"/>
  <c r="R27" i="31" s="1"/>
  <c r="M27" i="31"/>
  <c r="N27" i="31" s="1"/>
  <c r="H27" i="31"/>
  <c r="J27" i="31" s="1"/>
  <c r="F27" i="31"/>
  <c r="AC26" i="31"/>
  <c r="AD26" i="31" s="1"/>
  <c r="AF26" i="31" s="1"/>
  <c r="AE26" i="31" s="1"/>
  <c r="Y26" i="31"/>
  <c r="Z26" i="31" s="1"/>
  <c r="AA26" i="31" s="1"/>
  <c r="AB26" i="31" s="1"/>
  <c r="V26" i="31"/>
  <c r="W26" i="31" s="1"/>
  <c r="X26" i="31" s="1"/>
  <c r="U26" i="31"/>
  <c r="Q26" i="31"/>
  <c r="R26" i="31" s="1"/>
  <c r="M26" i="31"/>
  <c r="N26" i="31" s="1"/>
  <c r="H26" i="31"/>
  <c r="J26" i="31" s="1"/>
  <c r="F26" i="31"/>
  <c r="AC25" i="31"/>
  <c r="AD25" i="31" s="1"/>
  <c r="AF25" i="31" s="1"/>
  <c r="AE25" i="31" s="1"/>
  <c r="Y25" i="31"/>
  <c r="Z25" i="31" s="1"/>
  <c r="V25" i="31"/>
  <c r="W25" i="31" s="1"/>
  <c r="X25" i="31" s="1"/>
  <c r="U25" i="31"/>
  <c r="Q25" i="31"/>
  <c r="R25" i="31" s="1"/>
  <c r="M25" i="31"/>
  <c r="N25" i="31" s="1"/>
  <c r="H25" i="31"/>
  <c r="J25" i="31" s="1"/>
  <c r="F25" i="31"/>
  <c r="AC24" i="31"/>
  <c r="AD24" i="31" s="1"/>
  <c r="AF24" i="31" s="1"/>
  <c r="AE24" i="31" s="1"/>
  <c r="Y24" i="31"/>
  <c r="Z24" i="31" s="1"/>
  <c r="U24" i="31"/>
  <c r="V24" i="31" s="1"/>
  <c r="W24" i="31" s="1"/>
  <c r="X24" i="31" s="1"/>
  <c r="Q24" i="31"/>
  <c r="R24" i="31" s="1"/>
  <c r="M24" i="31"/>
  <c r="N24" i="31" s="1"/>
  <c r="H24" i="31"/>
  <c r="J24" i="31" s="1"/>
  <c r="F24" i="31"/>
  <c r="AC23" i="31"/>
  <c r="AD23" i="31" s="1"/>
  <c r="AF23" i="31" s="1"/>
  <c r="AE23" i="31" s="1"/>
  <c r="Y23" i="31"/>
  <c r="Z23" i="31" s="1"/>
  <c r="AA23" i="31" s="1"/>
  <c r="AB23" i="31" s="1"/>
  <c r="V23" i="31"/>
  <c r="W23" i="31" s="1"/>
  <c r="X23" i="31" s="1"/>
  <c r="U23" i="31"/>
  <c r="Q23" i="31"/>
  <c r="R23" i="31" s="1"/>
  <c r="M23" i="31"/>
  <c r="N23" i="31" s="1"/>
  <c r="H23" i="31"/>
  <c r="J23" i="31" s="1"/>
  <c r="F23" i="31"/>
  <c r="AC22" i="31"/>
  <c r="AD22" i="31" s="1"/>
  <c r="AF22" i="31" s="1"/>
  <c r="AE22" i="31" s="1"/>
  <c r="Y22" i="31"/>
  <c r="Z22" i="31" s="1"/>
  <c r="AA22" i="31" s="1"/>
  <c r="AB22" i="31" s="1"/>
  <c r="V22" i="31"/>
  <c r="W22" i="31" s="1"/>
  <c r="X22" i="31" s="1"/>
  <c r="U22" i="31"/>
  <c r="Q22" i="31"/>
  <c r="R22" i="31" s="1"/>
  <c r="M22" i="31"/>
  <c r="N22" i="31" s="1"/>
  <c r="H22" i="31"/>
  <c r="J22" i="31" s="1"/>
  <c r="F22" i="31"/>
  <c r="AC21" i="31"/>
  <c r="AD21" i="31" s="1"/>
  <c r="AF21" i="31" s="1"/>
  <c r="AE21" i="31" s="1"/>
  <c r="Y21" i="31"/>
  <c r="Z21" i="31" s="1"/>
  <c r="V21" i="31"/>
  <c r="W21" i="31" s="1"/>
  <c r="X21" i="31" s="1"/>
  <c r="U21" i="31"/>
  <c r="Q21" i="31"/>
  <c r="R21" i="31" s="1"/>
  <c r="M21" i="31"/>
  <c r="N21" i="31" s="1"/>
  <c r="H21" i="31"/>
  <c r="J21" i="31" s="1"/>
  <c r="F21" i="31"/>
  <c r="AC20" i="31"/>
  <c r="AD20" i="31" s="1"/>
  <c r="AF20" i="31" s="1"/>
  <c r="AE20" i="31" s="1"/>
  <c r="Y20" i="31"/>
  <c r="Z20" i="31" s="1"/>
  <c r="U20" i="31"/>
  <c r="V20" i="31" s="1"/>
  <c r="W20" i="31" s="1"/>
  <c r="X20" i="31" s="1"/>
  <c r="Q20" i="31"/>
  <c r="R20" i="31" s="1"/>
  <c r="M20" i="31"/>
  <c r="N20" i="31" s="1"/>
  <c r="H20" i="31"/>
  <c r="J20" i="31" s="1"/>
  <c r="F20" i="31"/>
  <c r="AD19" i="31"/>
  <c r="AC19" i="31"/>
  <c r="Y19" i="31"/>
  <c r="Z19" i="31" s="1"/>
  <c r="AA19" i="31" s="1"/>
  <c r="AB19" i="31" s="1"/>
  <c r="V19" i="31"/>
  <c r="W19" i="31" s="1"/>
  <c r="X19" i="31" s="1"/>
  <c r="U19" i="31"/>
  <c r="Q19" i="31"/>
  <c r="R19" i="31" s="1"/>
  <c r="M19" i="31"/>
  <c r="N19" i="31" s="1"/>
  <c r="H19" i="31"/>
  <c r="J19" i="31" s="1"/>
  <c r="F19" i="31"/>
  <c r="AC18" i="31"/>
  <c r="AD18" i="31" s="1"/>
  <c r="AF18" i="31" s="1"/>
  <c r="AE18" i="31" s="1"/>
  <c r="Y18" i="31"/>
  <c r="Z18" i="31" s="1"/>
  <c r="AA18" i="31" s="1"/>
  <c r="AB18" i="31" s="1"/>
  <c r="V18" i="31"/>
  <c r="W18" i="31" s="1"/>
  <c r="X18" i="31" s="1"/>
  <c r="U18" i="31"/>
  <c r="Q18" i="31"/>
  <c r="R18" i="31" s="1"/>
  <c r="N18" i="31"/>
  <c r="M18" i="31"/>
  <c r="H18" i="31"/>
  <c r="J18" i="31" s="1"/>
  <c r="F18" i="31"/>
  <c r="AC17" i="31"/>
  <c r="AD17" i="31" s="1"/>
  <c r="AF17" i="31" s="1"/>
  <c r="AE17" i="31" s="1"/>
  <c r="Y17" i="31"/>
  <c r="Z17" i="31" s="1"/>
  <c r="V17" i="31"/>
  <c r="W17" i="31" s="1"/>
  <c r="X17" i="31" s="1"/>
  <c r="U17" i="31"/>
  <c r="Q17" i="31"/>
  <c r="R17" i="31" s="1"/>
  <c r="M17" i="31"/>
  <c r="N17" i="31" s="1"/>
  <c r="H17" i="31"/>
  <c r="J17" i="31" s="1"/>
  <c r="F17" i="31"/>
  <c r="AC16" i="31"/>
  <c r="AD16" i="31" s="1"/>
  <c r="AF16" i="31" s="1"/>
  <c r="AE16" i="31" s="1"/>
  <c r="Y16" i="31"/>
  <c r="Z16" i="31" s="1"/>
  <c r="U16" i="31"/>
  <c r="V16" i="31" s="1"/>
  <c r="W16" i="31" s="1"/>
  <c r="X16" i="31" s="1"/>
  <c r="Q16" i="31"/>
  <c r="R16" i="31" s="1"/>
  <c r="M16" i="31"/>
  <c r="N16" i="31" s="1"/>
  <c r="H16" i="31"/>
  <c r="J16" i="31" s="1"/>
  <c r="F16" i="31"/>
  <c r="AC15" i="31"/>
  <c r="AD15" i="31" s="1"/>
  <c r="AF15" i="31" s="1"/>
  <c r="AE15" i="31" s="1"/>
  <c r="Y15" i="31"/>
  <c r="Z15" i="31" s="1"/>
  <c r="AA15" i="31" s="1"/>
  <c r="AB15" i="31" s="1"/>
  <c r="V15" i="31"/>
  <c r="W15" i="31" s="1"/>
  <c r="X15" i="31" s="1"/>
  <c r="U15" i="31"/>
  <c r="Q15" i="31"/>
  <c r="R15" i="31" s="1"/>
  <c r="M15" i="31"/>
  <c r="N15" i="31" s="1"/>
  <c r="H15" i="31"/>
  <c r="J15" i="31" s="1"/>
  <c r="F15" i="31"/>
  <c r="AC14" i="31"/>
  <c r="AD14" i="31" s="1"/>
  <c r="AF14" i="31" s="1"/>
  <c r="AE14" i="31" s="1"/>
  <c r="Y14" i="31"/>
  <c r="Z14" i="31" s="1"/>
  <c r="U14" i="31"/>
  <c r="V14" i="31" s="1"/>
  <c r="W14" i="31" s="1"/>
  <c r="X14" i="31" s="1"/>
  <c r="Q14" i="31"/>
  <c r="R14" i="31" s="1"/>
  <c r="M14" i="31"/>
  <c r="N14" i="31" s="1"/>
  <c r="H14" i="31"/>
  <c r="J14" i="31" s="1"/>
  <c r="F14" i="31"/>
  <c r="AD13" i="31"/>
  <c r="AF13" i="31" s="1"/>
  <c r="AE13" i="31" s="1"/>
  <c r="AC13" i="31"/>
  <c r="Y13" i="31"/>
  <c r="Z13" i="31" s="1"/>
  <c r="AA13" i="31" s="1"/>
  <c r="AB13" i="31" s="1"/>
  <c r="V13" i="31"/>
  <c r="W13" i="31" s="1"/>
  <c r="X13" i="31" s="1"/>
  <c r="U13" i="31"/>
  <c r="Q13" i="31"/>
  <c r="R13" i="31" s="1"/>
  <c r="N13" i="31"/>
  <c r="M13" i="31"/>
  <c r="H13" i="31"/>
  <c r="J13" i="31" s="1"/>
  <c r="F13" i="31"/>
  <c r="AF12" i="31"/>
  <c r="AE12" i="31" s="1"/>
  <c r="AD12" i="31"/>
  <c r="AC12" i="31"/>
  <c r="Y12" i="31"/>
  <c r="Z12" i="31" s="1"/>
  <c r="U12" i="31"/>
  <c r="V12" i="31" s="1"/>
  <c r="W12" i="31" s="1"/>
  <c r="X12" i="31" s="1"/>
  <c r="Q12" i="31"/>
  <c r="R12" i="31" s="1"/>
  <c r="N12" i="31"/>
  <c r="M12" i="31"/>
  <c r="H12" i="31"/>
  <c r="J12" i="31" s="1"/>
  <c r="F12" i="31"/>
  <c r="AD11" i="31"/>
  <c r="AF11" i="31" s="1"/>
  <c r="AE11" i="31" s="1"/>
  <c r="AC11" i="31"/>
  <c r="Y11" i="31"/>
  <c r="Z11" i="31" s="1"/>
  <c r="AA11" i="31" s="1"/>
  <c r="AB11" i="31" s="1"/>
  <c r="U11" i="31"/>
  <c r="V11" i="31" s="1"/>
  <c r="W11" i="31" s="1"/>
  <c r="X11" i="31" s="1"/>
  <c r="Q11" i="31"/>
  <c r="R11" i="31" s="1"/>
  <c r="O11" i="31"/>
  <c r="P11" i="31" s="1"/>
  <c r="M11" i="31"/>
  <c r="N11" i="31" s="1"/>
  <c r="H11" i="31"/>
  <c r="J11" i="31" s="1"/>
  <c r="F11" i="31"/>
  <c r="AC10" i="31"/>
  <c r="AD10" i="31" s="1"/>
  <c r="AF10" i="31" s="1"/>
  <c r="AE10" i="31" s="1"/>
  <c r="Y10" i="31"/>
  <c r="Z10" i="31" s="1"/>
  <c r="AA10" i="31" s="1"/>
  <c r="AB10" i="31" s="1"/>
  <c r="U10" i="31"/>
  <c r="V10" i="31" s="1"/>
  <c r="W10" i="31" s="1"/>
  <c r="X10" i="31" s="1"/>
  <c r="R10" i="31"/>
  <c r="Q10" i="31"/>
  <c r="P10" i="31"/>
  <c r="O10" i="31"/>
  <c r="N10" i="31"/>
  <c r="M10" i="31"/>
  <c r="H10" i="31"/>
  <c r="J10" i="31" s="1"/>
  <c r="F10" i="31"/>
  <c r="AD9" i="31"/>
  <c r="AF9" i="31" s="1"/>
  <c r="AE9" i="31" s="1"/>
  <c r="AC9" i="31"/>
  <c r="Z9" i="31"/>
  <c r="AA9" i="31" s="1"/>
  <c r="AB9" i="31" s="1"/>
  <c r="Y9" i="31"/>
  <c r="V9" i="31"/>
  <c r="W9" i="31" s="1"/>
  <c r="X9" i="31" s="1"/>
  <c r="U9" i="31"/>
  <c r="R9" i="31"/>
  <c r="Q9" i="31"/>
  <c r="P9" i="31"/>
  <c r="O9" i="31"/>
  <c r="M9" i="31"/>
  <c r="N9" i="31" s="1"/>
  <c r="H9" i="31"/>
  <c r="J9" i="31" s="1"/>
  <c r="F9" i="31"/>
  <c r="AD8" i="31"/>
  <c r="AF8" i="31" s="1"/>
  <c r="AE8" i="31" s="1"/>
  <c r="AC8" i="31"/>
  <c r="Y8" i="31"/>
  <c r="Z8" i="31" s="1"/>
  <c r="AA8" i="31" s="1"/>
  <c r="AB8" i="31" s="1"/>
  <c r="V8" i="31"/>
  <c r="W8" i="31" s="1"/>
  <c r="X8" i="31" s="1"/>
  <c r="U8" i="31"/>
  <c r="R8" i="31"/>
  <c r="Q8" i="31"/>
  <c r="O8" i="31"/>
  <c r="P8" i="31" s="1"/>
  <c r="N8" i="31"/>
  <c r="M8" i="31"/>
  <c r="H8" i="31"/>
  <c r="J8" i="31" s="1"/>
  <c r="F8" i="31"/>
  <c r="AC7" i="31"/>
  <c r="AD7" i="31" s="1"/>
  <c r="AF7" i="31" s="1"/>
  <c r="AE7" i="31" s="1"/>
  <c r="Z7" i="31"/>
  <c r="Y7" i="31"/>
  <c r="V7" i="31"/>
  <c r="W7" i="31" s="1"/>
  <c r="X7" i="31" s="1"/>
  <c r="U7" i="31"/>
  <c r="Q7" i="31"/>
  <c r="R7" i="31" s="1"/>
  <c r="P7" i="31"/>
  <c r="O7" i="31"/>
  <c r="N7" i="31"/>
  <c r="M7" i="31"/>
  <c r="H7" i="31"/>
  <c r="J7" i="31" s="1"/>
  <c r="F7" i="31"/>
  <c r="AD6" i="31"/>
  <c r="AF6" i="31" s="1"/>
  <c r="AE6" i="31" s="1"/>
  <c r="AC6" i="31"/>
  <c r="Z6" i="31"/>
  <c r="AA6" i="31" s="1"/>
  <c r="AB6" i="31" s="1"/>
  <c r="Y6" i="31"/>
  <c r="U6" i="31"/>
  <c r="V6" i="31" s="1"/>
  <c r="W6" i="31" s="1"/>
  <c r="X6" i="31" s="1"/>
  <c r="R6" i="31"/>
  <c r="Q6" i="31"/>
  <c r="P6" i="31"/>
  <c r="O6" i="31"/>
  <c r="N6" i="31"/>
  <c r="M6" i="31"/>
  <c r="H6" i="31"/>
  <c r="J6" i="31" s="1"/>
  <c r="O64" i="31" s="1"/>
  <c r="P64" i="31" s="1"/>
  <c r="F6" i="31"/>
  <c r="K16" i="31" l="1"/>
  <c r="S16" i="31"/>
  <c r="T16" i="31" s="1"/>
  <c r="AA17" i="31"/>
  <c r="AB17" i="31" s="1"/>
  <c r="K20" i="31"/>
  <c r="S20" i="31"/>
  <c r="T20" i="31" s="1"/>
  <c r="AA21" i="31"/>
  <c r="AB21" i="31" s="1"/>
  <c r="K24" i="31"/>
  <c r="S24" i="31"/>
  <c r="T24" i="31" s="1"/>
  <c r="AA25" i="31"/>
  <c r="AB25" i="31" s="1"/>
  <c r="K28" i="31"/>
  <c r="S28" i="31"/>
  <c r="T28" i="31" s="1"/>
  <c r="AA29" i="31"/>
  <c r="AB29" i="31" s="1"/>
  <c r="K32" i="31"/>
  <c r="S32" i="31"/>
  <c r="T32" i="31" s="1"/>
  <c r="AF32" i="31"/>
  <c r="AE32" i="31" s="1"/>
  <c r="AA33" i="31"/>
  <c r="AB33" i="31" s="1"/>
  <c r="K36" i="31"/>
  <c r="S36" i="31"/>
  <c r="T36" i="31" s="1"/>
  <c r="AF36" i="31"/>
  <c r="AE36" i="31" s="1"/>
  <c r="AA37" i="31"/>
  <c r="AB37" i="31" s="1"/>
  <c r="K7" i="31"/>
  <c r="S7" i="31"/>
  <c r="T7" i="31" s="1"/>
  <c r="K17" i="31"/>
  <c r="S17" i="31"/>
  <c r="T17" i="31" s="1"/>
  <c r="K21" i="31"/>
  <c r="S21" i="31"/>
  <c r="T21" i="31" s="1"/>
  <c r="K25" i="31"/>
  <c r="S25" i="31"/>
  <c r="T25" i="31" s="1"/>
  <c r="K29" i="31"/>
  <c r="S29" i="31"/>
  <c r="T29" i="31" s="1"/>
  <c r="K33" i="31"/>
  <c r="S33" i="31"/>
  <c r="T33" i="31" s="1"/>
  <c r="AF33" i="31"/>
  <c r="AE33" i="31" s="1"/>
  <c r="K37" i="31"/>
  <c r="S37" i="31"/>
  <c r="T37" i="31" s="1"/>
  <c r="AF37" i="31"/>
  <c r="AE37" i="31" s="1"/>
  <c r="AA7" i="31"/>
  <c r="AB7" i="31" s="1"/>
  <c r="K15" i="31"/>
  <c r="S15" i="31"/>
  <c r="T15" i="31" s="1"/>
  <c r="K91" i="31"/>
  <c r="S91" i="31"/>
  <c r="T91" i="31" s="1"/>
  <c r="K92" i="31"/>
  <c r="W92" i="31"/>
  <c r="X92" i="31" s="1"/>
  <c r="S92" i="31"/>
  <c r="T92" i="31" s="1"/>
  <c r="AF92" i="31"/>
  <c r="AE92" i="31" s="1"/>
  <c r="K12" i="31"/>
  <c r="S12" i="31"/>
  <c r="T12" i="31" s="1"/>
  <c r="AA12" i="31"/>
  <c r="AB12" i="31" s="1"/>
  <c r="K18" i="31"/>
  <c r="S18" i="31"/>
  <c r="T18" i="31" s="1"/>
  <c r="K22" i="31"/>
  <c r="S22" i="31"/>
  <c r="T22" i="31" s="1"/>
  <c r="K26" i="31"/>
  <c r="S26" i="31"/>
  <c r="T26" i="31" s="1"/>
  <c r="K30" i="31"/>
  <c r="S30" i="31"/>
  <c r="T30" i="31" s="1"/>
  <c r="K34" i="31"/>
  <c r="S34" i="31"/>
  <c r="T34" i="31" s="1"/>
  <c r="AF34" i="31"/>
  <c r="AE34" i="31" s="1"/>
  <c r="K38" i="31"/>
  <c r="S38" i="31"/>
  <c r="T38" i="31" s="1"/>
  <c r="AF38" i="31"/>
  <c r="AE38" i="31" s="1"/>
  <c r="O187" i="31"/>
  <c r="P187" i="31" s="1"/>
  <c r="O186" i="31"/>
  <c r="P186" i="31" s="1"/>
  <c r="O185" i="31"/>
  <c r="P185" i="31" s="1"/>
  <c r="O184" i="31"/>
  <c r="P184" i="31" s="1"/>
  <c r="O183" i="31"/>
  <c r="P183" i="31" s="1"/>
  <c r="O182" i="31"/>
  <c r="P182" i="31" s="1"/>
  <c r="O181" i="31"/>
  <c r="P181" i="31" s="1"/>
  <c r="O180" i="31"/>
  <c r="P180" i="31" s="1"/>
  <c r="O179" i="31"/>
  <c r="P179" i="31" s="1"/>
  <c r="O178" i="31"/>
  <c r="P178" i="31" s="1"/>
  <c r="O177" i="31"/>
  <c r="P177" i="31" s="1"/>
  <c r="O176" i="31"/>
  <c r="P176" i="31" s="1"/>
  <c r="O175" i="31"/>
  <c r="P175" i="31" s="1"/>
  <c r="O174" i="31"/>
  <c r="P174" i="31" s="1"/>
  <c r="O173" i="31"/>
  <c r="P173" i="31" s="1"/>
  <c r="O172" i="31"/>
  <c r="P172" i="31" s="1"/>
  <c r="O171" i="31"/>
  <c r="P171" i="31" s="1"/>
  <c r="O170" i="31"/>
  <c r="P170" i="31" s="1"/>
  <c r="O169" i="31"/>
  <c r="P169" i="31" s="1"/>
  <c r="O168" i="31"/>
  <c r="P168" i="31" s="1"/>
  <c r="O167" i="31"/>
  <c r="P167" i="31" s="1"/>
  <c r="O166" i="31"/>
  <c r="P166" i="31" s="1"/>
  <c r="O165" i="31"/>
  <c r="P165" i="31" s="1"/>
  <c r="O164" i="31"/>
  <c r="P164" i="31" s="1"/>
  <c r="O163" i="31"/>
  <c r="P163" i="31" s="1"/>
  <c r="O162" i="31"/>
  <c r="P162" i="31" s="1"/>
  <c r="O161" i="31"/>
  <c r="P161" i="31" s="1"/>
  <c r="O160" i="31"/>
  <c r="P160" i="31" s="1"/>
  <c r="O159" i="31"/>
  <c r="P159" i="31" s="1"/>
  <c r="O158" i="31"/>
  <c r="P158" i="31" s="1"/>
  <c r="O157" i="31"/>
  <c r="P157" i="31" s="1"/>
  <c r="O156" i="31"/>
  <c r="P156" i="31" s="1"/>
  <c r="O155" i="31"/>
  <c r="P155" i="31" s="1"/>
  <c r="O154" i="31"/>
  <c r="P154" i="31" s="1"/>
  <c r="O153" i="31"/>
  <c r="P153" i="31" s="1"/>
  <c r="O152" i="31"/>
  <c r="P152" i="31" s="1"/>
  <c r="O151" i="31"/>
  <c r="P151" i="31" s="1"/>
  <c r="O150" i="31"/>
  <c r="P150" i="31" s="1"/>
  <c r="O149" i="31"/>
  <c r="P149" i="31" s="1"/>
  <c r="O148" i="31"/>
  <c r="P148" i="31" s="1"/>
  <c r="O147" i="31"/>
  <c r="P147" i="31" s="1"/>
  <c r="O146" i="31"/>
  <c r="P146" i="31" s="1"/>
  <c r="O145" i="31"/>
  <c r="P145" i="31" s="1"/>
  <c r="O144" i="31"/>
  <c r="P144" i="31" s="1"/>
  <c r="O142" i="31"/>
  <c r="P142" i="31" s="1"/>
  <c r="O141" i="31"/>
  <c r="P141" i="31" s="1"/>
  <c r="O140" i="31"/>
  <c r="P140" i="31" s="1"/>
  <c r="O139" i="31"/>
  <c r="P139" i="31" s="1"/>
  <c r="O138" i="31"/>
  <c r="P138" i="31" s="1"/>
  <c r="O137" i="31"/>
  <c r="P137" i="31" s="1"/>
  <c r="O136" i="31"/>
  <c r="P136" i="31" s="1"/>
  <c r="O135" i="31"/>
  <c r="P135" i="31" s="1"/>
  <c r="O134" i="31"/>
  <c r="P134" i="31" s="1"/>
  <c r="O133" i="31"/>
  <c r="P133" i="31" s="1"/>
  <c r="O132" i="31"/>
  <c r="P132" i="31" s="1"/>
  <c r="O131" i="31"/>
  <c r="P131" i="31" s="1"/>
  <c r="O130" i="31"/>
  <c r="P130" i="31" s="1"/>
  <c r="O129" i="31"/>
  <c r="P129" i="31" s="1"/>
  <c r="O128" i="31"/>
  <c r="P128" i="31" s="1"/>
  <c r="O127" i="31"/>
  <c r="P127" i="31" s="1"/>
  <c r="O126" i="31"/>
  <c r="P126" i="31" s="1"/>
  <c r="O125" i="31"/>
  <c r="P125" i="31" s="1"/>
  <c r="O124" i="31"/>
  <c r="P124" i="31" s="1"/>
  <c r="O123" i="31"/>
  <c r="P123" i="31" s="1"/>
  <c r="O122" i="31"/>
  <c r="P122" i="31" s="1"/>
  <c r="O120" i="31"/>
  <c r="P120" i="31" s="1"/>
  <c r="O117" i="31"/>
  <c r="P117" i="31" s="1"/>
  <c r="O143" i="31"/>
  <c r="P143" i="31" s="1"/>
  <c r="O119" i="31"/>
  <c r="P119" i="31" s="1"/>
  <c r="O116" i="31"/>
  <c r="P116" i="31" s="1"/>
  <c r="O121" i="31"/>
  <c r="P121" i="31" s="1"/>
  <c r="O112" i="31"/>
  <c r="P112" i="31" s="1"/>
  <c r="O104" i="31"/>
  <c r="P104" i="31" s="1"/>
  <c r="O113" i="31"/>
  <c r="P113" i="31" s="1"/>
  <c r="O105" i="31"/>
  <c r="P105" i="31" s="1"/>
  <c r="O91" i="31"/>
  <c r="P91" i="31" s="1"/>
  <c r="O88" i="31"/>
  <c r="P88" i="31" s="1"/>
  <c r="O87" i="31"/>
  <c r="P87" i="31" s="1"/>
  <c r="O86" i="31"/>
  <c r="P86" i="31" s="1"/>
  <c r="O85" i="31"/>
  <c r="P85" i="31" s="1"/>
  <c r="O84" i="31"/>
  <c r="P84" i="31" s="1"/>
  <c r="O83" i="31"/>
  <c r="P83" i="31" s="1"/>
  <c r="O82" i="31"/>
  <c r="P82" i="31" s="1"/>
  <c r="O81" i="31"/>
  <c r="P81" i="31" s="1"/>
  <c r="O80" i="31"/>
  <c r="P80" i="31" s="1"/>
  <c r="O79" i="31"/>
  <c r="P79" i="31" s="1"/>
  <c r="O78" i="31"/>
  <c r="P78" i="31" s="1"/>
  <c r="O77" i="31"/>
  <c r="P77" i="31" s="1"/>
  <c r="O76" i="31"/>
  <c r="P76" i="31" s="1"/>
  <c r="O75" i="31"/>
  <c r="P75" i="31" s="1"/>
  <c r="O74" i="31"/>
  <c r="P74" i="31" s="1"/>
  <c r="O73" i="31"/>
  <c r="P73" i="31" s="1"/>
  <c r="O72" i="31"/>
  <c r="P72" i="31" s="1"/>
  <c r="O71" i="31"/>
  <c r="P71" i="31" s="1"/>
  <c r="O70" i="31"/>
  <c r="P70" i="31" s="1"/>
  <c r="O114" i="31"/>
  <c r="P114" i="31" s="1"/>
  <c r="O106" i="31"/>
  <c r="P106" i="31" s="1"/>
  <c r="O98" i="31"/>
  <c r="P98" i="31" s="1"/>
  <c r="O94" i="31"/>
  <c r="P94" i="31" s="1"/>
  <c r="O115" i="31"/>
  <c r="P115" i="31" s="1"/>
  <c r="O107" i="31"/>
  <c r="P107" i="31" s="1"/>
  <c r="O99" i="31"/>
  <c r="P99" i="31" s="1"/>
  <c r="O97" i="31"/>
  <c r="P97" i="31" s="1"/>
  <c r="O89" i="31"/>
  <c r="P89" i="31" s="1"/>
  <c r="O108" i="31"/>
  <c r="P108" i="31" s="1"/>
  <c r="O100" i="31"/>
  <c r="P100" i="31" s="1"/>
  <c r="O92" i="31"/>
  <c r="P92" i="31" s="1"/>
  <c r="O109" i="31"/>
  <c r="P109" i="31" s="1"/>
  <c r="O101" i="31"/>
  <c r="P101" i="31" s="1"/>
  <c r="O96" i="31"/>
  <c r="P96" i="31" s="1"/>
  <c r="O118" i="31"/>
  <c r="P118" i="31" s="1"/>
  <c r="O110" i="31"/>
  <c r="P110" i="31" s="1"/>
  <c r="O102" i="31"/>
  <c r="P102" i="31" s="1"/>
  <c r="O90" i="31"/>
  <c r="P90" i="31" s="1"/>
  <c r="O103" i="31"/>
  <c r="P103" i="31" s="1"/>
  <c r="O93" i="31"/>
  <c r="P93" i="31" s="1"/>
  <c r="O95" i="31"/>
  <c r="P95" i="31" s="1"/>
  <c r="O69" i="31"/>
  <c r="P69" i="31" s="1"/>
  <c r="O63" i="31"/>
  <c r="P63" i="31" s="1"/>
  <c r="O55" i="31"/>
  <c r="P55" i="31" s="1"/>
  <c r="O62" i="31"/>
  <c r="P62" i="31" s="1"/>
  <c r="O54" i="31"/>
  <c r="P54" i="31" s="1"/>
  <c r="O40" i="31"/>
  <c r="P40" i="31" s="1"/>
  <c r="K6" i="31"/>
  <c r="O61" i="31"/>
  <c r="P61" i="31" s="1"/>
  <c r="O53" i="31"/>
  <c r="P53" i="31" s="1"/>
  <c r="O45" i="31"/>
  <c r="P45" i="31" s="1"/>
  <c r="O43" i="31"/>
  <c r="P43" i="31" s="1"/>
  <c r="S6" i="31"/>
  <c r="T6" i="31" s="1"/>
  <c r="O68" i="31"/>
  <c r="P68" i="31" s="1"/>
  <c r="O60" i="31"/>
  <c r="P60" i="31" s="1"/>
  <c r="O52" i="31"/>
  <c r="P52" i="31" s="1"/>
  <c r="O47" i="31"/>
  <c r="P47" i="31" s="1"/>
  <c r="O67" i="31"/>
  <c r="P67" i="31" s="1"/>
  <c r="O59" i="31"/>
  <c r="P59" i="31" s="1"/>
  <c r="O51" i="31"/>
  <c r="P51" i="31" s="1"/>
  <c r="O41" i="31"/>
  <c r="P41" i="31" s="1"/>
  <c r="O111" i="31"/>
  <c r="P111" i="31" s="1"/>
  <c r="O66" i="31"/>
  <c r="P66" i="31" s="1"/>
  <c r="O58" i="31"/>
  <c r="P58" i="31" s="1"/>
  <c r="O50" i="31"/>
  <c r="P50" i="31" s="1"/>
  <c r="O44" i="31"/>
  <c r="P44" i="31" s="1"/>
  <c r="O65" i="31"/>
  <c r="P65" i="31" s="1"/>
  <c r="O57" i="31"/>
  <c r="P57" i="31" s="1"/>
  <c r="O49" i="31"/>
  <c r="P49" i="31" s="1"/>
  <c r="O39" i="31"/>
  <c r="P39" i="31" s="1"/>
  <c r="O38" i="31"/>
  <c r="P38" i="31" s="1"/>
  <c r="O37" i="31"/>
  <c r="P37" i="31" s="1"/>
  <c r="O36" i="31"/>
  <c r="P36" i="31" s="1"/>
  <c r="O35" i="31"/>
  <c r="P35" i="31" s="1"/>
  <c r="O34" i="31"/>
  <c r="P34" i="31" s="1"/>
  <c r="O33" i="31"/>
  <c r="P33" i="31" s="1"/>
  <c r="O32" i="31"/>
  <c r="P32" i="31" s="1"/>
  <c r="O31" i="31"/>
  <c r="P31" i="31" s="1"/>
  <c r="O30" i="31"/>
  <c r="P30" i="31" s="1"/>
  <c r="O29" i="31"/>
  <c r="P29" i="31" s="1"/>
  <c r="O28" i="31"/>
  <c r="P28" i="31" s="1"/>
  <c r="O27" i="31"/>
  <c r="P27" i="31" s="1"/>
  <c r="O26" i="31"/>
  <c r="P26" i="31" s="1"/>
  <c r="O25" i="31"/>
  <c r="P25" i="31" s="1"/>
  <c r="O24" i="31"/>
  <c r="P24" i="31" s="1"/>
  <c r="O23" i="31"/>
  <c r="P23" i="31" s="1"/>
  <c r="O22" i="31"/>
  <c r="P22" i="31" s="1"/>
  <c r="O21" i="31"/>
  <c r="P21" i="31" s="1"/>
  <c r="O20" i="31"/>
  <c r="P20" i="31" s="1"/>
  <c r="O19" i="31"/>
  <c r="P19" i="31" s="1"/>
  <c r="O18" i="31"/>
  <c r="P18" i="31" s="1"/>
  <c r="O17" i="31"/>
  <c r="P17" i="31" s="1"/>
  <c r="O16" i="31"/>
  <c r="P16" i="31" s="1"/>
  <c r="O15" i="31"/>
  <c r="P15" i="31" s="1"/>
  <c r="O14" i="31"/>
  <c r="P14" i="31" s="1"/>
  <c r="O13" i="31"/>
  <c r="P13" i="31" s="1"/>
  <c r="O12" i="31"/>
  <c r="P12" i="31" s="1"/>
  <c r="K10" i="31"/>
  <c r="S10" i="31"/>
  <c r="T10" i="31" s="1"/>
  <c r="W36" i="31"/>
  <c r="X36" i="31" s="1"/>
  <c r="O56" i="31"/>
  <c r="P56" i="31" s="1"/>
  <c r="K8" i="31"/>
  <c r="S8" i="31"/>
  <c r="T8" i="31" s="1"/>
  <c r="K13" i="31"/>
  <c r="S13" i="31"/>
  <c r="T13" i="31" s="1"/>
  <c r="K9" i="31"/>
  <c r="S9" i="31"/>
  <c r="T9" i="31" s="1"/>
  <c r="K11" i="31"/>
  <c r="S11" i="31"/>
  <c r="T11" i="31" s="1"/>
  <c r="K14" i="31"/>
  <c r="S14" i="31"/>
  <c r="T14" i="31" s="1"/>
  <c r="AA14" i="31"/>
  <c r="AB14" i="31" s="1"/>
  <c r="AA16" i="31"/>
  <c r="AB16" i="31" s="1"/>
  <c r="K19" i="31"/>
  <c r="S19" i="31"/>
  <c r="T19" i="31" s="1"/>
  <c r="AF19" i="31"/>
  <c r="AE19" i="31" s="1"/>
  <c r="AA20" i="31"/>
  <c r="AB20" i="31" s="1"/>
  <c r="K23" i="31"/>
  <c r="S23" i="31"/>
  <c r="T23" i="31" s="1"/>
  <c r="AA24" i="31"/>
  <c r="AB24" i="31" s="1"/>
  <c r="K27" i="31"/>
  <c r="S27" i="31"/>
  <c r="T27" i="31" s="1"/>
  <c r="AA28" i="31"/>
  <c r="AB28" i="31" s="1"/>
  <c r="K31" i="31"/>
  <c r="S31" i="31"/>
  <c r="T31" i="31" s="1"/>
  <c r="AA32" i="31"/>
  <c r="AB32" i="31" s="1"/>
  <c r="K35" i="31"/>
  <c r="S35" i="31"/>
  <c r="T35" i="31" s="1"/>
  <c r="AF35" i="31"/>
  <c r="AE35" i="31" s="1"/>
  <c r="AA36" i="31"/>
  <c r="AB36" i="31" s="1"/>
  <c r="S39" i="31"/>
  <c r="T39" i="31" s="1"/>
  <c r="K39" i="31"/>
  <c r="O46" i="31"/>
  <c r="P46" i="31" s="1"/>
  <c r="O48" i="31"/>
  <c r="P48" i="31" s="1"/>
  <c r="AA72" i="31"/>
  <c r="AB72" i="31" s="1"/>
  <c r="K72" i="31"/>
  <c r="S72" i="31"/>
  <c r="T72" i="31" s="1"/>
  <c r="S43" i="31"/>
  <c r="T43" i="31" s="1"/>
  <c r="S45" i="31"/>
  <c r="T45" i="31" s="1"/>
  <c r="K73" i="31"/>
  <c r="S73" i="31"/>
  <c r="T73" i="31" s="1"/>
  <c r="R78" i="31"/>
  <c r="S78" i="31"/>
  <c r="T78" i="31" s="1"/>
  <c r="R82" i="31"/>
  <c r="S82" i="31"/>
  <c r="T82" i="31" s="1"/>
  <c r="R86" i="31"/>
  <c r="S86" i="31"/>
  <c r="T86" i="31" s="1"/>
  <c r="S40" i="31"/>
  <c r="T40" i="31" s="1"/>
  <c r="S75" i="31"/>
  <c r="T75" i="31" s="1"/>
  <c r="K75" i="31"/>
  <c r="AA76" i="31"/>
  <c r="AB76" i="31" s="1"/>
  <c r="K76" i="31"/>
  <c r="AA39" i="31"/>
  <c r="AB39" i="31" s="1"/>
  <c r="S71" i="31"/>
  <c r="T71" i="31" s="1"/>
  <c r="R79" i="31"/>
  <c r="S79" i="31"/>
  <c r="T79" i="31" s="1"/>
  <c r="R83" i="31"/>
  <c r="S83" i="31"/>
  <c r="T83" i="31" s="1"/>
  <c r="R87" i="31"/>
  <c r="S87" i="31"/>
  <c r="T87" i="31" s="1"/>
  <c r="S42" i="31"/>
  <c r="T42" i="31" s="1"/>
  <c r="S46" i="31"/>
  <c r="T46" i="31" s="1"/>
  <c r="S48" i="31"/>
  <c r="T48" i="31" s="1"/>
  <c r="W71" i="31"/>
  <c r="X71" i="31" s="1"/>
  <c r="AA91" i="31"/>
  <c r="AB91" i="31" s="1"/>
  <c r="K42" i="31"/>
  <c r="AA45" i="31"/>
  <c r="AB45" i="31" s="1"/>
  <c r="K46" i="31"/>
  <c r="S49" i="31"/>
  <c r="T49" i="31" s="1"/>
  <c r="AA71" i="31"/>
  <c r="AB71" i="31" s="1"/>
  <c r="S76" i="31"/>
  <c r="T76" i="31" s="1"/>
  <c r="R80" i="31"/>
  <c r="S80" i="31"/>
  <c r="T80" i="31" s="1"/>
  <c r="R84" i="31"/>
  <c r="S84" i="31"/>
  <c r="T84" i="31" s="1"/>
  <c r="R88" i="31"/>
  <c r="S88" i="31"/>
  <c r="T88" i="31" s="1"/>
  <c r="S44" i="31"/>
  <c r="T44" i="31" s="1"/>
  <c r="S50" i="31"/>
  <c r="T50" i="31" s="1"/>
  <c r="AF71" i="31"/>
  <c r="AE71" i="31" s="1"/>
  <c r="AA73" i="31"/>
  <c r="AB73" i="31" s="1"/>
  <c r="W75" i="31"/>
  <c r="X75" i="31" s="1"/>
  <c r="AF72" i="31"/>
  <c r="AE72" i="31" s="1"/>
  <c r="R77" i="31"/>
  <c r="S77" i="31"/>
  <c r="T77" i="31" s="1"/>
  <c r="R81" i="31"/>
  <c r="S81" i="31"/>
  <c r="T81" i="31" s="1"/>
  <c r="R85" i="31"/>
  <c r="S85" i="31"/>
  <c r="T85" i="31" s="1"/>
  <c r="K74" i="31"/>
  <c r="AF89" i="31"/>
  <c r="AE89" i="31" s="1"/>
  <c r="AF91" i="31"/>
  <c r="AE91" i="31" s="1"/>
  <c r="K100" i="31"/>
  <c r="S100" i="31"/>
  <c r="T100" i="31" s="1"/>
  <c r="AF100" i="31"/>
  <c r="AE100" i="31" s="1"/>
  <c r="W72" i="31"/>
  <c r="X72" i="31" s="1"/>
  <c r="W76" i="31"/>
  <c r="X76" i="31" s="1"/>
  <c r="K93" i="31"/>
  <c r="S93" i="31"/>
  <c r="T93" i="31" s="1"/>
  <c r="K96" i="31"/>
  <c r="S96" i="31"/>
  <c r="T96" i="31" s="1"/>
  <c r="AF96" i="31"/>
  <c r="AE96" i="31" s="1"/>
  <c r="S70" i="31"/>
  <c r="T70" i="31" s="1"/>
  <c r="W73" i="31"/>
  <c r="X73" i="31" s="1"/>
  <c r="S74" i="31"/>
  <c r="T74" i="31" s="1"/>
  <c r="AA89" i="31"/>
  <c r="AB89" i="31" s="1"/>
  <c r="AA93" i="31"/>
  <c r="AB93" i="31" s="1"/>
  <c r="K108" i="31"/>
  <c r="S108" i="31"/>
  <c r="T108" i="31" s="1"/>
  <c r="AF108" i="31"/>
  <c r="AE108" i="31" s="1"/>
  <c r="W91" i="31"/>
  <c r="X91" i="31" s="1"/>
  <c r="AA92" i="31"/>
  <c r="AB92" i="31" s="1"/>
  <c r="R120" i="31"/>
  <c r="S120" i="31"/>
  <c r="T120" i="31" s="1"/>
  <c r="W74" i="31"/>
  <c r="X74" i="31" s="1"/>
  <c r="S89" i="31"/>
  <c r="T89" i="31" s="1"/>
  <c r="S94" i="31"/>
  <c r="T94" i="31" s="1"/>
  <c r="K97" i="31"/>
  <c r="S97" i="31"/>
  <c r="T97" i="31" s="1"/>
  <c r="AF97" i="31"/>
  <c r="AE97" i="31" s="1"/>
  <c r="K99" i="31"/>
  <c r="S99" i="31"/>
  <c r="T99" i="31" s="1"/>
  <c r="AF99" i="31"/>
  <c r="AE99" i="31" s="1"/>
  <c r="W99" i="31"/>
  <c r="X99" i="31" s="1"/>
  <c r="K107" i="31"/>
  <c r="S107" i="31"/>
  <c r="T107" i="31" s="1"/>
  <c r="AF107" i="31"/>
  <c r="AE107" i="31" s="1"/>
  <c r="W107" i="31"/>
  <c r="X107" i="31" s="1"/>
  <c r="K115" i="31"/>
  <c r="S115" i="31"/>
  <c r="T115" i="31" s="1"/>
  <c r="K122" i="31"/>
  <c r="S122" i="31"/>
  <c r="T122" i="31" s="1"/>
  <c r="R129" i="31"/>
  <c r="S129" i="31"/>
  <c r="T129" i="31" s="1"/>
  <c r="R137" i="31"/>
  <c r="S137" i="31"/>
  <c r="T137" i="31" s="1"/>
  <c r="K98" i="31"/>
  <c r="S98" i="31"/>
  <c r="T98" i="31" s="1"/>
  <c r="AF98" i="31"/>
  <c r="AE98" i="31" s="1"/>
  <c r="W98" i="31"/>
  <c r="X98" i="31" s="1"/>
  <c r="AA100" i="31"/>
  <c r="AB100" i="31" s="1"/>
  <c r="K106" i="31"/>
  <c r="S106" i="31"/>
  <c r="T106" i="31" s="1"/>
  <c r="AF106" i="31"/>
  <c r="AE106" i="31" s="1"/>
  <c r="W106" i="31"/>
  <c r="X106" i="31" s="1"/>
  <c r="AA108" i="31"/>
  <c r="AB108" i="31" s="1"/>
  <c r="K114" i="31"/>
  <c r="S114" i="31"/>
  <c r="T114" i="31" s="1"/>
  <c r="AF114" i="31"/>
  <c r="AE114" i="31" s="1"/>
  <c r="W114" i="31"/>
  <c r="X114" i="31" s="1"/>
  <c r="K119" i="31"/>
  <c r="S119" i="31"/>
  <c r="T119" i="31" s="1"/>
  <c r="AF119" i="31"/>
  <c r="AE119" i="31" s="1"/>
  <c r="AF94" i="31"/>
  <c r="AE94" i="31" s="1"/>
  <c r="K105" i="31"/>
  <c r="S105" i="31"/>
  <c r="T105" i="31" s="1"/>
  <c r="AF105" i="31"/>
  <c r="AE105" i="31" s="1"/>
  <c r="W105" i="31"/>
  <c r="X105" i="31" s="1"/>
  <c r="K113" i="31"/>
  <c r="S113" i="31"/>
  <c r="T113" i="31" s="1"/>
  <c r="AF113" i="31"/>
  <c r="AE113" i="31" s="1"/>
  <c r="W113" i="31"/>
  <c r="X113" i="31" s="1"/>
  <c r="W94" i="31"/>
  <c r="X94" i="31" s="1"/>
  <c r="K104" i="31"/>
  <c r="S104" i="31"/>
  <c r="T104" i="31" s="1"/>
  <c r="AF104" i="31"/>
  <c r="AE104" i="31" s="1"/>
  <c r="W104" i="31"/>
  <c r="X104" i="31" s="1"/>
  <c r="K112" i="31"/>
  <c r="S112" i="31"/>
  <c r="T112" i="31" s="1"/>
  <c r="AF112" i="31"/>
  <c r="AE112" i="31" s="1"/>
  <c r="W112" i="31"/>
  <c r="X112" i="31" s="1"/>
  <c r="W122" i="31"/>
  <c r="X122" i="31" s="1"/>
  <c r="S90" i="31"/>
  <c r="T90" i="31" s="1"/>
  <c r="K95" i="31"/>
  <c r="S95" i="31"/>
  <c r="T95" i="31" s="1"/>
  <c r="AF95" i="31"/>
  <c r="AE95" i="31" s="1"/>
  <c r="K103" i="31"/>
  <c r="S103" i="31"/>
  <c r="T103" i="31" s="1"/>
  <c r="AF103" i="31"/>
  <c r="AE103" i="31" s="1"/>
  <c r="W103" i="31"/>
  <c r="X103" i="31" s="1"/>
  <c r="K111" i="31"/>
  <c r="S111" i="31"/>
  <c r="T111" i="31" s="1"/>
  <c r="AF111" i="31"/>
  <c r="AE111" i="31" s="1"/>
  <c r="W111" i="31"/>
  <c r="X111" i="31" s="1"/>
  <c r="K102" i="31"/>
  <c r="S102" i="31"/>
  <c r="T102" i="31" s="1"/>
  <c r="AF102" i="31"/>
  <c r="AE102" i="31" s="1"/>
  <c r="W102" i="31"/>
  <c r="X102" i="31" s="1"/>
  <c r="AA104" i="31"/>
  <c r="AB104" i="31" s="1"/>
  <c r="K110" i="31"/>
  <c r="S110" i="31"/>
  <c r="T110" i="31" s="1"/>
  <c r="AF110" i="31"/>
  <c r="AE110" i="31" s="1"/>
  <c r="W110" i="31"/>
  <c r="X110" i="31" s="1"/>
  <c r="AA112" i="31"/>
  <c r="AB112" i="31" s="1"/>
  <c r="W119" i="31"/>
  <c r="X119" i="31" s="1"/>
  <c r="AA122" i="31"/>
  <c r="AB122" i="31" s="1"/>
  <c r="K128" i="31"/>
  <c r="S128" i="31"/>
  <c r="T128" i="31" s="1"/>
  <c r="K136" i="31"/>
  <c r="S136" i="31"/>
  <c r="T136" i="31" s="1"/>
  <c r="K101" i="31"/>
  <c r="S101" i="31"/>
  <c r="T101" i="31" s="1"/>
  <c r="AF101" i="31"/>
  <c r="AE101" i="31" s="1"/>
  <c r="W101" i="31"/>
  <c r="X101" i="31" s="1"/>
  <c r="K109" i="31"/>
  <c r="S109" i="31"/>
  <c r="T109" i="31" s="1"/>
  <c r="AF109" i="31"/>
  <c r="AE109" i="31" s="1"/>
  <c r="W109" i="31"/>
  <c r="X109" i="31" s="1"/>
  <c r="AA119" i="31"/>
  <c r="AB119" i="31" s="1"/>
  <c r="AF116" i="31"/>
  <c r="AE116" i="31" s="1"/>
  <c r="S127" i="31"/>
  <c r="T127" i="31" s="1"/>
  <c r="S135" i="31"/>
  <c r="T135" i="31" s="1"/>
  <c r="W138" i="31"/>
  <c r="X138" i="31" s="1"/>
  <c r="S185" i="31"/>
  <c r="T185" i="31" s="1"/>
  <c r="K185" i="31"/>
  <c r="S126" i="31"/>
  <c r="T126" i="31" s="1"/>
  <c r="S134" i="31"/>
  <c r="T134" i="31" s="1"/>
  <c r="S118" i="31"/>
  <c r="T118" i="31" s="1"/>
  <c r="S123" i="31"/>
  <c r="T123" i="31" s="1"/>
  <c r="W126" i="31"/>
  <c r="X126" i="31" s="1"/>
  <c r="S131" i="31"/>
  <c r="T131" i="31" s="1"/>
  <c r="W134" i="31"/>
  <c r="X134" i="31" s="1"/>
  <c r="S139" i="31"/>
  <c r="T139" i="31" s="1"/>
  <c r="S121" i="31"/>
  <c r="T121" i="31" s="1"/>
  <c r="W123" i="31"/>
  <c r="X123" i="31" s="1"/>
  <c r="W131" i="31"/>
  <c r="X131" i="31" s="1"/>
  <c r="W139" i="31"/>
  <c r="X139" i="31" s="1"/>
  <c r="S146" i="31"/>
  <c r="T146" i="31" s="1"/>
  <c r="K146" i="31"/>
  <c r="S116" i="31"/>
  <c r="T116" i="31" s="1"/>
  <c r="S125" i="31"/>
  <c r="T125" i="31" s="1"/>
  <c r="AF127" i="31"/>
  <c r="AE127" i="31" s="1"/>
  <c r="W128" i="31"/>
  <c r="X128" i="31" s="1"/>
  <c r="AA129" i="31"/>
  <c r="AB129" i="31" s="1"/>
  <c r="S133" i="31"/>
  <c r="T133" i="31" s="1"/>
  <c r="W136" i="31"/>
  <c r="X136" i="31" s="1"/>
  <c r="AA137" i="31"/>
  <c r="AB137" i="31" s="1"/>
  <c r="S141" i="31"/>
  <c r="T141" i="31" s="1"/>
  <c r="AA142" i="31"/>
  <c r="AB142" i="31" s="1"/>
  <c r="AA126" i="31"/>
  <c r="AB126" i="31" s="1"/>
  <c r="AA134" i="31"/>
  <c r="AB134" i="31" s="1"/>
  <c r="W141" i="31"/>
  <c r="X141" i="31" s="1"/>
  <c r="S142" i="31"/>
  <c r="T142" i="31" s="1"/>
  <c r="K142" i="31"/>
  <c r="AF142" i="31"/>
  <c r="AE142" i="31" s="1"/>
  <c r="S143" i="31"/>
  <c r="T143" i="31" s="1"/>
  <c r="K143" i="31"/>
  <c r="S144" i="31"/>
  <c r="T144" i="31" s="1"/>
  <c r="K144" i="31"/>
  <c r="S148" i="31"/>
  <c r="T148" i="31" s="1"/>
  <c r="K148" i="31"/>
  <c r="AA148" i="31"/>
  <c r="AB148" i="31" s="1"/>
  <c r="S150" i="31"/>
  <c r="T150" i="31" s="1"/>
  <c r="K150" i="31"/>
  <c r="AA150" i="31"/>
  <c r="AB150" i="31" s="1"/>
  <c r="S152" i="31"/>
  <c r="T152" i="31" s="1"/>
  <c r="K152" i="31"/>
  <c r="AA152" i="31"/>
  <c r="AB152" i="31" s="1"/>
  <c r="S154" i="31"/>
  <c r="T154" i="31" s="1"/>
  <c r="K154" i="31"/>
  <c r="AA154" i="31"/>
  <c r="AB154" i="31" s="1"/>
  <c r="S156" i="31"/>
  <c r="T156" i="31" s="1"/>
  <c r="K156" i="31"/>
  <c r="AA156" i="31"/>
  <c r="AB156" i="31" s="1"/>
  <c r="S158" i="31"/>
  <c r="T158" i="31" s="1"/>
  <c r="K158" i="31"/>
  <c r="AA158" i="31"/>
  <c r="AB158" i="31" s="1"/>
  <c r="AF185" i="31"/>
  <c r="AE185" i="31" s="1"/>
  <c r="S177" i="31"/>
  <c r="T177" i="31" s="1"/>
  <c r="K177" i="31"/>
  <c r="S145" i="31"/>
  <c r="T145" i="31" s="1"/>
  <c r="K145" i="31"/>
  <c r="S147" i="31"/>
  <c r="T147" i="31" s="1"/>
  <c r="K147" i="31"/>
  <c r="S149" i="31"/>
  <c r="T149" i="31" s="1"/>
  <c r="K149" i="31"/>
  <c r="S151" i="31"/>
  <c r="T151" i="31" s="1"/>
  <c r="K151" i="31"/>
  <c r="S153" i="31"/>
  <c r="T153" i="31" s="1"/>
  <c r="K153" i="31"/>
  <c r="AA153" i="31"/>
  <c r="AB153" i="31" s="1"/>
  <c r="S155" i="31"/>
  <c r="T155" i="31" s="1"/>
  <c r="K155" i="31"/>
  <c r="AA155" i="31"/>
  <c r="AB155" i="31" s="1"/>
  <c r="S157" i="31"/>
  <c r="T157" i="31" s="1"/>
  <c r="K157" i="31"/>
  <c r="AA157" i="31"/>
  <c r="AB157" i="31" s="1"/>
  <c r="S159" i="31"/>
  <c r="T159" i="31" s="1"/>
  <c r="K159" i="31"/>
  <c r="AA159" i="31"/>
  <c r="AB159" i="31" s="1"/>
  <c r="S173" i="31"/>
  <c r="T173" i="31" s="1"/>
  <c r="K173" i="31"/>
  <c r="S181" i="31"/>
  <c r="T181" i="31" s="1"/>
  <c r="K181" i="31"/>
  <c r="W174" i="31"/>
  <c r="X174" i="31" s="1"/>
  <c r="W178" i="31"/>
  <c r="X178" i="31" s="1"/>
  <c r="W182" i="31"/>
  <c r="X182" i="31" s="1"/>
  <c r="W186" i="31"/>
  <c r="X186" i="31" s="1"/>
  <c r="S161" i="31"/>
  <c r="T161" i="31" s="1"/>
  <c r="S163" i="31"/>
  <c r="T163" i="31" s="1"/>
  <c r="S165" i="31"/>
  <c r="T165" i="31" s="1"/>
  <c r="S167" i="31"/>
  <c r="T167" i="31" s="1"/>
  <c r="S169" i="31"/>
  <c r="T169" i="31" s="1"/>
  <c r="S171" i="31"/>
  <c r="T171" i="31" s="1"/>
  <c r="S174" i="31"/>
  <c r="T174" i="31" s="1"/>
  <c r="AF174" i="31"/>
  <c r="AE174" i="31" s="1"/>
  <c r="S178" i="31"/>
  <c r="T178" i="31" s="1"/>
  <c r="AF178" i="31"/>
  <c r="AE178" i="31" s="1"/>
  <c r="AF182" i="31"/>
  <c r="AE182" i="31" s="1"/>
  <c r="AF186" i="31"/>
  <c r="AE186" i="31" s="1"/>
  <c r="S160" i="31"/>
  <c r="T160" i="31" s="1"/>
  <c r="W160" i="31"/>
  <c r="X160" i="31" s="1"/>
  <c r="K161" i="31"/>
  <c r="K163" i="31"/>
  <c r="K165" i="31"/>
  <c r="K167" i="31"/>
  <c r="K169" i="31"/>
  <c r="K171" i="31"/>
  <c r="K174" i="31"/>
  <c r="K178" i="31"/>
  <c r="K182" i="31"/>
  <c r="K186" i="31"/>
  <c r="AF163" i="31"/>
  <c r="AE163" i="31" s="1"/>
  <c r="AF165" i="31"/>
  <c r="AE165" i="31" s="1"/>
  <c r="AF167" i="31"/>
  <c r="AE167" i="31" s="1"/>
  <c r="AF169" i="31"/>
  <c r="AE169" i="31" s="1"/>
  <c r="W170" i="31"/>
  <c r="X170" i="31" s="1"/>
  <c r="AF171" i="31"/>
  <c r="AE171" i="31" s="1"/>
  <c r="AA172" i="31"/>
  <c r="AB172" i="31" s="1"/>
  <c r="S175" i="31"/>
  <c r="T175" i="31" s="1"/>
  <c r="AF175" i="31"/>
  <c r="AE175" i="31" s="1"/>
  <c r="AA176" i="31"/>
  <c r="AB176" i="31" s="1"/>
  <c r="S179" i="31"/>
  <c r="T179" i="31" s="1"/>
  <c r="AF179" i="31"/>
  <c r="AE179" i="31" s="1"/>
  <c r="AF183" i="31"/>
  <c r="AE183" i="31" s="1"/>
  <c r="AF187" i="31"/>
  <c r="AE187" i="31" s="1"/>
  <c r="W173" i="31"/>
  <c r="X173" i="31" s="1"/>
  <c r="W177" i="31"/>
  <c r="X177" i="31" s="1"/>
  <c r="W181" i="31"/>
  <c r="X181" i="31" s="1"/>
  <c r="W185" i="31"/>
  <c r="X185" i="31" s="1"/>
  <c r="S162" i="31"/>
  <c r="T162" i="31" s="1"/>
  <c r="S164" i="31"/>
  <c r="T164" i="31" s="1"/>
  <c r="S166" i="31"/>
  <c r="T166" i="31" s="1"/>
  <c r="S168" i="31"/>
  <c r="T168" i="31" s="1"/>
  <c r="S170" i="31"/>
  <c r="T170" i="31" s="1"/>
  <c r="S172" i="31"/>
  <c r="T172" i="31" s="1"/>
  <c r="AF172" i="31"/>
  <c r="AE172" i="31" s="1"/>
  <c r="AA173" i="31"/>
  <c r="AB173" i="31" s="1"/>
  <c r="S176" i="31"/>
  <c r="T176" i="31" s="1"/>
  <c r="AF176" i="31"/>
  <c r="AE176" i="31" s="1"/>
  <c r="AA177" i="31"/>
  <c r="AB177" i="31" s="1"/>
  <c r="AF180" i="31"/>
  <c r="AE180" i="31" s="1"/>
  <c r="AA181" i="31"/>
  <c r="AB181" i="31" s="1"/>
  <c r="AF184" i="31"/>
  <c r="AE184" i="31" s="1"/>
  <c r="AA185" i="31"/>
  <c r="AB185" i="31" s="1"/>
  <c r="H28" i="26" l="1"/>
  <c r="C26" i="33" s="1"/>
  <c r="F26" i="33" s="1"/>
  <c r="I24" i="33" s="1"/>
  <c r="H45" i="26" s="1"/>
  <c r="F28" i="26"/>
  <c r="C11" i="33" s="1"/>
  <c r="F11" i="33" s="1"/>
  <c r="I9" i="33" s="1"/>
  <c r="F45" i="26" l="1"/>
  <c r="F59" i="26"/>
  <c r="Q2" i="20" l="1"/>
  <c r="S2" i="20"/>
  <c r="Q3" i="20" l="1"/>
  <c r="Q4" i="20"/>
  <c r="Q5" i="20"/>
  <c r="Q6" i="20"/>
  <c r="Q7" i="20"/>
  <c r="Q8" i="20"/>
  <c r="Q9" i="20"/>
  <c r="Q10" i="20"/>
  <c r="Q11" i="20"/>
  <c r="Q12" i="20"/>
  <c r="Q13" i="20"/>
  <c r="Q14" i="20"/>
  <c r="Q15" i="20"/>
  <c r="Q16" i="20"/>
  <c r="Q17" i="20"/>
  <c r="Q18" i="20"/>
  <c r="Q19" i="20"/>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R2" i="20"/>
  <c r="R3" i="20"/>
  <c r="R4" i="20"/>
  <c r="R5" i="20"/>
  <c r="R6" i="20"/>
  <c r="R7" i="20"/>
  <c r="R8" i="20"/>
  <c r="R9" i="20"/>
  <c r="R10" i="20"/>
  <c r="R11" i="20"/>
  <c r="R12" i="20"/>
  <c r="R13" i="20"/>
  <c r="R14" i="20"/>
  <c r="R15" i="20"/>
  <c r="R16" i="20"/>
  <c r="R17" i="20"/>
  <c r="R18" i="20"/>
  <c r="R19" i="20"/>
  <c r="R20" i="20"/>
  <c r="R21" i="20"/>
  <c r="R22" i="20"/>
  <c r="R23" i="20"/>
  <c r="R24" i="20"/>
  <c r="R25" i="20"/>
  <c r="R26" i="20"/>
  <c r="R27" i="20"/>
  <c r="R28" i="20"/>
  <c r="R29" i="20"/>
  <c r="R30" i="20"/>
  <c r="R31" i="20"/>
  <c r="R32" i="20"/>
  <c r="R33" i="20"/>
  <c r="R34" i="20"/>
  <c r="R35" i="20"/>
  <c r="R36" i="20"/>
  <c r="R37" i="20"/>
  <c r="R38" i="20"/>
  <c r="R39" i="20"/>
  <c r="R40" i="20"/>
  <c r="R41" i="20"/>
  <c r="R42" i="20"/>
  <c r="R43" i="20"/>
  <c r="R44" i="20"/>
  <c r="R45" i="20"/>
  <c r="R46" i="20"/>
  <c r="R47" i="20"/>
  <c r="R48" i="20"/>
  <c r="R49" i="20"/>
  <c r="R50" i="20"/>
  <c r="R51" i="20"/>
  <c r="R52" i="20"/>
  <c r="R53" i="20"/>
  <c r="R54" i="20"/>
  <c r="R55" i="20"/>
  <c r="R56" i="20"/>
  <c r="R57" i="20"/>
  <c r="R58" i="20"/>
  <c r="R59" i="20"/>
  <c r="R60" i="20"/>
  <c r="R61" i="20"/>
  <c r="R62" i="20"/>
  <c r="R63" i="20"/>
  <c r="R64" i="20"/>
  <c r="R65" i="20"/>
  <c r="S3" i="20"/>
  <c r="S4"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S60" i="20"/>
  <c r="S61" i="20"/>
  <c r="S62" i="20"/>
  <c r="S63" i="20"/>
  <c r="S64" i="20"/>
  <c r="S65" i="20"/>
  <c r="T2" i="20" l="1"/>
  <c r="F79" i="26" l="1"/>
  <c r="F77" i="26" l="1"/>
  <c r="F85" i="26" s="1"/>
  <c r="F87" i="26"/>
  <c r="F12" i="33"/>
  <c r="I10" i="33" s="1"/>
  <c r="F61" i="26" s="1"/>
  <c r="I7"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 Bernard</author>
  </authors>
  <commentList>
    <comment ref="D4" authorId="0" shapeId="0" xr:uid="{E5FE9935-0B16-46BE-97F1-968C0A07BDF6}">
      <text>
        <r>
          <rPr>
            <b/>
            <sz val="9"/>
            <color indexed="81"/>
            <rFont val="Tahoma"/>
            <family val="2"/>
          </rPr>
          <t xml:space="preserve">Current subsidy:
</t>
        </r>
        <r>
          <rPr>
            <sz val="9"/>
            <color indexed="81"/>
            <rFont val="Tahoma"/>
            <family val="2"/>
          </rPr>
          <t xml:space="preserve">The first cell is the fixed base amount and the second is the additional amount per kBtu/h. The subsidy in effect in this version of the calculator is $2000 base and $5 per kBtu/h.
</t>
        </r>
        <r>
          <rPr>
            <b/>
            <sz val="9"/>
            <color indexed="81"/>
            <rFont val="Tahoma"/>
            <family val="2"/>
          </rPr>
          <t>Example:</t>
        </r>
        <r>
          <rPr>
            <sz val="9"/>
            <color indexed="81"/>
            <rFont val="Tahoma"/>
            <family val="2"/>
          </rPr>
          <t xml:space="preserve">
1st cell: 2000$
2nd cell: 5$ par kBtu/h</t>
        </r>
      </text>
    </comment>
    <comment ref="D13" authorId="0" shapeId="0" xr:uid="{47C2D2EF-218D-4F71-B184-07541CFCA9D3}">
      <text>
        <r>
          <rPr>
            <b/>
            <sz val="9"/>
            <color indexed="81"/>
            <rFont val="Tahoma"/>
            <family val="2"/>
          </rPr>
          <t xml:space="preserve">Device Capacity:
</t>
        </r>
        <r>
          <rPr>
            <sz val="9"/>
            <color indexed="81"/>
            <rFont val="Tahoma"/>
            <family val="2"/>
          </rPr>
          <t>Insert the average capacity when there is more than one device.</t>
        </r>
        <r>
          <rPr>
            <b/>
            <sz val="9"/>
            <color indexed="81"/>
            <rFont val="Tahoma"/>
            <family val="2"/>
          </rPr>
          <t xml:space="preserve">
</t>
        </r>
        <r>
          <rPr>
            <sz val="9"/>
            <color indexed="81"/>
            <rFont val="Tahoma"/>
            <family val="2"/>
          </rPr>
          <t xml:space="preserve">
</t>
        </r>
        <r>
          <rPr>
            <b/>
            <sz val="9"/>
            <color indexed="81"/>
            <rFont val="Tahoma"/>
            <family val="2"/>
          </rPr>
          <t>Example:</t>
        </r>
        <r>
          <rPr>
            <sz val="9"/>
            <color indexed="81"/>
            <rFont val="Tahoma"/>
            <family val="2"/>
          </rPr>
          <t xml:space="preserve">
If you have 1 unit that has a capacity of 120,000 Btu/h and 1 unit that has a capacity of 180,000 Btu/h, the value that should be entered is 150,000 Btu/h, which is the average.</t>
        </r>
      </text>
    </comment>
    <comment ref="D26" authorId="0" shapeId="0" xr:uid="{B62A00E0-0DD4-4E2C-A932-32220C5E43DC}">
      <text>
        <r>
          <rPr>
            <b/>
            <sz val="9"/>
            <color indexed="81"/>
            <rFont val="Tahoma"/>
            <family val="2"/>
          </rPr>
          <t>Annual Operating Hours:</t>
        </r>
        <r>
          <rPr>
            <sz val="9"/>
            <color indexed="81"/>
            <rFont val="Tahoma"/>
            <family val="2"/>
          </rPr>
          <t xml:space="preserve">
Insert the average of hours when there is more than one device.
</t>
        </r>
        <r>
          <rPr>
            <b/>
            <sz val="9"/>
            <color indexed="81"/>
            <rFont val="Tahoma"/>
            <family val="2"/>
          </rPr>
          <t>Example:</t>
        </r>
        <r>
          <rPr>
            <sz val="9"/>
            <color indexed="81"/>
            <rFont val="Tahoma"/>
            <family val="2"/>
          </rPr>
          <t xml:space="preserve">
If you have 1 device that runs 1500h/year and 1 device that runs 1100h/year, the value that should be entered is 1300h/year, which is the average.</t>
        </r>
      </text>
    </comment>
    <comment ref="D30" authorId="0" shapeId="0" xr:uid="{E48E18AC-37CE-4B35-AF47-8C4793888919}">
      <text>
        <r>
          <rPr>
            <b/>
            <sz val="9"/>
            <color indexed="81"/>
            <rFont val="Tahoma"/>
            <family val="2"/>
          </rPr>
          <t xml:space="preserve">Device Efficiency:
</t>
        </r>
        <r>
          <rPr>
            <sz val="9"/>
            <color indexed="81"/>
            <rFont val="Tahoma"/>
            <family val="2"/>
          </rPr>
          <t>Insert the average efficiency when there is more than one device.</t>
        </r>
        <r>
          <rPr>
            <b/>
            <sz val="9"/>
            <color indexed="81"/>
            <rFont val="Tahoma"/>
            <family val="2"/>
          </rPr>
          <t xml:space="preserve">
Example:
</t>
        </r>
        <r>
          <rPr>
            <sz val="9"/>
            <color indexed="81"/>
            <rFont val="Tahoma"/>
            <family val="2"/>
          </rPr>
          <t>If you have 1 device that has an efficiency of 80% and 1 device that has an efficiency of 84%, the value that should be entered is 82% which corresponds to the average.</t>
        </r>
      </text>
    </comment>
    <comment ref="D32" authorId="0" shapeId="0" xr:uid="{2972E0BB-3514-4307-A91B-E13575614F7F}">
      <text>
        <r>
          <rPr>
            <b/>
            <sz val="9"/>
            <color indexed="81"/>
            <rFont val="Tahoma"/>
            <family val="2"/>
          </rPr>
          <t>Total cost of acquisition of equipment:</t>
        </r>
        <r>
          <rPr>
            <sz val="9"/>
            <color indexed="81"/>
            <rFont val="Tahoma"/>
            <family val="2"/>
          </rPr>
          <t xml:space="preserve">
Insert the total acquisition cost of all devices when there is more than one device.
</t>
        </r>
        <r>
          <rPr>
            <b/>
            <sz val="9"/>
            <color indexed="81"/>
            <rFont val="Tahoma"/>
            <family val="2"/>
          </rPr>
          <t>Example:</t>
        </r>
        <r>
          <rPr>
            <sz val="9"/>
            <color indexed="81"/>
            <rFont val="Tahoma"/>
            <family val="2"/>
          </rPr>
          <t xml:space="preserve">
If you have 1 device that has an efficiency of $2000 and 1 device that has an efficiency of $4000, the value that must be entered is $6000 which corresponds to the sum of the cost of acquiring the devices.
</t>
        </r>
      </text>
    </comment>
    <comment ref="D34" authorId="0" shapeId="0" xr:uid="{5B8E2C8B-AA74-4D7D-81E7-6FB906514235}">
      <text>
        <r>
          <rPr>
            <b/>
            <sz val="9"/>
            <color indexed="81"/>
            <rFont val="Tahoma"/>
            <family val="2"/>
          </rPr>
          <t>Total cost of installation:</t>
        </r>
        <r>
          <rPr>
            <sz val="9"/>
            <color indexed="81"/>
            <rFont val="Tahoma"/>
            <family val="2"/>
          </rPr>
          <t xml:space="preserve">
Insert the cost of installation for all devices when there is more than one device.
</t>
        </r>
        <r>
          <rPr>
            <b/>
            <sz val="9"/>
            <color indexed="81"/>
            <rFont val="Tahoma"/>
            <family val="2"/>
          </rPr>
          <t>Example:</t>
        </r>
        <r>
          <rPr>
            <sz val="9"/>
            <color indexed="81"/>
            <rFont val="Tahoma"/>
            <family val="2"/>
          </rPr>
          <t xml:space="preserve">
If the installation of 2 appliances costs $2400, the value that must be entered is $2400 which corresponds to the cost of installing the appliances.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G202" authorId="0" shapeId="0" xr:uid="{DEC4D58A-22DF-4278-953E-08DC0E952B64}">
      <text>
        <r>
          <rPr>
            <b/>
            <sz val="9"/>
            <color indexed="81"/>
            <rFont val="Tahoma"/>
            <family val="2"/>
          </rPr>
          <t>Eppner Fanny:</t>
        </r>
        <r>
          <rPr>
            <sz val="9"/>
            <color indexed="81"/>
            <rFont val="Tahoma"/>
            <family val="2"/>
          </rPr>
          <t xml:space="preserve">
Est-ce qu'on devrait exclure les données de 2019-2020? J'ai l'impression que les économies sont faussées non?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tc={2D733443-3C14-4345-BEED-9617CEDFB48F}</author>
    <author>tc={7245E22F-E632-4D9D-8A18-99BCA2C3A008}</author>
  </authors>
  <commentList>
    <comment ref="C2" authorId="0" shapeId="0" xr:uid="{2D733443-3C14-4345-BEED-9617CEDFB48F}">
      <text>
        <t>[Threaded comment]
Your version of Excel allows you to read this threaded comment; however, any edits to it will get removed if the file is opened in a newer version of Excel. Learn more: https://go.microsoft.com/fwlink/?linkid=870924
Comment:
    Provient d’une simulation antérieure dont les résultats se trouvent dans l’onglet Économies réelles</t>
      </text>
    </comment>
    <comment ref="D2" authorId="1" shapeId="0" xr:uid="{7245E22F-E632-4D9D-8A18-99BCA2C3A008}">
      <text>
        <t xml:space="preserve">[Threaded comment]
Your version of Excel allows you to read this threaded comment; however, any edits to it will get removed if the file is opened in a newer version of Excel. Learn more: https://go.microsoft.com/fwlink/?linkid=870924
Comment:
    Obtenu en remplacant les BTU dans l’outil de calcul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Nicolas Bombard</author>
  </authors>
  <commentList>
    <comment ref="A1" authorId="0" shapeId="0" xr:uid="{051E31D3-AC71-4E8B-87EA-72DD59812537}">
      <text>
        <r>
          <rPr>
            <b/>
            <sz val="9"/>
            <color indexed="81"/>
            <rFont val="Tahoma"/>
            <family val="2"/>
          </rPr>
          <t>Nicolas Bombard:</t>
        </r>
        <r>
          <rPr>
            <sz val="9"/>
            <color indexed="81"/>
            <rFont val="Tahoma"/>
            <family val="2"/>
          </rPr>
          <t xml:space="preserve">
Correspond aux subdivisions des listes selon le type ou la gamme de puissance</t>
        </r>
      </text>
    </comment>
    <comment ref="H1" authorId="0" shapeId="0" xr:uid="{807C3A21-FFC5-40F1-AEC7-92DDBE0D97AA}">
      <text>
        <r>
          <rPr>
            <b/>
            <sz val="9"/>
            <color indexed="81"/>
            <rFont val="Tahoma"/>
            <family val="2"/>
          </rPr>
          <t>Nicolas Bombard:</t>
        </r>
        <r>
          <rPr>
            <sz val="9"/>
            <color indexed="81"/>
            <rFont val="Tahoma"/>
            <family val="2"/>
          </rPr>
          <t xml:space="preserve">
Pour les programmes suivants seulement:
PE111
PE113
PE123a
PE202
PE210a_&lt; 300k BTU
PE210b_&gt; 300k BTU
PE212
PE215</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4DD2E6F-6C70-4630-9244-3B5495191241}" keepAlive="1" name="Query - Table 1" description="Connection to the 'Table 1' query in the workbook." type="5" refreshedVersion="8" refreshOnLoad="1" saveData="1">
    <dbPr connection="Provider=Microsoft.Mashup.OleDb.1;Data Source=$Workbook$;Location=&quot;Table 1&quot;;Extended Properties=&quot;&quot;" command="SELECT * FROM [Table 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<sst xmlns="http://schemas.openxmlformats.org/spreadsheetml/2006/main" count="1117" uniqueCount="392">
  <si>
    <r>
      <t>Version n</t>
    </r>
    <r>
      <rPr>
        <i/>
        <vertAlign val="superscript"/>
        <sz val="9"/>
        <color theme="1"/>
        <rFont val="Calibri"/>
        <family val="2"/>
        <scheme val="minor"/>
      </rPr>
      <t>o</t>
    </r>
    <r>
      <rPr>
        <i/>
        <sz val="9"/>
        <color theme="1"/>
        <rFont val="Calibri"/>
        <family val="2"/>
        <scheme val="minor"/>
      </rPr>
      <t>1 2025-08</t>
    </r>
  </si>
  <si>
    <t>+</t>
  </si>
  <si>
    <t>Appareil 1</t>
  </si>
  <si>
    <t>Appareil 2</t>
  </si>
  <si>
    <t>Unités</t>
  </si>
  <si>
    <t>Standard</t>
  </si>
  <si>
    <t>Infrarouge</t>
  </si>
  <si>
    <t>Btu/h</t>
  </si>
  <si>
    <t>&lt; sélectionner &gt;</t>
  </si>
  <si>
    <t>pi2</t>
  </si>
  <si>
    <t>h/an</t>
  </si>
  <si>
    <t>$/m3</t>
  </si>
  <si>
    <t>%</t>
  </si>
  <si>
    <t>$</t>
  </si>
  <si>
    <r>
      <t>m</t>
    </r>
    <r>
      <rPr>
        <vertAlign val="superscript"/>
        <sz val="10"/>
        <color rgb="FF002060"/>
        <rFont val="Arial"/>
        <family val="2"/>
      </rPr>
      <t>3</t>
    </r>
    <r>
      <rPr>
        <sz val="10"/>
        <color rgb="FF002060"/>
        <rFont val="Arial"/>
        <family val="2"/>
      </rPr>
      <t xml:space="preserve"> de GN/an</t>
    </r>
  </si>
  <si>
    <t>$/an</t>
  </si>
  <si>
    <t>Informations requises:</t>
  </si>
  <si>
    <t>Résultats intermédiaires:</t>
  </si>
  <si>
    <t>Estimations:</t>
  </si>
  <si>
    <t>Capacité (BTU/h)</t>
  </si>
  <si>
    <t>Capacité totale fournie (BTU/h)</t>
  </si>
  <si>
    <t>Capacité suffisante (-)</t>
  </si>
  <si>
    <t>Nombre d'appareil</t>
  </si>
  <si>
    <t>Puissance de chauffe nécessaire (BTU/h/pi2)</t>
  </si>
  <si>
    <t>Coût total ($)</t>
  </si>
  <si>
    <t>Type de contrôle</t>
  </si>
  <si>
    <t>Facteur de compensation</t>
  </si>
  <si>
    <t>Aide financière totale ($)</t>
  </si>
  <si>
    <t>Type d'installation</t>
  </si>
  <si>
    <t>Capacité totale besoin (BTU/h)</t>
  </si>
  <si>
    <t>Consommation d'énergies totale (m3)</t>
  </si>
  <si>
    <t>Surface à chauffer (pi2)</t>
  </si>
  <si>
    <t>Aide financière par appareil ($)</t>
  </si>
  <si>
    <t>Consommation d'énergies monétaire totale ($)</t>
  </si>
  <si>
    <t>Heures d'utilisation (h/an)</t>
  </si>
  <si>
    <t>Consommation par appareil par an (m3/an)</t>
  </si>
  <si>
    <t>GES consumed (m3)</t>
  </si>
  <si>
    <t>Coût du gaz ($/m3)</t>
  </si>
  <si>
    <t>Consommation monétaire par appareil par an ($)</t>
  </si>
  <si>
    <t>Durée de vie (année)</t>
  </si>
  <si>
    <t>GES évités par appareil par an (m3)</t>
  </si>
  <si>
    <t>Efficacité de l'appareil (%)</t>
  </si>
  <si>
    <t>Coût de l'appareil ($)</t>
  </si>
  <si>
    <t>INFRAROUGE</t>
  </si>
  <si>
    <t>Valeur de référence:</t>
  </si>
  <si>
    <t>Type de bâtiment</t>
  </si>
  <si>
    <t>Type d'appareil</t>
  </si>
  <si>
    <t>1 stage</t>
  </si>
  <si>
    <t>2 stages</t>
  </si>
  <si>
    <t>Modulant</t>
  </si>
  <si>
    <t>GRC &gt; 0,67</t>
  </si>
  <si>
    <t>Entrepôt</t>
  </si>
  <si>
    <t xml:space="preserve">ratio de GN en GES </t>
  </si>
  <si>
    <t>Atelier mécanique</t>
  </si>
  <si>
    <t>Efficacité ref (%)</t>
  </si>
  <si>
    <t>Hangar d'avions</t>
  </si>
  <si>
    <t>Efficacité IR (%)</t>
  </si>
  <si>
    <t>Pouvoir calorifique GN (BTU/m3)</t>
  </si>
  <si>
    <r>
      <t>pi</t>
    </r>
    <r>
      <rPr>
        <vertAlign val="superscript"/>
        <sz val="11"/>
        <color theme="1"/>
        <rFont val="Calibri"/>
        <family val="2"/>
        <scheme val="minor"/>
      </rPr>
      <t>2</t>
    </r>
  </si>
  <si>
    <r>
      <t>m</t>
    </r>
    <r>
      <rPr>
        <vertAlign val="superscript"/>
        <sz val="11"/>
        <color theme="1"/>
        <rFont val="Calibri"/>
        <family val="2"/>
        <scheme val="minor"/>
      </rPr>
      <t>2</t>
    </r>
  </si>
  <si>
    <t>Conversion</t>
  </si>
  <si>
    <t>Prix référence GN</t>
  </si>
  <si>
    <t>$/GJ</t>
  </si>
  <si>
    <t>Note:</t>
  </si>
  <si>
    <t>790 + 600</t>
  </si>
  <si>
    <t>740 + 600</t>
  </si>
  <si>
    <r>
      <t xml:space="preserve">Le coût incremental peut être une donnée d'entrée (rentrer un chiffre) ou une estimation (rentrer "N/D")
</t>
    </r>
    <r>
      <rPr>
        <b/>
        <sz val="11"/>
        <color rgb="FFFF0000"/>
        <rFont val="Calibri"/>
        <family val="2"/>
        <scheme val="minor"/>
      </rPr>
      <t>L'estimation du coût incremental vient du rapport d'évaluation (1390$ pour &lt;100000BTU/h ou 1340$ pour &gt;100000BTU/h)</t>
    </r>
    <r>
      <rPr>
        <sz val="11"/>
        <color theme="1"/>
        <rFont val="Calibri"/>
        <family val="2"/>
        <scheme val="minor"/>
      </rPr>
      <t xml:space="preserve">
L'aide financière est fixe de 800$ peu importe la capacité de l'appareil
L'outil vérifie aussi si la capacité totale est valide pour la surface à chauffer et type d'installation
Les cases grises ne sont pas obligatoires et se réfèrent aux données de référence lorsque "N/D" est inscrit</t>
    </r>
  </si>
  <si>
    <t>Période</t>
  </si>
  <si>
    <t>Prix référenceÉnergir($/GJ)</t>
  </si>
  <si>
    <t>Prix référenceÉnergir(¢/m³)</t>
  </si>
  <si>
    <t>Prix du marchéContrat 1 an($/GJ)</t>
  </si>
  <si>
    <t>Prix du marchéMensuel($/GJ)</t>
  </si>
  <si>
    <t>Méthode actuelle (Test 0)</t>
  </si>
  <si>
    <t>Test 1</t>
  </si>
  <si>
    <t>Test 2</t>
  </si>
  <si>
    <t>Test 3</t>
  </si>
  <si>
    <t>Test 4</t>
  </si>
  <si>
    <t>Fixe</t>
  </si>
  <si>
    <t>Variable</t>
  </si>
  <si>
    <t>Surcoût moyens ($)</t>
  </si>
  <si>
    <t>Année financière</t>
  </si>
  <si>
    <t>Numéro dossier</t>
  </si>
  <si>
    <t>Nombres appareils installés</t>
  </si>
  <si>
    <t>Capacité (BTU)</t>
  </si>
  <si>
    <t>Économies par appareil (m3)</t>
  </si>
  <si>
    <t>Economies totales (m3)</t>
  </si>
  <si>
    <t>Surcoût moyens de l'équipement ($)</t>
  </si>
  <si>
    <t>Surcoût moyen de l'installation ($)</t>
  </si>
  <si>
    <t>Surcoût par appareil ($)</t>
  </si>
  <si>
    <t>Surcoût total ($)</t>
  </si>
  <si>
    <t>AF accordée ($)</t>
  </si>
  <si>
    <t>AF 0 ($)</t>
  </si>
  <si>
    <t>AF 0 par appareil ($)</t>
  </si>
  <si>
    <t>Couverture 0 (%)</t>
  </si>
  <si>
    <t>Couverture * nb appareils 0</t>
  </si>
  <si>
    <t>AF 1 ($)</t>
  </si>
  <si>
    <t>AF 1 par appareil ($)</t>
  </si>
  <si>
    <t>Couverture 1 (%)</t>
  </si>
  <si>
    <t>Couverture * nb appareils 1</t>
  </si>
  <si>
    <t>AF 2 ($)</t>
  </si>
  <si>
    <t>AF 2 par appareil ($)</t>
  </si>
  <si>
    <t>Couverture 2 (%)</t>
  </si>
  <si>
    <t>Couverture * nb appareils 2</t>
  </si>
  <si>
    <t>AF 3 ($)</t>
  </si>
  <si>
    <t>AF 3 par appareil ($)</t>
  </si>
  <si>
    <t>Couverture 3 (%)</t>
  </si>
  <si>
    <t>Couverture * nb appareils 3</t>
  </si>
  <si>
    <t>AF 4 ($)</t>
  </si>
  <si>
    <t>AF 4 par appareil  ($)</t>
  </si>
  <si>
    <t>Couverture * nb appareils 4</t>
  </si>
  <si>
    <t>Couverture 4 (%)</t>
  </si>
  <si>
    <t>2019-2020</t>
  </si>
  <si>
    <t>00057806</t>
  </si>
  <si>
    <t>00066024</t>
  </si>
  <si>
    <t>00046984</t>
  </si>
  <si>
    <t>00059882</t>
  </si>
  <si>
    <t>00058454</t>
  </si>
  <si>
    <t>00048468</t>
  </si>
  <si>
    <t>00062063</t>
  </si>
  <si>
    <t>00052549</t>
  </si>
  <si>
    <t>00049716</t>
  </si>
  <si>
    <t>00043185</t>
  </si>
  <si>
    <t>S.O.</t>
  </si>
  <si>
    <t>00045083</t>
  </si>
  <si>
    <t>00062341</t>
  </si>
  <si>
    <t>00044815</t>
  </si>
  <si>
    <t>00056845</t>
  </si>
  <si>
    <t>00041207</t>
  </si>
  <si>
    <t>00057965</t>
  </si>
  <si>
    <t>00046181</t>
  </si>
  <si>
    <t>00049346</t>
  </si>
  <si>
    <t>00068717</t>
  </si>
  <si>
    <t>00055273</t>
  </si>
  <si>
    <t>00046269</t>
  </si>
  <si>
    <t>00044363</t>
  </si>
  <si>
    <t>00051226</t>
  </si>
  <si>
    <t>00051232</t>
  </si>
  <si>
    <t>00041992</t>
  </si>
  <si>
    <t>00041792</t>
  </si>
  <si>
    <t>00041786</t>
  </si>
  <si>
    <t>00048902</t>
  </si>
  <si>
    <t>2020-2021</t>
  </si>
  <si>
    <t>00075209</t>
  </si>
  <si>
    <t>00068933</t>
  </si>
  <si>
    <t>00069273</t>
  </si>
  <si>
    <t>00042222</t>
  </si>
  <si>
    <t>00071781</t>
  </si>
  <si>
    <t>00064088</t>
  </si>
  <si>
    <t>00068911</t>
  </si>
  <si>
    <t>00077146</t>
  </si>
  <si>
    <t>00079699</t>
  </si>
  <si>
    <t>00068985</t>
  </si>
  <si>
    <t>00069170</t>
  </si>
  <si>
    <t>00074345</t>
  </si>
  <si>
    <t>00078538</t>
  </si>
  <si>
    <t>00055725</t>
  </si>
  <si>
    <t>00057419</t>
  </si>
  <si>
    <t>00069380</t>
  </si>
  <si>
    <t>00069369</t>
  </si>
  <si>
    <t>00053127</t>
  </si>
  <si>
    <t>00071112</t>
  </si>
  <si>
    <t>00069843</t>
  </si>
  <si>
    <t>00069855</t>
  </si>
  <si>
    <t>00072707</t>
  </si>
  <si>
    <t>00073300</t>
  </si>
  <si>
    <t>00072897</t>
  </si>
  <si>
    <t>00055456</t>
  </si>
  <si>
    <t>00084890</t>
  </si>
  <si>
    <t>00076445</t>
  </si>
  <si>
    <t>00073312</t>
  </si>
  <si>
    <t>00045509</t>
  </si>
  <si>
    <t>00075544</t>
  </si>
  <si>
    <t>00074393</t>
  </si>
  <si>
    <t>00072812</t>
  </si>
  <si>
    <t>00070461</t>
  </si>
  <si>
    <t>00077802</t>
  </si>
  <si>
    <t>00070458</t>
  </si>
  <si>
    <t>00059262</t>
  </si>
  <si>
    <t>00072072</t>
  </si>
  <si>
    <t>00083859</t>
  </si>
  <si>
    <t>00084358</t>
  </si>
  <si>
    <t>00084365</t>
  </si>
  <si>
    <t>00084370</t>
  </si>
  <si>
    <t>00070463</t>
  </si>
  <si>
    <t>00083742</t>
  </si>
  <si>
    <t>00081776</t>
  </si>
  <si>
    <t>00085388</t>
  </si>
  <si>
    <t>00079635</t>
  </si>
  <si>
    <t>00076107</t>
  </si>
  <si>
    <t>2021-2022</t>
  </si>
  <si>
    <t>00070421</t>
  </si>
  <si>
    <t>00107035</t>
  </si>
  <si>
    <t>00113839</t>
  </si>
  <si>
    <t>00070419</t>
  </si>
  <si>
    <t>00108514</t>
  </si>
  <si>
    <t>00102015</t>
  </si>
  <si>
    <t>00099001</t>
  </si>
  <si>
    <t>00094633</t>
  </si>
  <si>
    <t>00115800</t>
  </si>
  <si>
    <t>00074307</t>
  </si>
  <si>
    <t>00103553</t>
  </si>
  <si>
    <t>00096945</t>
  </si>
  <si>
    <t>00093469</t>
  </si>
  <si>
    <t>00075743</t>
  </si>
  <si>
    <t>00110250</t>
  </si>
  <si>
    <t>00071362</t>
  </si>
  <si>
    <t>00107579</t>
  </si>
  <si>
    <t>00100889</t>
  </si>
  <si>
    <t>00100885</t>
  </si>
  <si>
    <t>00081175</t>
  </si>
  <si>
    <t>00107287</t>
  </si>
  <si>
    <t>00102693</t>
  </si>
  <si>
    <t>2022-2023</t>
  </si>
  <si>
    <t>00114471</t>
  </si>
  <si>
    <t>00119497</t>
  </si>
  <si>
    <t>00114723</t>
  </si>
  <si>
    <t>00119806</t>
  </si>
  <si>
    <t>00119561</t>
  </si>
  <si>
    <t>00128572</t>
  </si>
  <si>
    <t>00126503</t>
  </si>
  <si>
    <t>00128173</t>
  </si>
  <si>
    <t>00113913</t>
  </si>
  <si>
    <t>00068892</t>
  </si>
  <si>
    <t>00102449</t>
  </si>
  <si>
    <t>00110648</t>
  </si>
  <si>
    <t>2023-2024</t>
  </si>
  <si>
    <t xml:space="preserve">total </t>
  </si>
  <si>
    <t>BTU/h</t>
  </si>
  <si>
    <t>Économies réelles</t>
  </si>
  <si>
    <t>Économies calculées</t>
  </si>
  <si>
    <t xml:space="preserve">Erreur </t>
  </si>
  <si>
    <t>Catégories PEE</t>
  </si>
  <si>
    <t>Distributeur</t>
  </si>
  <si>
    <t>Manufacturier</t>
  </si>
  <si>
    <t>Marque</t>
  </si>
  <si>
    <t>Modèle</t>
  </si>
  <si>
    <t>Capacité inférieure (PE215)
(Btu/h)</t>
  </si>
  <si>
    <t>Capacité (Btu/h)</t>
  </si>
  <si>
    <t>Gamme de capacité (Btu/h)</t>
  </si>
  <si>
    <t>Efficacité</t>
  </si>
  <si>
    <t>Type d'efficacité 
(FRT / AFUE / UEF (FE) / Efficacité thermique)</t>
  </si>
  <si>
    <t>Efficacité de combustion
(%)
(facultatif)</t>
  </si>
  <si>
    <t>Matériau de l'échangeur</t>
  </si>
  <si>
    <t>Taux de modulation</t>
  </si>
  <si>
    <t>Pleine modulation ou   par stage</t>
  </si>
  <si>
    <t>Boiler Reset Control 
OU
Indoor / Outdoor</t>
  </si>
  <si>
    <t>Prix moyen (net) facturé à l'entrepreneur</t>
  </si>
  <si>
    <t>Surcoût moyen
(Équipements)</t>
  </si>
  <si>
    <t>Surcoût moyen
(Avec Installation)</t>
  </si>
  <si>
    <t xml:space="preserve">AF </t>
  </si>
  <si>
    <t>PE225</t>
  </si>
  <si>
    <t>Beautech</t>
  </si>
  <si>
    <t>Mestek</t>
  </si>
  <si>
    <t>Beacon/Morris</t>
  </si>
  <si>
    <t>BH050</t>
  </si>
  <si>
    <t/>
  </si>
  <si>
    <t>3:1</t>
  </si>
  <si>
    <t>Pleine modulation</t>
  </si>
  <si>
    <t>BH100</t>
  </si>
  <si>
    <t>BH150</t>
  </si>
  <si>
    <t>BH200</t>
  </si>
  <si>
    <t>BH300</t>
  </si>
  <si>
    <t>BH400</t>
  </si>
  <si>
    <t>Sterling</t>
  </si>
  <si>
    <t>HU050</t>
  </si>
  <si>
    <t>HU100</t>
  </si>
  <si>
    <t>HU150</t>
  </si>
  <si>
    <t>HU200</t>
  </si>
  <si>
    <t>HU300</t>
  </si>
  <si>
    <t>HU400</t>
  </si>
  <si>
    <t>Trane</t>
  </si>
  <si>
    <t>HINA050</t>
  </si>
  <si>
    <t>HINA100</t>
  </si>
  <si>
    <t>HINA150</t>
  </si>
  <si>
    <t>HINA200</t>
  </si>
  <si>
    <t>HINA300</t>
  </si>
  <si>
    <t>HINA400</t>
  </si>
  <si>
    <t>HIPA050</t>
  </si>
  <si>
    <t>HIPA100</t>
  </si>
  <si>
    <t>HIPA150</t>
  </si>
  <si>
    <t>HIPA200</t>
  </si>
  <si>
    <t>HIPA300</t>
  </si>
  <si>
    <t>HIPA400</t>
  </si>
  <si>
    <t>G. Mitchell Chauffage &amp; Cie Ltée</t>
  </si>
  <si>
    <t>Modine</t>
  </si>
  <si>
    <t>Effinity 93</t>
  </si>
  <si>
    <t>BTC 215</t>
  </si>
  <si>
    <t>1:1</t>
  </si>
  <si>
    <t>ON/OFF</t>
  </si>
  <si>
    <t>BTC 260</t>
  </si>
  <si>
    <t>BTC 310</t>
  </si>
  <si>
    <t>PTC 110</t>
  </si>
  <si>
    <t>PTC 135</t>
  </si>
  <si>
    <t>PTC 155</t>
  </si>
  <si>
    <t>PTC 180</t>
  </si>
  <si>
    <t>PTC 215</t>
  </si>
  <si>
    <t>PTC 260</t>
  </si>
  <si>
    <t>PTC 310</t>
  </si>
  <si>
    <t>PTC 55</t>
  </si>
  <si>
    <t>PTC 65</t>
  </si>
  <si>
    <t>PTC 85</t>
  </si>
  <si>
    <t>Groupe Master</t>
  </si>
  <si>
    <t>Nortek</t>
  </si>
  <si>
    <t>Reznor</t>
  </si>
  <si>
    <t>UEZ110</t>
  </si>
  <si>
    <t>par stages</t>
  </si>
  <si>
    <t>UEZ130</t>
  </si>
  <si>
    <t>UEZ180</t>
  </si>
  <si>
    <t>UEZ260</t>
  </si>
  <si>
    <t>UEZ310</t>
  </si>
  <si>
    <t>UEZ55</t>
  </si>
  <si>
    <t>UEZ85</t>
  </si>
  <si>
    <t>Groupe Master Inc</t>
  </si>
  <si>
    <t>UEAS-130</t>
  </si>
  <si>
    <t>2:1</t>
  </si>
  <si>
    <t>UEAS-180</t>
  </si>
  <si>
    <t>UEAS-260</t>
  </si>
  <si>
    <t>UEAS-310</t>
  </si>
  <si>
    <t>Slant/Fin Corporation</t>
  </si>
  <si>
    <t>VGH-100-CH</t>
  </si>
  <si>
    <t>5:1</t>
  </si>
  <si>
    <t>VGH-120-CH</t>
  </si>
  <si>
    <t>VGH-150-CH</t>
  </si>
  <si>
    <t>VGH-150-CO</t>
  </si>
  <si>
    <t>VGH-180-CH</t>
  </si>
  <si>
    <t>VGH-200-CO</t>
  </si>
  <si>
    <t>VGH-299-CH</t>
  </si>
  <si>
    <t>VGH-399-CH</t>
  </si>
  <si>
    <t>VGH-500-CH</t>
  </si>
  <si>
    <t>VGH-80-CH</t>
  </si>
  <si>
    <t>VGH-90-CO</t>
  </si>
  <si>
    <t>King Heating Products Inc</t>
  </si>
  <si>
    <t>Winterwarm B.V.</t>
  </si>
  <si>
    <t>Eco-King</t>
  </si>
  <si>
    <t>HR 115</t>
  </si>
  <si>
    <t>HR 150</t>
  </si>
  <si>
    <t>HR 190</t>
  </si>
  <si>
    <t>HR 230</t>
  </si>
  <si>
    <t>HR 50</t>
  </si>
  <si>
    <t>Energy saving calculator for infrared devices</t>
  </si>
  <si>
    <t>User Guide</t>
  </si>
  <si>
    <t>Input data</t>
  </si>
  <si>
    <t>Output data</t>
  </si>
  <si>
    <t>Table 3 of the output data emphasizes the difference between the output values of the two devices to be compared. There is also an "Estimates" section to have an overview of the results.</t>
  </si>
  <si>
    <r>
      <rPr>
        <b/>
        <sz val="11"/>
        <color rgb="FF009FDF"/>
        <rFont val="Arial"/>
        <family val="2"/>
      </rPr>
      <t>Sufficient capacity (Yes/No)</t>
    </r>
    <r>
      <rPr>
        <b/>
        <sz val="11"/>
        <color rgb="FF002855"/>
        <rFont val="Arial"/>
        <family val="2"/>
      </rPr>
      <t xml:space="preserve">
</t>
    </r>
    <r>
      <rPr>
        <sz val="11"/>
        <color rgb="FF002855"/>
        <rFont val="Arial"/>
        <family val="2"/>
      </rPr>
      <t xml:space="preserve">Sufficient capacity uses the data of "surface to be heated" as well as "type of installation" to check whether the capacity of each appliance and the number of appliances are sufficient for the heating needs of the installation. </t>
    </r>
    <r>
      <rPr>
        <b/>
        <sz val="11"/>
        <color rgb="FF002855"/>
        <rFont val="Arial"/>
        <family val="2"/>
      </rPr>
      <t xml:space="preserve">
</t>
    </r>
    <r>
      <rPr>
        <b/>
        <sz val="11"/>
        <color rgb="FF009FDF"/>
        <rFont val="Arial"/>
        <family val="2"/>
      </rPr>
      <t xml:space="preserve">Total Cost ($)
</t>
    </r>
    <r>
      <rPr>
        <sz val="11"/>
        <color rgb="FF002855"/>
        <rFont val="Arial"/>
        <family val="2"/>
      </rPr>
      <t xml:space="preserve">The total cost represents the cost of acquiring the equipment, including the material and the installation. The additional cost corresponds to the difference in the total costs.
</t>
    </r>
    <r>
      <rPr>
        <b/>
        <sz val="14"/>
        <color rgb="FF002855"/>
        <rFont val="Arial"/>
        <family val="2"/>
      </rPr>
      <t xml:space="preserve">
</t>
    </r>
    <r>
      <rPr>
        <b/>
        <sz val="11"/>
        <color rgb="FF009FDF"/>
        <rFont val="Arial"/>
        <family val="2"/>
      </rPr>
      <t xml:space="preserve">Total Financial Assistance ($)
</t>
    </r>
    <r>
      <rPr>
        <sz val="11"/>
        <color rgb="FF002855"/>
        <rFont val="Arial"/>
        <family val="2"/>
      </rPr>
      <t>The total financial assistance represents the financial assistance granted to equipment by Énergir under the infrared unit heater subsidy program.</t>
    </r>
    <r>
      <rPr>
        <b/>
        <sz val="11"/>
        <color rgb="FF002855"/>
        <rFont val="Arial"/>
        <family val="2"/>
      </rPr>
      <t xml:space="preserve">
</t>
    </r>
    <r>
      <rPr>
        <b/>
        <sz val="11"/>
        <color rgb="FF009FDF"/>
        <rFont val="Arial"/>
        <family val="2"/>
      </rPr>
      <t>ROI (year)</t>
    </r>
    <r>
      <rPr>
        <b/>
        <sz val="14"/>
        <color rgb="FF002855"/>
        <rFont val="Arial"/>
        <family val="2"/>
      </rPr>
      <t xml:space="preserve">
</t>
    </r>
    <r>
      <rPr>
        <sz val="11"/>
        <color rgb="FF002855"/>
        <rFont val="Arial"/>
        <family val="2"/>
      </rPr>
      <t xml:space="preserve">Return on Investment Period (ROI) is equivalent to the additional cost of the device on monetary energy savings per year. 
</t>
    </r>
    <r>
      <rPr>
        <b/>
        <sz val="14"/>
        <color rgb="FF002855"/>
        <rFont val="Arial"/>
        <family val="2"/>
      </rPr>
      <t xml:space="preserve">
</t>
    </r>
    <r>
      <rPr>
        <b/>
        <sz val="11"/>
        <color rgb="FF009FDF"/>
        <rFont val="Arial"/>
        <family val="2"/>
      </rPr>
      <t xml:space="preserve">Annual cost of energy consumption ($) 
</t>
    </r>
    <r>
      <rPr>
        <sz val="11"/>
        <color rgb="FF002855"/>
        <rFont val="Arial"/>
        <family val="2"/>
      </rPr>
      <t>The total energy consumption cost is the cost for all appliances on an annual basis. The financial savings correspond to the difference in the cost of consumption between the two devices.</t>
    </r>
    <r>
      <rPr>
        <b/>
        <sz val="11"/>
        <color rgb="FF009FDF"/>
        <rFont val="Arial"/>
        <family val="2"/>
      </rPr>
      <t xml:space="preserve">
Annual energy consumption (m3 of natural gas)
</t>
    </r>
    <r>
      <rPr>
        <sz val="11"/>
        <color rgb="FF002060"/>
        <rFont val="Arial"/>
        <family val="2"/>
      </rPr>
      <t>Total energy consumption is the consumption for all appliances on an annual basis. The natural gas savings correspond to the difference in consumption between the two appliances.</t>
    </r>
    <r>
      <rPr>
        <b/>
        <sz val="11"/>
        <color rgb="FF009FDF"/>
        <rFont val="Arial"/>
        <family val="2"/>
      </rPr>
      <t xml:space="preserve">
Total GHG emissions (tons of CO2)
</t>
    </r>
    <r>
      <rPr>
        <sz val="11"/>
        <color rgb="FF002855"/>
        <rFont val="Arial"/>
        <family val="2"/>
      </rPr>
      <t>Total GHG emissions are the equivalent emissions in tons of CO2 for all appliances on an annual basis. The GHG savings correspond to the difference in emissions between the two devices.</t>
    </r>
  </si>
  <si>
    <t>1: This information is derived from the unit heater data sheet available on the Énergir website</t>
  </si>
  <si>
    <t>Énergir cannot be held liable for damages, whether direct or indirect, resulting from the results of the calculation tools. User remains 
responsible for ensuring the accuracy of the data it uses. The results in the spreadsheet are provided to the client for information purposes only 
and may in no way be interpreted as a guarantee of infallibility or a representation to that effect by Énergir. Énergir, its employees, 
Agents and representatives cannot therefore be held liable to a customer between this estimate and the actual performance of the 
customer.</t>
  </si>
  <si>
    <r>
      <t xml:space="preserve">Objective
</t>
    </r>
    <r>
      <rPr>
        <b/>
        <sz val="11"/>
        <color rgb="FF002855"/>
        <rFont val="Arial"/>
        <family val="2"/>
      </rPr>
      <t xml:space="preserve">
</t>
    </r>
    <r>
      <rPr>
        <sz val="11"/>
        <color rgb="FF002855"/>
        <rFont val="Arial"/>
        <family val="2"/>
      </rPr>
      <t>The "Energy Savings Calculator for Infrared Heaters" developed by Énergir makes it possible to calculate and compare the energy savings, cost and financial assistance granted to standard or infrared unit heaters.  The calculator was designed as part of Énergir's infrared unit heater subsidy program.</t>
    </r>
  </si>
  <si>
    <t>Calculation Tool - Infrared</t>
  </si>
  <si>
    <t>Current subsidy:</t>
  </si>
  <si>
    <t>per kBtu/h</t>
  </si>
  <si>
    <t>Table 1 - Data Requirements</t>
  </si>
  <si>
    <t>Equipment 1</t>
  </si>
  <si>
    <t>Equipment 2</t>
  </si>
  <si>
    <t>Type of equipment:</t>
  </si>
  <si>
    <t>Number of Equipment:</t>
  </si>
  <si>
    <t>Equipment Capacity:</t>
  </si>
  <si>
    <t>Table 2 is automatically pre-populated using reference values and assumptions (except for the first two rows). You can use the values provided or modify them with the data of your choice.</t>
  </si>
  <si>
    <t>Table 2 - Optional Data</t>
  </si>
  <si>
    <t>Units</t>
  </si>
  <si>
    <t>Control Type:</t>
  </si>
  <si>
    <t>Installation Type:</t>
  </si>
  <si>
    <t>Surface to be heated:</t>
  </si>
  <si>
    <t>Annual Equipment Operating Hours:</t>
  </si>
  <si>
    <t>Gas Cost:</t>
  </si>
  <si>
    <t>Equipment Efficiency:</t>
  </si>
  <si>
    <t>Total cost of acquisition of equipment:</t>
  </si>
  <si>
    <t>Total cost of installation:</t>
  </si>
  <si>
    <t>Table 3 - Comparison of Equipment</t>
  </si>
  <si>
    <t>Sufficient total capacity:</t>
  </si>
  <si>
    <t>Total Cost:</t>
  </si>
  <si>
    <t>Annual energy consumption:</t>
  </si>
  <si>
    <t>Annual Energy Consumption Cost:</t>
  </si>
  <si>
    <t>Estimates</t>
  </si>
  <si>
    <t>Annual savings</t>
  </si>
  <si>
    <t>Natural gas</t>
  </si>
  <si>
    <t>Monetary</t>
  </si>
  <si>
    <t>GHGs avoided</t>
  </si>
  <si>
    <r>
      <t>m</t>
    </r>
    <r>
      <rPr>
        <vertAlign val="superscript"/>
        <sz val="11"/>
        <color rgb="FF002855"/>
        <rFont val="Calibri"/>
        <family val="2"/>
        <scheme val="minor"/>
      </rPr>
      <t>3</t>
    </r>
    <r>
      <rPr>
        <sz val="11"/>
        <color rgb="FF002855"/>
        <rFont val="Calibri"/>
        <family val="2"/>
        <scheme val="minor"/>
      </rPr>
      <t>/year</t>
    </r>
  </si>
  <si>
    <t>$/year</t>
  </si>
  <si>
    <r>
      <t>tons of CO</t>
    </r>
    <r>
      <rPr>
        <vertAlign val="subscript"/>
        <sz val="11"/>
        <color rgb="FF002855"/>
        <rFont val="Calibri"/>
        <family val="2"/>
        <scheme val="minor"/>
      </rPr>
      <t>2</t>
    </r>
    <r>
      <rPr>
        <sz val="11"/>
        <color rgb="FF002855"/>
        <rFont val="Calibri"/>
        <family val="2"/>
        <scheme val="minor"/>
      </rPr>
      <t>/year</t>
    </r>
  </si>
  <si>
    <t>Financial subsidy</t>
  </si>
  <si>
    <t>Additional cost</t>
  </si>
  <si>
    <t>The use of infrared equipment(s) versus standard generates the following additional costs:</t>
  </si>
  <si>
    <t>Additional cost, including financial subsidy</t>
  </si>
  <si>
    <t>Additional cost, excluding financial subsidy</t>
  </si>
  <si>
    <t>Return On Investment Period (ROI)</t>
  </si>
  <si>
    <t>ROI including financial subsidy</t>
  </si>
  <si>
    <t>ROI excluding financial subsidy</t>
  </si>
  <si>
    <t>year(s)</t>
  </si>
  <si>
    <r>
      <rPr>
        <sz val="11"/>
        <color rgb="FF002855"/>
        <rFont val="Arial"/>
        <family val="2"/>
      </rPr>
      <t xml:space="preserve">The input parameters of the calculator are divided into two sections: the required data and the optional data which are located in Table 1 and 2 respectively. When optional data is not known, leave the box blank. The calculator will be based on reference values derived from databases, as well as assumptions that are listed below. Two columns are located in the input data, in order to compare two heaters (e.g., a standard device versus an infrared device). When there is more than one device in the device count field, the optional data is the </t>
    </r>
    <r>
      <rPr>
        <b/>
        <sz val="11"/>
        <color rgb="FF002855"/>
        <rFont val="Arial"/>
        <family val="2"/>
      </rPr>
      <t>average of the devices</t>
    </r>
    <r>
      <rPr>
        <sz val="11"/>
        <color rgb="FF002855"/>
        <rFont val="Arial"/>
        <family val="2"/>
      </rPr>
      <t xml:space="preserve"> except for the total device cost and total installation cost that are associated with </t>
    </r>
    <r>
      <rPr>
        <b/>
        <sz val="11"/>
        <color rgb="FF002855"/>
        <rFont val="Arial"/>
        <family val="2"/>
      </rPr>
      <t>all devices.</t>
    </r>
    <r>
      <rPr>
        <b/>
        <sz val="14"/>
        <color rgb="FF002855"/>
        <rFont val="Arial"/>
        <family val="2"/>
      </rPr>
      <t xml:space="preserve">
</t>
    </r>
    <r>
      <rPr>
        <b/>
        <sz val="11"/>
        <color rgb="FF009FDF"/>
        <rFont val="Arial"/>
        <family val="2"/>
      </rPr>
      <t>Required data</t>
    </r>
    <r>
      <rPr>
        <b/>
        <sz val="11"/>
        <color rgb="FF002855"/>
        <rFont val="Arial"/>
        <family val="2"/>
      </rPr>
      <t xml:space="preserve">
</t>
    </r>
    <r>
      <rPr>
        <sz val="11"/>
        <color rgb="FF002855"/>
        <rFont val="Arial"/>
        <family val="2"/>
      </rPr>
      <t xml:space="preserve">- Current subsidy ($/kBtu/hr)
- Device type (standard/infrared)
- Device Capacity (Btu/h)
- Number of devices
</t>
    </r>
    <r>
      <rPr>
        <b/>
        <sz val="11"/>
        <color rgb="FF002855"/>
        <rFont val="Arial"/>
        <family val="2"/>
      </rPr>
      <t xml:space="preserve">
</t>
    </r>
    <r>
      <rPr>
        <b/>
        <sz val="11"/>
        <color rgb="FF009FDF"/>
        <rFont val="Arial"/>
        <family val="2"/>
      </rPr>
      <t xml:space="preserve">Falcultative data
</t>
    </r>
    <r>
      <rPr>
        <sz val="11"/>
        <color rgb="FF002855"/>
        <rFont val="Arial"/>
        <family val="2"/>
      </rPr>
      <t>- Device Control Type (only applicable to infrared devices)
- Area to be heated (ft2 or m2)
- Type of facility (warehouse/mechanical shop/aircraft hangar)
- Annual operating hours per device (h/year)
- Gas cost ($/m3 of natural gas or $/GJ)
- Lifetime (year)
- Device Efficiency (%)
- Total cost of devices ($)
- Total cost of installation ($)</t>
    </r>
  </si>
  <si>
    <r>
      <t xml:space="preserve">Assumptions and reference value
</t>
    </r>
    <r>
      <rPr>
        <sz val="11"/>
        <color rgb="FF002855"/>
        <rFont val="Arial"/>
        <family val="2"/>
      </rPr>
      <t xml:space="preserve">Points 1 to 8 are values used when the optional and corresponding input data is left blank. The other points are values used that are independent of the input data.
1. The annual operating hour per device is </t>
    </r>
    <r>
      <rPr>
        <b/>
        <sz val="11"/>
        <color rgb="FF002855"/>
        <rFont val="Arial"/>
        <family val="2"/>
      </rPr>
      <t>1500 h/year</t>
    </r>
    <r>
      <rPr>
        <sz val="11"/>
        <color rgb="FF002855"/>
        <rFont val="Arial"/>
        <family val="2"/>
      </rPr>
      <t xml:space="preserve"> on average
2. The most recent gas cost from the </t>
    </r>
    <r>
      <rPr>
        <b/>
        <sz val="11"/>
        <color rgb="FF002855"/>
        <rFont val="Arial"/>
        <family val="2"/>
      </rPr>
      <t>Énergir site</t>
    </r>
    <r>
      <rPr>
        <sz val="11"/>
        <color rgb="FF002855"/>
        <rFont val="Arial"/>
        <family val="2"/>
      </rPr>
      <t xml:space="preserve"> is automatically generated in the calculator 
3. The lifespan of a standard or infrared unit heater is </t>
    </r>
    <r>
      <rPr>
        <b/>
        <sz val="11"/>
        <color rgb="FF002855"/>
        <rFont val="Arial"/>
        <family val="2"/>
      </rPr>
      <t>17 years</t>
    </r>
    <r>
      <rPr>
        <sz val="11"/>
        <color rgb="FF002855"/>
        <rFont val="Arial"/>
        <family val="2"/>
      </rPr>
      <t xml:space="preserve">
4. The efficiency of an average standard aeroherm is </t>
    </r>
    <r>
      <rPr>
        <b/>
        <sz val="11"/>
        <color rgb="FF002855"/>
        <rFont val="Arial"/>
        <family val="2"/>
      </rPr>
      <t>82%</t>
    </r>
    <r>
      <rPr>
        <sz val="11"/>
        <color rgb="FF002855"/>
        <rFont val="Arial"/>
        <family val="2"/>
      </rPr>
      <t xml:space="preserve"> and an infrared device is </t>
    </r>
    <r>
      <rPr>
        <b/>
        <sz val="11"/>
        <color rgb="FF002855"/>
        <rFont val="Arial"/>
        <family val="2"/>
      </rPr>
      <t>82%</t>
    </r>
    <r>
      <rPr>
        <sz val="11"/>
        <color rgb="FF002855"/>
        <rFont val="Arial"/>
        <family val="2"/>
      </rPr>
      <t xml:space="preserve">
5. The cost of standard equipment is calculated using </t>
    </r>
    <r>
      <rPr>
        <b/>
        <sz val="11"/>
        <color rgb="FF002855"/>
        <rFont val="Arial"/>
        <family val="2"/>
      </rPr>
      <t>an equation</t>
    </r>
    <r>
      <rPr>
        <sz val="11"/>
        <color rgb="FF002855"/>
        <rFont val="Arial"/>
        <family val="2"/>
      </rPr>
      <t xml:space="preserve"> derived from Énergir's internal database
6. The additional cost of infrared equipment is </t>
    </r>
    <r>
      <rPr>
        <b/>
        <sz val="11"/>
        <color rgb="FF002855"/>
        <rFont val="Arial"/>
        <family val="2"/>
      </rPr>
      <t>$740</t>
    </r>
    <r>
      <rPr>
        <sz val="11"/>
        <color rgb="FF002855"/>
        <rFont val="Arial"/>
        <family val="2"/>
      </rPr>
      <t xml:space="preserve"> when the capacity is less than 100 kBtu/h and</t>
    </r>
    <r>
      <rPr>
        <b/>
        <sz val="11"/>
        <color rgb="FF002855"/>
        <rFont val="Arial"/>
        <family val="2"/>
      </rPr>
      <t xml:space="preserve"> $790</t>
    </r>
    <r>
      <rPr>
        <sz val="11"/>
        <color rgb="FF002855"/>
        <rFont val="Arial"/>
        <family val="2"/>
      </rPr>
      <t xml:space="preserve"> when it is higher
7. The average additional cost of installation is </t>
    </r>
    <r>
      <rPr>
        <b/>
        <sz val="11"/>
        <color rgb="FF002855"/>
        <rFont val="Arial"/>
        <family val="2"/>
      </rPr>
      <t>$600</t>
    </r>
    <r>
      <rPr>
        <sz val="11"/>
        <color rgb="FF002855"/>
        <rFont val="Arial"/>
        <family val="2"/>
      </rPr>
      <t xml:space="preserve"> for an infrared device compared to a standard unit heater
8. The current subsidy for this version is </t>
    </r>
    <r>
      <rPr>
        <b/>
        <sz val="11"/>
        <color rgb="FF002855"/>
        <rFont val="Arial"/>
        <family val="2"/>
      </rPr>
      <t>$800 base</t>
    </r>
    <r>
      <rPr>
        <sz val="11"/>
        <color rgb="FF002855"/>
        <rFont val="Arial"/>
        <family val="2"/>
      </rPr>
      <t xml:space="preserve"> for eligible infrared devices
9. The installation surcharge is applied once regardless of the number of devices
10. The heating power required is </t>
    </r>
    <r>
      <rPr>
        <b/>
        <sz val="11"/>
        <color rgb="FF002855"/>
        <rFont val="Arial"/>
        <family val="2"/>
      </rPr>
      <t>30 Btu/h</t>
    </r>
    <r>
      <rPr>
        <sz val="11"/>
        <color rgb="FF002855"/>
        <rFont val="Arial"/>
        <family val="2"/>
      </rPr>
      <t xml:space="preserve"> for warehouses,</t>
    </r>
    <r>
      <rPr>
        <b/>
        <sz val="11"/>
        <color rgb="FF002855"/>
        <rFont val="Arial"/>
        <family val="2"/>
      </rPr>
      <t xml:space="preserve"> 50 Btu/h</t>
    </r>
    <r>
      <rPr>
        <sz val="11"/>
        <color rgb="FF002855"/>
        <rFont val="Arial"/>
        <family val="2"/>
      </rPr>
      <t xml:space="preserve"> for mechanical workshops and </t>
    </r>
    <r>
      <rPr>
        <b/>
        <sz val="11"/>
        <color rgb="FF002855"/>
        <rFont val="Arial"/>
        <family val="2"/>
      </rPr>
      <t>110 Btu/h</t>
    </r>
    <r>
      <rPr>
        <sz val="11"/>
        <color rgb="FF002855"/>
        <rFont val="Arial"/>
        <family val="2"/>
      </rPr>
      <t xml:space="preserve"> for aircraft hangars</t>
    </r>
    <r>
      <rPr>
        <vertAlign val="superscript"/>
        <sz val="11"/>
        <color rgb="FF002855"/>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</si>
</sst>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 #,##0.00_)\ &quot;$&quot;_ ;_ * \(#,##0.00\)\ &quot;$&quot;_ ;_ * &quot;-&quot;??_)\ &quot;$&quot;_ ;_ @_ "/>
    <numFmt numFmtId="43" formatCode="_ * #,##0.00_)_ ;_ * \(#,##0.00\)_ ;_ * &quot;-&quot;??_)_ ;_ @_ "/>
    <numFmt numFmtId="164" formatCode="0.0"/>
    <numFmt numFmtId="165" formatCode="_ * #,##0_)\ &quot;$&quot;_ ;_ * \(#,##0\)\ &quot;$&quot;_ ;_ * &quot;-&quot;??_)\ &quot;$&quot;_ ;_ @_ "/>
    <numFmt numFmtId="166" formatCode="0.00000"/>
    <numFmt numFmtId="167" formatCode="0.0%"/>
    <numFmt numFmtId="168" formatCode="#,##0\ &quot;$&quot;"/>
    <numFmt numFmtId="169" formatCode="0.000"/>
    <numFmt numFmtId="170" formatCode="#,##0;#,##0"/>
    <numFmt numFmtId="171" formatCode="#,##0.00;#,##0.00"/>
  </numFmts>
  <fonts count="44" x14ac:knownFonts="1">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color theme="1"/>
      <name val="Arial"/>
      <family val="2"/>
    </font>
    <font>
      <b/>
      <sz val="10"/>
      <color theme="0"/>
      <name val="Arial"/>
      <family val="2"/>
    </font>
    <font>
      <sz val="11"/>
      <color rgb="FFFF0000"/>
      <name val="Calibri"/>
      <family val="2"/>
      <scheme val="minor"/>
    </font>
    <font>
      <b/>
      <sz val="9"/>
      <color indexed="81"/>
      <name val="Tahoma"/>
      <family val="2"/>
    </font>
    <font>
      <sz val="9"/>
      <color indexed="81"/>
      <name val="Tahoma"/>
      <family val="2"/>
    </font>
    <font>
      <b/>
      <sz val="12"/>
      <color theme="1"/>
      <name val="Calibri"/>
      <family val="2"/>
      <scheme val="minor"/>
    </font>
    <font>
      <sz val="9"/>
      <color rgb="FF002060"/>
      <name val="Arial"/>
      <family val="2"/>
    </font>
    <font>
      <sz val="10"/>
      <color rgb="FF002060"/>
      <name val="Arial"/>
      <family val="2"/>
    </font>
    <font>
      <vertAlign val="superscript"/>
      <sz val="10"/>
      <color rgb="FF002060"/>
      <name val="Arial"/>
      <family val="2"/>
    </font>
    <font>
      <b/>
      <sz val="16"/>
      <color rgb="FF002060"/>
      <name val="Arial"/>
      <family val="2"/>
    </font>
    <font>
      <b/>
      <sz val="10"/>
      <color rgb="FF002060"/>
      <name val="Arial"/>
      <family val="2"/>
    </font>
    <font>
      <b/>
      <sz val="10"/>
      <color theme="1"/>
      <name val="Arial"/>
      <family val="2"/>
    </font>
    <font>
      <b/>
      <sz val="11"/>
      <color rgb="FF002060"/>
      <name val="Calibri"/>
      <family val="2"/>
      <scheme val="minor"/>
    </font>
    <font>
      <b/>
      <sz val="10"/>
      <color theme="3"/>
      <name val="Arial"/>
      <family val="2"/>
    </font>
    <font>
      <b/>
      <sz val="16"/>
      <color rgb="FF009FDF"/>
      <name val="Calibri"/>
      <family val="2"/>
      <scheme val="minor"/>
    </font>
    <font>
      <b/>
      <sz val="20"/>
      <color rgb="FF002855"/>
      <name val="Arial"/>
      <family val="2"/>
    </font>
    <font>
      <b/>
      <sz val="14"/>
      <color rgb="FF002855"/>
      <name val="Arial"/>
      <family val="2"/>
    </font>
    <font>
      <b/>
      <sz val="10"/>
      <color rgb="FF002855"/>
      <name val="Arial"/>
      <family val="2"/>
    </font>
    <font>
      <b/>
      <sz val="11"/>
      <color rgb="FF002855"/>
      <name val="Arial"/>
      <family val="2"/>
    </font>
    <font>
      <sz val="11"/>
      <color rgb="FF002855"/>
      <name val="Arial"/>
      <family val="2"/>
    </font>
    <font>
      <b/>
      <sz val="11"/>
      <color rgb="FF009FDF"/>
      <name val="Arial"/>
      <family val="2"/>
    </font>
    <font>
      <vertAlign val="superscript"/>
      <sz val="11"/>
      <color rgb="FF002855"/>
      <name val="Arial"/>
      <family val="2"/>
    </font>
    <font>
      <i/>
      <sz val="9"/>
      <color rgb="FF009FDF"/>
      <name val="Arial"/>
      <family val="2"/>
    </font>
    <font>
      <i/>
      <sz val="9"/>
      <color theme="1"/>
      <name val="Calibri"/>
      <family val="2"/>
      <scheme val="minor"/>
    </font>
    <font>
      <i/>
      <vertAlign val="superscript"/>
      <sz val="9"/>
      <color theme="1"/>
      <name val="Calibri"/>
      <family val="2"/>
      <scheme val="minor"/>
    </font>
    <font>
      <b/>
      <sz val="14"/>
      <color rgb="FF002060"/>
      <name val="Arial"/>
      <family val="2"/>
    </font>
    <font>
      <sz val="11"/>
      <color rgb="FF002060"/>
      <name val="Arial"/>
      <family val="2"/>
    </font>
    <font>
      <sz val="9"/>
      <color rgb="FF002855"/>
      <name val="Arial"/>
      <family val="2"/>
    </font>
    <font>
      <vertAlign val="superscript"/>
      <sz val="11"/>
      <color theme="1"/>
      <name val="Calibri"/>
      <family val="2"/>
      <scheme val="minor"/>
    </font>
    <font>
      <sz val="11"/>
      <color theme="0"/>
      <name val="Calibri"/>
      <family val="2"/>
      <scheme val="minor"/>
    </font>
    <font>
      <b/>
      <sz val="18"/>
      <color theme="0"/>
      <name val="Calibri"/>
      <family val="2"/>
      <scheme val="minor"/>
    </font>
    <font>
      <sz val="11"/>
      <color rgb="FF002855"/>
      <name val="Calibri"/>
      <family val="2"/>
      <scheme val="minor"/>
    </font>
    <font>
      <b/>
      <sz val="18"/>
      <color rgb="FF002855"/>
      <name val="Calibri"/>
      <family val="2"/>
      <scheme val="minor"/>
    </font>
    <font>
      <b/>
      <sz val="11"/>
      <color rgb="FF002855"/>
      <name val="Calibri"/>
      <family val="2"/>
      <scheme val="minor"/>
    </font>
    <font>
      <vertAlign val="superscript"/>
      <sz val="11"/>
      <color rgb="FF002855"/>
      <name val="Calibri"/>
      <family val="2"/>
      <scheme val="minor"/>
    </font>
    <font>
      <vertAlign val="subscript"/>
      <sz val="11"/>
      <color rgb="FF002855"/>
      <name val="Calibri"/>
      <family val="2"/>
      <scheme val="minor"/>
    </font>
    <font>
      <b/>
      <sz val="11"/>
      <name val="Calibri"/>
      <family val="2"/>
      <scheme val="minor"/>
    </font>
    <font>
      <u/>
      <sz val="11"/>
      <color theme="10"/>
      <name val="Calibri"/>
      <family val="2"/>
      <scheme val="minor"/>
    </font>
    <font>
      <b/>
      <i/>
      <sz val="11"/>
      <color rgb="FF002060"/>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bgColor indexed="64"/>
      </patternFill>
    </fill>
    <fill>
      <patternFill patternType="solid">
        <fgColor theme="5" tint="0.59999389629810485"/>
        <bgColor indexed="64"/>
      </patternFill>
    </fill>
    <fill>
      <patternFill patternType="solid">
        <fgColor theme="2"/>
        <bgColor indexed="64"/>
      </patternFill>
    </fill>
    <fill>
      <patternFill patternType="solid">
        <fgColor theme="0" tint="-0.34998626667073579"/>
        <bgColor indexed="64"/>
      </patternFill>
    </fill>
    <fill>
      <patternFill patternType="solid">
        <fgColor rgb="FF002060"/>
        <bgColor indexed="64"/>
      </patternFill>
    </fill>
    <fill>
      <patternFill patternType="solid">
        <fgColor rgb="FFE7E6E6"/>
        <bgColor indexed="64"/>
      </patternFill>
    </fill>
    <fill>
      <patternFill patternType="solid">
        <fgColor theme="6"/>
        <bgColor indexed="64"/>
      </patternFill>
    </fill>
    <fill>
      <patternFill patternType="solid">
        <fgColor theme="4"/>
        <bgColor indexed="64"/>
      </patternFill>
    </fill>
    <fill>
      <patternFill patternType="solid">
        <fgColor rgb="FFDAEEF4"/>
        <bgColor indexed="64"/>
      </patternFill>
    </fill>
    <fill>
      <patternFill patternType="solid">
        <fgColor rgb="FFFCC8F8"/>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theme="9" tint="0.79998168889431442"/>
      </patternFill>
    </fill>
  </fills>
  <borders count="35">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B0F0"/>
      </left>
      <right style="medium">
        <color rgb="FF00B0F0"/>
      </right>
      <top style="medium">
        <color rgb="FF00B0F0"/>
      </top>
      <bottom style="medium">
        <color rgb="FF00B0F0"/>
      </bottom>
      <diagonal/>
    </border>
    <border>
      <left style="medium">
        <color rgb="FF009FDF"/>
      </left>
      <right style="medium">
        <color rgb="FF009FDF"/>
      </right>
      <top style="medium">
        <color rgb="FF009FDF"/>
      </top>
      <bottom style="medium">
        <color rgb="FF009FDF"/>
      </bottom>
      <diagonal/>
    </border>
    <border>
      <left style="medium">
        <color theme="1"/>
      </left>
      <right style="medium">
        <color indexed="64"/>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medium">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medium">
        <color indexed="64"/>
      </right>
      <top style="thin">
        <color indexed="64"/>
      </top>
      <bottom style="medium">
        <color theme="1"/>
      </bottom>
      <diagonal/>
    </border>
    <border>
      <left/>
      <right style="medium">
        <color theme="1"/>
      </right>
      <top style="thin">
        <color indexed="64"/>
      </top>
      <bottom style="medium">
        <color theme="1"/>
      </bottom>
      <diagonal/>
    </border>
    <border>
      <left style="medium">
        <color rgb="FF009FDF"/>
      </left>
      <right/>
      <top style="medium">
        <color rgb="FF009FDF"/>
      </top>
      <bottom style="medium">
        <color rgb="FF009FDF"/>
      </bottom>
      <diagonal/>
    </border>
    <border>
      <left/>
      <right/>
      <top style="medium">
        <color rgb="FF009FDF"/>
      </top>
      <bottom style="medium">
        <color rgb="FF009FDF"/>
      </bottom>
      <diagonal/>
    </border>
    <border>
      <left/>
      <right style="medium">
        <color rgb="FF009FDF"/>
      </right>
      <top style="medium">
        <color rgb="FF009FDF"/>
      </top>
      <bottom style="medium">
        <color rgb="FF009FD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42" fillId="0" borderId="0" applyNumberFormat="0" applyFill="0" applyBorder="0" applyAlignment="0" applyProtection="0"/>
  </cellStyleXfs>
  <cellXfs count="237">
    <xf numFmtId="0" fontId="0" fillId="0" borderId="0" xfId="0"/>
    <xf numFmtId="49" fontId="0" fillId="4" borderId="7" xfId="0" applyNumberFormat="1" applyFill="1" applyBorder="1" applyAlignment="1">
      <alignment horizontal="left"/>
    </xf>
    <xf numFmtId="49" fontId="0" fillId="0" borderId="7" xfId="0" applyNumberFormat="1" applyBorder="1" applyAlignment="1">
      <alignment horizontal="left"/>
    </xf>
    <xf numFmtId="0" fontId="0" fillId="4" borderId="7" xfId="0" applyFill="1" applyBorder="1" applyAlignment="1">
      <alignment horizontal="left"/>
    </xf>
    <xf numFmtId="0" fontId="0" fillId="0" borderId="7" xfId="0" applyBorder="1" applyAlignment="1">
      <alignment horizontal="left"/>
    </xf>
    <xf numFmtId="3" fontId="0" fillId="4" borderId="7" xfId="2" applyNumberFormat="1" applyFont="1" applyFill="1" applyBorder="1" applyAlignment="1">
      <alignment horizontal="right"/>
    </xf>
    <xf numFmtId="167" fontId="0" fillId="4" borderId="7" xfId="1" applyNumberFormat="1" applyFont="1" applyFill="1" applyBorder="1"/>
    <xf numFmtId="9" fontId="7" fillId="4" borderId="7" xfId="1" applyFont="1" applyFill="1" applyBorder="1" applyAlignment="1">
      <alignment horizontal="left"/>
    </xf>
    <xf numFmtId="0" fontId="7" fillId="4" borderId="7" xfId="0" applyFont="1" applyFill="1" applyBorder="1" applyAlignment="1">
      <alignment horizontal="left"/>
    </xf>
    <xf numFmtId="165" fontId="7" fillId="4" borderId="7" xfId="2" applyNumberFormat="1" applyFont="1" applyFill="1" applyBorder="1" applyAlignment="1">
      <alignment horizontal="left"/>
    </xf>
    <xf numFmtId="3" fontId="0" fillId="0" borderId="7" xfId="2" applyNumberFormat="1" applyFont="1" applyBorder="1" applyAlignment="1">
      <alignment horizontal="right"/>
    </xf>
    <xf numFmtId="167" fontId="0" fillId="0" borderId="7" xfId="1" applyNumberFormat="1" applyFont="1" applyBorder="1"/>
    <xf numFmtId="9" fontId="7" fillId="0" borderId="7" xfId="1" applyFont="1" applyBorder="1" applyAlignment="1">
      <alignment horizontal="left"/>
    </xf>
    <xf numFmtId="0" fontId="7" fillId="0" borderId="7" xfId="0" applyFont="1" applyBorder="1" applyAlignment="1">
      <alignment horizontal="left"/>
    </xf>
    <xf numFmtId="165" fontId="7" fillId="0" borderId="7" xfId="2" applyNumberFormat="1" applyFont="1" applyBorder="1" applyAlignment="1">
      <alignment horizontal="left"/>
    </xf>
    <xf numFmtId="3" fontId="0" fillId="4" borderId="7" xfId="0" applyNumberFormat="1" applyFill="1" applyBorder="1" applyAlignment="1">
      <alignment horizontal="right"/>
    </xf>
    <xf numFmtId="167" fontId="0" fillId="4" borderId="7" xfId="1" applyNumberFormat="1" applyFont="1" applyFill="1" applyBorder="1" applyAlignment="1">
      <alignment horizontal="right"/>
    </xf>
    <xf numFmtId="3" fontId="0" fillId="4" borderId="7" xfId="2" applyNumberFormat="1" applyFont="1" applyFill="1" applyBorder="1" applyAlignment="1">
      <alignment horizontal="left"/>
    </xf>
    <xf numFmtId="9" fontId="7" fillId="4" borderId="7" xfId="0" applyNumberFormat="1" applyFont="1" applyFill="1" applyBorder="1" applyAlignment="1">
      <alignment horizontal="left"/>
    </xf>
    <xf numFmtId="3" fontId="0" fillId="0" borderId="7" xfId="0" applyNumberFormat="1" applyBorder="1" applyAlignment="1">
      <alignment horizontal="right"/>
    </xf>
    <xf numFmtId="167" fontId="0" fillId="0" borderId="7" xfId="1" applyNumberFormat="1" applyFont="1" applyBorder="1" applyAlignment="1">
      <alignment horizontal="right"/>
    </xf>
    <xf numFmtId="3" fontId="0" fillId="0" borderId="7" xfId="2" applyNumberFormat="1" applyFont="1" applyBorder="1" applyAlignment="1">
      <alignment horizontal="left"/>
    </xf>
    <xf numFmtId="9" fontId="7" fillId="0" borderId="7" xfId="0" applyNumberFormat="1" applyFont="1" applyBorder="1" applyAlignment="1">
      <alignment horizontal="left"/>
    </xf>
    <xf numFmtId="0" fontId="1" fillId="5" borderId="7" xfId="0" applyFont="1" applyFill="1" applyBorder="1" applyAlignment="1">
      <alignment horizontal="center" vertical="center" wrapText="1"/>
    </xf>
    <xf numFmtId="0" fontId="1" fillId="5" borderId="7" xfId="0" applyFont="1" applyFill="1" applyBorder="1" applyAlignment="1">
      <alignment horizontal="center" vertical="center"/>
    </xf>
    <xf numFmtId="0" fontId="1" fillId="5" borderId="0" xfId="0" applyFont="1" applyFill="1" applyAlignment="1">
      <alignment horizontal="center" vertical="center" wrapText="1"/>
    </xf>
    <xf numFmtId="165" fontId="0" fillId="0" borderId="0" xfId="0" applyNumberFormat="1"/>
    <xf numFmtId="0" fontId="3" fillId="0" borderId="0" xfId="0" applyFont="1"/>
    <xf numFmtId="0" fontId="0" fillId="0" borderId="9" xfId="0" applyBorder="1"/>
    <xf numFmtId="1" fontId="0" fillId="0" borderId="9" xfId="0" applyNumberFormat="1" applyBorder="1"/>
    <xf numFmtId="1" fontId="0" fillId="0" borderId="10" xfId="0" applyNumberFormat="1" applyBorder="1"/>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0" fillId="6" borderId="0" xfId="0" applyFill="1"/>
    <xf numFmtId="0" fontId="0" fillId="0" borderId="0" xfId="0" applyAlignment="1">
      <alignment vertical="top" wrapText="1"/>
    </xf>
    <xf numFmtId="2" fontId="0" fillId="0" borderId="0" xfId="0" applyNumberFormat="1"/>
    <xf numFmtId="0" fontId="10" fillId="0" borderId="0" xfId="0" applyFont="1"/>
    <xf numFmtId="0" fontId="3" fillId="6" borderId="8" xfId="0" applyFont="1" applyFill="1" applyBorder="1" applyAlignment="1">
      <alignment horizontal="right"/>
    </xf>
    <xf numFmtId="0" fontId="0" fillId="9" borderId="0" xfId="0" applyFill="1"/>
    <xf numFmtId="0" fontId="0" fillId="0" borderId="0" xfId="0" applyAlignment="1">
      <alignment horizontal="left"/>
    </xf>
    <xf numFmtId="0" fontId="0" fillId="9" borderId="0" xfId="0" applyFill="1" applyAlignment="1">
      <alignment horizontal="left"/>
    </xf>
    <xf numFmtId="0" fontId="11" fillId="0" borderId="0" xfId="0" applyFont="1" applyAlignment="1">
      <alignment horizontal="left"/>
    </xf>
    <xf numFmtId="0" fontId="5" fillId="6" borderId="0" xfId="0" applyFont="1" applyFill="1" applyAlignment="1">
      <alignment vertical="center"/>
    </xf>
    <xf numFmtId="0" fontId="12" fillId="6" borderId="0" xfId="0" applyFont="1" applyFill="1" applyAlignment="1">
      <alignment vertical="center"/>
    </xf>
    <xf numFmtId="0" fontId="5" fillId="6" borderId="1" xfId="0" applyFont="1" applyFill="1" applyBorder="1" applyAlignment="1">
      <alignment vertical="center"/>
    </xf>
    <xf numFmtId="0" fontId="12" fillId="6" borderId="14" xfId="1" applyNumberFormat="1" applyFont="1" applyFill="1" applyBorder="1" applyAlignment="1">
      <alignment horizontal="center" vertical="center"/>
    </xf>
    <xf numFmtId="0" fontId="12" fillId="6" borderId="0" xfId="1" applyNumberFormat="1" applyFont="1" applyFill="1" applyBorder="1" applyAlignment="1">
      <alignment horizontal="center" vertical="center"/>
    </xf>
    <xf numFmtId="0" fontId="4" fillId="0" borderId="0" xfId="0" applyFont="1" applyAlignment="1">
      <alignment horizontal="left"/>
    </xf>
    <xf numFmtId="0" fontId="12" fillId="0" borderId="0" xfId="0" applyFont="1" applyAlignment="1">
      <alignment vertical="center"/>
    </xf>
    <xf numFmtId="14" fontId="0" fillId="0" borderId="0" xfId="0" applyNumberFormat="1"/>
    <xf numFmtId="0" fontId="12" fillId="6" borderId="0" xfId="0" applyFont="1" applyFill="1" applyAlignment="1">
      <alignment horizontal="left" vertical="center" indent="1"/>
    </xf>
    <xf numFmtId="168" fontId="12" fillId="6" borderId="0" xfId="2" applyNumberFormat="1" applyFont="1" applyFill="1" applyBorder="1" applyAlignment="1">
      <alignment horizontal="center" vertical="center"/>
    </xf>
    <xf numFmtId="3" fontId="12" fillId="6" borderId="0" xfId="1" applyNumberFormat="1" applyFont="1" applyFill="1" applyBorder="1" applyAlignment="1">
      <alignment horizontal="center" vertical="center"/>
    </xf>
    <xf numFmtId="1" fontId="5" fillId="6" borderId="0" xfId="0" applyNumberFormat="1" applyFont="1" applyFill="1" applyAlignment="1">
      <alignment vertical="center"/>
    </xf>
    <xf numFmtId="9" fontId="12" fillId="6" borderId="0" xfId="1" applyFont="1" applyFill="1" applyBorder="1" applyAlignment="1">
      <alignment horizontal="center" vertical="center"/>
    </xf>
    <xf numFmtId="0" fontId="0" fillId="0" borderId="0" xfId="1" applyNumberFormat="1" applyFont="1"/>
    <xf numFmtId="9" fontId="15" fillId="6" borderId="14" xfId="1" applyFont="1" applyFill="1" applyBorder="1" applyAlignment="1">
      <alignment horizontal="center" vertical="center"/>
    </xf>
    <xf numFmtId="0" fontId="19" fillId="0" borderId="0" xfId="0" applyFont="1"/>
    <xf numFmtId="0" fontId="15" fillId="6" borderId="0" xfId="0" applyFont="1" applyFill="1" applyAlignment="1">
      <alignment horizontal="left" vertical="center" indent="1"/>
    </xf>
    <xf numFmtId="0" fontId="6" fillId="6" borderId="0" xfId="0" applyFont="1" applyFill="1" applyAlignment="1">
      <alignment vertical="center"/>
    </xf>
    <xf numFmtId="0" fontId="20" fillId="0" borderId="0" xfId="0" applyFont="1"/>
    <xf numFmtId="0" fontId="21" fillId="6" borderId="0" xfId="0" applyFont="1" applyFill="1" applyAlignment="1">
      <alignment horizontal="left" vertical="top" wrapText="1"/>
    </xf>
    <xf numFmtId="0" fontId="27" fillId="6" borderId="15" xfId="0" applyFont="1" applyFill="1" applyBorder="1" applyAlignment="1">
      <alignment horizontal="center" vertical="center" wrapText="1"/>
    </xf>
    <xf numFmtId="0" fontId="6" fillId="9" borderId="0" xfId="0" applyFont="1" applyFill="1" applyAlignment="1">
      <alignment horizontal="left" vertical="center"/>
    </xf>
    <xf numFmtId="0" fontId="5" fillId="9" borderId="0" xfId="0" applyFont="1" applyFill="1" applyAlignment="1">
      <alignment vertical="center"/>
    </xf>
    <xf numFmtId="0" fontId="15" fillId="9" borderId="0" xfId="0" applyFont="1" applyFill="1" applyAlignment="1">
      <alignment horizontal="left" vertical="center" indent="1"/>
    </xf>
    <xf numFmtId="0" fontId="12" fillId="9" borderId="0" xfId="0" applyFont="1" applyFill="1" applyAlignment="1">
      <alignment vertical="center"/>
    </xf>
    <xf numFmtId="0" fontId="15" fillId="9" borderId="0" xfId="0" applyFont="1" applyFill="1" applyAlignment="1">
      <alignment vertical="center"/>
    </xf>
    <xf numFmtId="0" fontId="18" fillId="9" borderId="0" xfId="0" applyFont="1" applyFill="1" applyAlignment="1">
      <alignment horizontal="left" vertical="center" indent="1"/>
    </xf>
    <xf numFmtId="0" fontId="17" fillId="9" borderId="0" xfId="0" applyFont="1" applyFill="1" applyAlignment="1">
      <alignment horizontal="left" indent="1"/>
    </xf>
    <xf numFmtId="0" fontId="12" fillId="9" borderId="0" xfId="0" applyFont="1" applyFill="1" applyAlignment="1">
      <alignment horizontal="left" vertical="center" indent="1"/>
    </xf>
    <xf numFmtId="0" fontId="11" fillId="9" borderId="0" xfId="0" applyFont="1" applyFill="1" applyAlignment="1">
      <alignment horizontal="left"/>
    </xf>
    <xf numFmtId="0" fontId="28" fillId="0" borderId="0" xfId="0" applyFont="1"/>
    <xf numFmtId="9" fontId="15" fillId="6" borderId="0" xfId="1" applyFont="1" applyFill="1" applyBorder="1" applyAlignment="1">
      <alignment horizontal="center" vertical="center"/>
    </xf>
    <xf numFmtId="1" fontId="12" fillId="6" borderId="0" xfId="1" applyNumberFormat="1" applyFont="1" applyFill="1" applyBorder="1" applyAlignment="1">
      <alignment horizontal="center" vertical="center"/>
    </xf>
    <xf numFmtId="0" fontId="15" fillId="6" borderId="14" xfId="1" applyNumberFormat="1" applyFont="1" applyFill="1" applyBorder="1" applyAlignment="1">
      <alignment horizontal="center" vertical="center"/>
    </xf>
    <xf numFmtId="0" fontId="15" fillId="6" borderId="0" xfId="1" applyNumberFormat="1" applyFont="1" applyFill="1" applyBorder="1" applyAlignment="1">
      <alignment horizontal="center" vertical="center"/>
    </xf>
    <xf numFmtId="3" fontId="15" fillId="6" borderId="14" xfId="1" applyNumberFormat="1" applyFont="1" applyFill="1" applyBorder="1" applyAlignment="1">
      <alignment horizontal="center" vertical="center"/>
    </xf>
    <xf numFmtId="3" fontId="15" fillId="6" borderId="0" xfId="1" applyNumberFormat="1" applyFont="1" applyFill="1" applyBorder="1" applyAlignment="1">
      <alignment horizontal="center" vertical="center"/>
    </xf>
    <xf numFmtId="0" fontId="3" fillId="7" borderId="16" xfId="0" applyFont="1" applyFill="1" applyBorder="1" applyAlignment="1">
      <alignment horizontal="center"/>
    </xf>
    <xf numFmtId="0" fontId="0" fillId="6" borderId="17" xfId="0" applyFill="1" applyBorder="1"/>
    <xf numFmtId="0" fontId="3" fillId="7" borderId="18" xfId="0" applyFont="1" applyFill="1" applyBorder="1" applyAlignment="1">
      <alignment horizontal="center"/>
    </xf>
    <xf numFmtId="0" fontId="0" fillId="6" borderId="19" xfId="0" applyFill="1" applyBorder="1"/>
    <xf numFmtId="1" fontId="0" fillId="6" borderId="19" xfId="0" applyNumberFormat="1" applyFill="1" applyBorder="1"/>
    <xf numFmtId="0" fontId="3" fillId="7" borderId="20" xfId="0" applyFont="1" applyFill="1" applyBorder="1" applyAlignment="1">
      <alignment horizontal="center"/>
    </xf>
    <xf numFmtId="1" fontId="0" fillId="6" borderId="21" xfId="0" applyNumberFormat="1" applyFill="1" applyBorder="1"/>
    <xf numFmtId="0" fontId="3" fillId="2" borderId="16" xfId="0" applyFont="1" applyFill="1" applyBorder="1" applyAlignment="1">
      <alignment horizontal="center"/>
    </xf>
    <xf numFmtId="0" fontId="3" fillId="2" borderId="18" xfId="0" applyFont="1" applyFill="1" applyBorder="1" applyAlignment="1">
      <alignment horizontal="center"/>
    </xf>
    <xf numFmtId="0" fontId="0" fillId="0" borderId="19" xfId="0" applyBorder="1" applyAlignment="1">
      <alignment horizontal="right"/>
    </xf>
    <xf numFmtId="0" fontId="0" fillId="11" borderId="19" xfId="0" applyFill="1" applyBorder="1" applyAlignment="1">
      <alignment horizontal="right"/>
    </xf>
    <xf numFmtId="0" fontId="0" fillId="8" borderId="19" xfId="0" applyFill="1" applyBorder="1" applyAlignment="1">
      <alignment horizontal="right"/>
    </xf>
    <xf numFmtId="0" fontId="0" fillId="8" borderId="19" xfId="1" applyNumberFormat="1" applyFont="1" applyFill="1" applyBorder="1" applyAlignment="1">
      <alignment horizontal="right"/>
    </xf>
    <xf numFmtId="0" fontId="3" fillId="2" borderId="20" xfId="0" applyFont="1" applyFill="1" applyBorder="1" applyAlignment="1">
      <alignment horizontal="center"/>
    </xf>
    <xf numFmtId="1" fontId="0" fillId="8" borderId="21" xfId="1" applyNumberFormat="1" applyFont="1" applyFill="1" applyBorder="1" applyAlignment="1">
      <alignment horizontal="right"/>
    </xf>
    <xf numFmtId="3" fontId="12" fillId="6" borderId="14" xfId="1" applyNumberFormat="1" applyFont="1" applyFill="1" applyBorder="1" applyAlignment="1">
      <alignment horizontal="center" vertical="center"/>
    </xf>
    <xf numFmtId="169" fontId="12" fillId="6" borderId="14" xfId="1" applyNumberFormat="1" applyFont="1" applyFill="1" applyBorder="1" applyAlignment="1">
      <alignment horizontal="center" vertical="center"/>
    </xf>
    <xf numFmtId="0" fontId="32" fillId="6" borderId="0" xfId="0" applyFont="1" applyFill="1" applyAlignment="1">
      <alignment horizontal="left" vertical="top" wrapText="1"/>
    </xf>
    <xf numFmtId="1" fontId="0" fillId="11" borderId="19" xfId="0" applyNumberFormat="1" applyFill="1" applyBorder="1" applyAlignment="1">
      <alignment horizontal="right"/>
    </xf>
    <xf numFmtId="0" fontId="30" fillId="6" borderId="0" xfId="0" applyFont="1" applyFill="1" applyAlignment="1">
      <alignment horizontal="left" vertical="top"/>
    </xf>
    <xf numFmtId="0" fontId="31" fillId="6" borderId="0" xfId="0" applyFont="1" applyFill="1" applyAlignment="1">
      <alignment horizontal="left" vertical="top" wrapText="1"/>
    </xf>
    <xf numFmtId="0" fontId="24" fillId="6" borderId="0" xfId="0" applyFont="1" applyFill="1" applyAlignment="1">
      <alignment horizontal="left" vertical="top" wrapText="1"/>
    </xf>
    <xf numFmtId="0" fontId="0" fillId="0" borderId="0" xfId="0" applyAlignment="1">
      <alignment vertical="top"/>
    </xf>
    <xf numFmtId="0" fontId="14" fillId="0" borderId="0" xfId="0" applyFont="1" applyAlignment="1">
      <alignment vertical="top"/>
    </xf>
    <xf numFmtId="0" fontId="4" fillId="0" borderId="0" xfId="0" applyFont="1" applyAlignment="1">
      <alignment horizontal="left" vertical="top"/>
    </xf>
    <xf numFmtId="0" fontId="0" fillId="9" borderId="0" xfId="0" applyFill="1" applyAlignment="1">
      <alignment vertical="top"/>
    </xf>
    <xf numFmtId="0" fontId="6" fillId="10" borderId="25" xfId="0" applyFont="1" applyFill="1" applyBorder="1" applyAlignment="1">
      <alignment vertical="center"/>
    </xf>
    <xf numFmtId="0" fontId="6" fillId="10" borderId="26" xfId="0" applyFont="1" applyFill="1" applyBorder="1" applyAlignment="1">
      <alignment vertical="center"/>
    </xf>
    <xf numFmtId="0" fontId="6" fillId="10" borderId="26" xfId="0" applyFont="1" applyFill="1" applyBorder="1" applyAlignment="1">
      <alignment horizontal="center" vertical="center"/>
    </xf>
    <xf numFmtId="0" fontId="6" fillId="10" borderId="8" xfId="0" applyFont="1" applyFill="1" applyBorder="1" applyAlignment="1">
      <alignment horizontal="center" vertical="center"/>
    </xf>
    <xf numFmtId="0" fontId="5" fillId="6" borderId="27" xfId="0" applyFont="1" applyFill="1" applyBorder="1" applyAlignment="1">
      <alignment vertical="center"/>
    </xf>
    <xf numFmtId="0" fontId="5" fillId="6" borderId="28" xfId="0" applyFont="1" applyFill="1" applyBorder="1" applyAlignment="1">
      <alignment vertical="center"/>
    </xf>
    <xf numFmtId="0" fontId="15" fillId="6" borderId="2" xfId="0" applyFont="1" applyFill="1" applyBorder="1" applyAlignment="1">
      <alignment horizontal="left" vertical="center" indent="1"/>
    </xf>
    <xf numFmtId="0" fontId="5" fillId="6" borderId="3" xfId="0" applyFont="1" applyFill="1" applyBorder="1" applyAlignment="1">
      <alignment vertical="center"/>
    </xf>
    <xf numFmtId="0" fontId="16" fillId="6" borderId="2" xfId="0" applyFont="1" applyFill="1" applyBorder="1" applyAlignment="1">
      <alignment vertical="center"/>
    </xf>
    <xf numFmtId="0" fontId="15" fillId="6" borderId="0" xfId="0" applyFont="1" applyFill="1" applyAlignment="1">
      <alignment vertical="center"/>
    </xf>
    <xf numFmtId="0" fontId="12" fillId="6" borderId="3" xfId="0" applyFont="1" applyFill="1" applyBorder="1" applyAlignment="1">
      <alignment horizontal="left" vertical="center" indent="1"/>
    </xf>
    <xf numFmtId="0" fontId="12" fillId="6" borderId="4" xfId="0" applyFont="1" applyFill="1" applyBorder="1" applyAlignment="1">
      <alignment horizontal="left" vertical="center" indent="1"/>
    </xf>
    <xf numFmtId="0" fontId="5" fillId="6" borderId="5" xfId="0" applyFont="1" applyFill="1" applyBorder="1" applyAlignment="1">
      <alignment vertical="center"/>
    </xf>
    <xf numFmtId="1" fontId="12" fillId="6" borderId="5" xfId="1" applyNumberFormat="1" applyFont="1" applyFill="1" applyBorder="1" applyAlignment="1">
      <alignment horizontal="center" vertical="center"/>
    </xf>
    <xf numFmtId="0" fontId="5" fillId="6" borderId="6" xfId="0" applyFont="1" applyFill="1" applyBorder="1" applyAlignment="1">
      <alignment vertical="center"/>
    </xf>
    <xf numFmtId="0" fontId="6" fillId="10" borderId="25" xfId="0" applyFont="1" applyFill="1" applyBorder="1" applyAlignment="1">
      <alignment horizontal="left" vertical="center"/>
    </xf>
    <xf numFmtId="0" fontId="6" fillId="10" borderId="26" xfId="0" applyFont="1" applyFill="1" applyBorder="1" applyAlignment="1">
      <alignment horizontal="left" vertical="center"/>
    </xf>
    <xf numFmtId="0" fontId="15" fillId="6" borderId="2" xfId="0" applyFont="1" applyFill="1" applyBorder="1" applyAlignment="1">
      <alignment vertical="center"/>
    </xf>
    <xf numFmtId="0" fontId="12" fillId="6" borderId="3" xfId="0" applyFont="1" applyFill="1" applyBorder="1" applyAlignment="1">
      <alignment vertical="center"/>
    </xf>
    <xf numFmtId="0" fontId="22" fillId="6" borderId="2" xfId="0" applyFont="1" applyFill="1" applyBorder="1" applyAlignment="1">
      <alignment horizontal="left" vertical="center" indent="1"/>
    </xf>
    <xf numFmtId="0" fontId="17" fillId="0" borderId="2" xfId="0" applyFont="1" applyBorder="1" applyAlignment="1">
      <alignment horizontal="left" indent="1"/>
    </xf>
    <xf numFmtId="0" fontId="5" fillId="6" borderId="4" xfId="0" applyFont="1" applyFill="1" applyBorder="1" applyAlignment="1">
      <alignment vertical="center"/>
    </xf>
    <xf numFmtId="3" fontId="15" fillId="6" borderId="0" xfId="0" applyNumberFormat="1" applyFont="1" applyFill="1" applyAlignment="1">
      <alignment vertical="center"/>
    </xf>
    <xf numFmtId="166" fontId="0" fillId="0" borderId="0" xfId="0" applyNumberFormat="1"/>
    <xf numFmtId="168" fontId="15" fillId="6" borderId="14" xfId="2" applyNumberFormat="1" applyFont="1" applyFill="1" applyBorder="1" applyAlignment="1">
      <alignment horizontal="center" vertical="center"/>
    </xf>
    <xf numFmtId="168" fontId="15" fillId="6" borderId="14" xfId="1" applyNumberFormat="1" applyFont="1" applyFill="1" applyBorder="1" applyAlignment="1">
      <alignment horizontal="center" vertical="center"/>
    </xf>
    <xf numFmtId="0" fontId="0" fillId="12" borderId="0" xfId="0" applyFill="1"/>
    <xf numFmtId="0" fontId="0" fillId="12" borderId="0" xfId="0" applyFill="1" applyAlignment="1">
      <alignment horizontal="left"/>
    </xf>
    <xf numFmtId="0" fontId="27" fillId="6" borderId="0" xfId="0" applyFont="1" applyFill="1" applyAlignment="1">
      <alignment horizontal="center" vertical="center" wrapText="1"/>
    </xf>
    <xf numFmtId="0" fontId="0" fillId="6" borderId="0" xfId="0" applyFill="1" applyAlignment="1">
      <alignment horizontal="left"/>
    </xf>
    <xf numFmtId="0" fontId="37" fillId="6" borderId="0" xfId="0" applyFont="1" applyFill="1"/>
    <xf numFmtId="0" fontId="36" fillId="6" borderId="0" xfId="0" applyFont="1" applyFill="1" applyAlignment="1">
      <alignment horizontal="left"/>
    </xf>
    <xf numFmtId="0" fontId="37" fillId="6" borderId="0" xfId="0" applyFont="1" applyFill="1" applyAlignment="1">
      <alignment horizontal="center"/>
    </xf>
    <xf numFmtId="0" fontId="0" fillId="13" borderId="0" xfId="0" applyFill="1" applyAlignment="1">
      <alignment horizontal="left"/>
    </xf>
    <xf numFmtId="0" fontId="34" fillId="13" borderId="0" xfId="0" applyFont="1" applyFill="1" applyAlignment="1">
      <alignment horizontal="left" indent="2"/>
    </xf>
    <xf numFmtId="0" fontId="0" fillId="13" borderId="0" xfId="0" applyFill="1"/>
    <xf numFmtId="0" fontId="37" fillId="13" borderId="0" xfId="0" applyFont="1" applyFill="1"/>
    <xf numFmtId="0" fontId="36" fillId="13" borderId="0" xfId="0" applyFont="1" applyFill="1" applyAlignment="1">
      <alignment horizontal="left"/>
    </xf>
    <xf numFmtId="0" fontId="36" fillId="13" borderId="0" xfId="0" applyFont="1" applyFill="1"/>
    <xf numFmtId="0" fontId="36" fillId="13" borderId="0" xfId="0" applyFont="1" applyFill="1" applyAlignment="1">
      <alignment horizontal="right"/>
    </xf>
    <xf numFmtId="0" fontId="34" fillId="13" borderId="0" xfId="0" applyFont="1" applyFill="1" applyAlignment="1">
      <alignment horizontal="left"/>
    </xf>
    <xf numFmtId="0" fontId="0" fillId="14" borderId="0" xfId="0" applyFill="1"/>
    <xf numFmtId="0" fontId="0" fillId="14" borderId="0" xfId="0" applyFill="1" applyAlignment="1">
      <alignment horizontal="left"/>
    </xf>
    <xf numFmtId="0" fontId="36" fillId="14" borderId="0" xfId="0" applyFont="1" applyFill="1"/>
    <xf numFmtId="0" fontId="36" fillId="14" borderId="0" xfId="0" applyFont="1" applyFill="1" applyAlignment="1">
      <alignment horizontal="left"/>
    </xf>
    <xf numFmtId="0" fontId="36" fillId="14" borderId="0" xfId="0" applyFont="1" applyFill="1" applyAlignment="1">
      <alignment horizontal="center"/>
    </xf>
    <xf numFmtId="0" fontId="36" fillId="14" borderId="0" xfId="0" applyFont="1" applyFill="1" applyAlignment="1">
      <alignment horizontal="left" indent="6"/>
    </xf>
    <xf numFmtId="0" fontId="3" fillId="14" borderId="0" xfId="0" applyFont="1" applyFill="1" applyAlignment="1">
      <alignment horizontal="left"/>
    </xf>
    <xf numFmtId="0" fontId="34" fillId="14" borderId="0" xfId="0" applyFont="1" applyFill="1" applyAlignment="1">
      <alignment horizontal="left"/>
    </xf>
    <xf numFmtId="0" fontId="36" fillId="14" borderId="0" xfId="0" applyFont="1" applyFill="1" applyAlignment="1">
      <alignment horizontal="right"/>
    </xf>
    <xf numFmtId="0" fontId="38" fillId="14" borderId="0" xfId="0" applyFont="1" applyFill="1" applyAlignment="1">
      <alignment horizontal="right"/>
    </xf>
    <xf numFmtId="0" fontId="38" fillId="14" borderId="0" xfId="0" applyFont="1" applyFill="1"/>
    <xf numFmtId="170" fontId="36" fillId="14" borderId="0" xfId="0" applyNumberFormat="1" applyFont="1" applyFill="1" applyAlignment="1">
      <alignment horizontal="center"/>
    </xf>
    <xf numFmtId="164" fontId="36" fillId="14" borderId="0" xfId="0" applyNumberFormat="1" applyFont="1" applyFill="1" applyAlignment="1">
      <alignment horizontal="center"/>
    </xf>
    <xf numFmtId="171" fontId="36" fillId="14" borderId="0" xfId="0" applyNumberFormat="1" applyFont="1" applyFill="1" applyAlignment="1">
      <alignment horizontal="center"/>
    </xf>
    <xf numFmtId="0" fontId="0" fillId="0" borderId="0" xfId="0" applyAlignment="1">
      <alignment vertical="center"/>
    </xf>
    <xf numFmtId="0" fontId="3" fillId="15" borderId="29" xfId="0" applyFont="1" applyFill="1" applyBorder="1" applyAlignment="1">
      <alignment horizontal="center"/>
    </xf>
    <xf numFmtId="0" fontId="3" fillId="16" borderId="30" xfId="0" applyFont="1" applyFill="1" applyBorder="1" applyAlignment="1">
      <alignment horizontal="center"/>
    </xf>
    <xf numFmtId="0" fontId="3" fillId="17" borderId="31" xfId="0" applyFont="1" applyFill="1" applyBorder="1" applyAlignment="1">
      <alignment horizontal="center"/>
    </xf>
    <xf numFmtId="0" fontId="3" fillId="18" borderId="31" xfId="0" applyFont="1" applyFill="1" applyBorder="1" applyAlignment="1">
      <alignment horizontal="center"/>
    </xf>
    <xf numFmtId="0" fontId="0" fillId="15" borderId="29" xfId="0" applyFill="1" applyBorder="1" applyAlignment="1">
      <alignment horizontal="center"/>
    </xf>
    <xf numFmtId="0" fontId="0" fillId="16" borderId="29" xfId="0" applyFill="1" applyBorder="1" applyAlignment="1">
      <alignment horizontal="center"/>
    </xf>
    <xf numFmtId="0" fontId="0" fillId="17" borderId="29" xfId="0" applyFill="1" applyBorder="1" applyAlignment="1">
      <alignment horizontal="center"/>
    </xf>
    <xf numFmtId="0" fontId="0" fillId="17" borderId="29" xfId="0" applyFill="1" applyBorder="1" applyAlignment="1">
      <alignment horizontal="center" vertical="center"/>
    </xf>
    <xf numFmtId="0" fontId="0" fillId="18" borderId="29" xfId="0" applyFill="1" applyBorder="1" applyAlignment="1">
      <alignment horizontal="center" vertical="center"/>
    </xf>
    <xf numFmtId="0" fontId="0" fillId="19" borderId="29" xfId="0" applyFill="1" applyBorder="1" applyAlignment="1">
      <alignment horizontal="center" vertical="center"/>
    </xf>
    <xf numFmtId="0" fontId="3" fillId="20" borderId="0" xfId="0" applyFont="1" applyFill="1" applyAlignment="1">
      <alignment horizontal="center"/>
    </xf>
    <xf numFmtId="0" fontId="0" fillId="15" borderId="29" xfId="3" applyNumberFormat="1" applyFont="1" applyFill="1" applyBorder="1" applyAlignment="1">
      <alignment horizontal="center"/>
    </xf>
    <xf numFmtId="0" fontId="0" fillId="15" borderId="33" xfId="3" applyNumberFormat="1" applyFont="1" applyFill="1" applyBorder="1" applyAlignment="1">
      <alignment horizontal="center"/>
    </xf>
    <xf numFmtId="0" fontId="0" fillId="16" borderId="33" xfId="0" applyFill="1" applyBorder="1" applyAlignment="1">
      <alignment horizontal="center"/>
    </xf>
    <xf numFmtId="9" fontId="0" fillId="16" borderId="33" xfId="1" applyFont="1" applyFill="1" applyBorder="1" applyAlignment="1">
      <alignment horizontal="center"/>
    </xf>
    <xf numFmtId="0" fontId="0" fillId="17" borderId="33" xfId="0" applyFill="1" applyBorder="1" applyAlignment="1">
      <alignment horizontal="center"/>
    </xf>
    <xf numFmtId="0" fontId="0" fillId="17" borderId="33" xfId="0" applyFill="1" applyBorder="1" applyAlignment="1">
      <alignment horizontal="center" vertical="center"/>
    </xf>
    <xf numFmtId="0" fontId="0" fillId="18" borderId="33" xfId="0" applyFill="1" applyBorder="1" applyAlignment="1">
      <alignment horizontal="center" vertical="center"/>
    </xf>
    <xf numFmtId="0" fontId="0" fillId="19" borderId="33" xfId="0" applyFill="1" applyBorder="1" applyAlignment="1">
      <alignment horizontal="center" vertical="center"/>
    </xf>
    <xf numFmtId="0" fontId="41" fillId="20" borderId="32" xfId="0" applyFont="1" applyFill="1" applyBorder="1" applyAlignment="1">
      <alignment horizontal="center" vertical="center"/>
    </xf>
    <xf numFmtId="0" fontId="41" fillId="20" borderId="29" xfId="0" applyFont="1" applyFill="1" applyBorder="1" applyAlignment="1">
      <alignment horizontal="center" vertical="center"/>
    </xf>
    <xf numFmtId="0" fontId="41" fillId="16" borderId="29" xfId="0" applyFont="1" applyFill="1" applyBorder="1" applyAlignment="1">
      <alignment horizontal="center" vertical="center"/>
    </xf>
    <xf numFmtId="0" fontId="41" fillId="17" borderId="29" xfId="0" applyFont="1" applyFill="1" applyBorder="1" applyAlignment="1">
      <alignment horizontal="center" vertical="center"/>
    </xf>
    <xf numFmtId="0" fontId="41" fillId="18" borderId="29" xfId="0" applyFont="1" applyFill="1" applyBorder="1" applyAlignment="1">
      <alignment horizontal="center" vertical="center"/>
    </xf>
    <xf numFmtId="0" fontId="41" fillId="19" borderId="29" xfId="0" applyFont="1" applyFill="1" applyBorder="1" applyAlignment="1">
      <alignment horizontal="center" vertical="center"/>
    </xf>
    <xf numFmtId="0" fontId="7" fillId="0" borderId="32" xfId="0" applyFont="1" applyBorder="1"/>
    <xf numFmtId="0" fontId="0" fillId="0" borderId="29" xfId="0" applyBorder="1"/>
    <xf numFmtId="1" fontId="7" fillId="0" borderId="29" xfId="0" applyNumberFormat="1" applyFont="1" applyBorder="1"/>
    <xf numFmtId="3" fontId="0" fillId="0" borderId="29" xfId="0" applyNumberFormat="1" applyBorder="1"/>
    <xf numFmtId="9" fontId="0" fillId="0" borderId="29" xfId="1" applyFont="1" applyBorder="1"/>
    <xf numFmtId="9" fontId="0" fillId="0" borderId="29" xfId="0" applyNumberFormat="1" applyBorder="1"/>
    <xf numFmtId="9" fontId="0" fillId="0" borderId="34" xfId="1" applyFont="1" applyBorder="1"/>
    <xf numFmtId="9" fontId="0" fillId="0" borderId="34" xfId="0" applyNumberFormat="1" applyBorder="1"/>
    <xf numFmtId="0" fontId="0" fillId="0" borderId="32" xfId="0" applyBorder="1"/>
    <xf numFmtId="1" fontId="0" fillId="0" borderId="29" xfId="0" applyNumberFormat="1" applyBorder="1"/>
    <xf numFmtId="0" fontId="0" fillId="21" borderId="29" xfId="0" applyFill="1" applyBorder="1"/>
    <xf numFmtId="1" fontId="0" fillId="21" borderId="29" xfId="0" applyNumberFormat="1" applyFill="1" applyBorder="1"/>
    <xf numFmtId="0" fontId="0" fillId="0" borderId="29" xfId="0" applyBorder="1" applyAlignment="1">
      <alignment horizontal="right"/>
    </xf>
    <xf numFmtId="1" fontId="0" fillId="0" borderId="0" xfId="0" applyNumberFormat="1"/>
    <xf numFmtId="9" fontId="0" fillId="0" borderId="0" xfId="1" applyFont="1"/>
    <xf numFmtId="1" fontId="4" fillId="0" borderId="0" xfId="0" applyNumberFormat="1" applyFont="1" applyAlignment="1">
      <alignment horizontal="center" vertical="center"/>
    </xf>
    <xf numFmtId="0" fontId="0" fillId="0" borderId="0" xfId="0" applyAlignment="1">
      <alignment horizontal="center" vertical="center"/>
    </xf>
    <xf numFmtId="167" fontId="0" fillId="0" borderId="0" xfId="1" applyNumberFormat="1" applyFont="1"/>
    <xf numFmtId="0" fontId="0" fillId="0" borderId="0" xfId="0">
      <extLst>
        <ext xmlns:xfpb="http://schemas.microsoft.com/office/spreadsheetml/2022/featurepropertybag" uri="{C7286773-470A-42A8-94C5-96B5CB345126}">
          <xfpb:xfComplement i="0"/>
        </ext>
      </extLst>
    </xf>
    <xf numFmtId="0" fontId="43" fillId="6" borderId="0" xfId="4" applyFont="1" applyFill="1" applyAlignment="1">
      <alignment horizontal="left" vertical="center"/>
    </xf>
    <xf numFmtId="0" fontId="22" fillId="6" borderId="3" xfId="0" applyFont="1" applyFill="1" applyBorder="1" applyAlignment="1">
      <alignment horizontal="left" vertical="center" indent="1"/>
    </xf>
    <xf numFmtId="0" fontId="28" fillId="0" borderId="0" xfId="0" applyFont="1" applyAlignment="1">
      <alignment horizontal="right" vertical="center"/>
    </xf>
    <xf numFmtId="0" fontId="30" fillId="6" borderId="0" xfId="0" applyFont="1" applyFill="1" applyAlignment="1">
      <alignment horizontal="left" vertical="center"/>
    </xf>
    <xf numFmtId="3" fontId="0" fillId="11" borderId="19" xfId="0" applyNumberFormat="1" applyFill="1" applyBorder="1" applyAlignment="1">
      <alignment horizontal="right"/>
    </xf>
    <xf numFmtId="2" fontId="0" fillId="6" borderId="19" xfId="0" applyNumberFormat="1" applyFill="1" applyBorder="1"/>
    <xf numFmtId="3" fontId="0" fillId="0" borderId="17" xfId="0" applyNumberFormat="1" applyBorder="1" applyAlignment="1">
      <alignment horizontal="right"/>
    </xf>
    <xf numFmtId="0" fontId="5" fillId="6" borderId="2" xfId="0" applyFont="1" applyFill="1" applyBorder="1" applyAlignment="1">
      <alignment vertical="center"/>
    </xf>
    <xf numFmtId="0" fontId="30" fillId="9" borderId="0" xfId="0" applyFont="1" applyFill="1" applyAlignment="1">
      <alignment horizontal="left" vertical="center"/>
    </xf>
    <xf numFmtId="0" fontId="37" fillId="14" borderId="0" xfId="0" applyFont="1" applyFill="1" applyAlignment="1">
      <alignment horizontal="center"/>
    </xf>
    <xf numFmtId="0" fontId="27" fillId="6" borderId="22" xfId="0" applyFont="1" applyFill="1" applyBorder="1" applyAlignment="1">
      <alignment horizontal="center" vertical="center" wrapText="1"/>
    </xf>
    <xf numFmtId="0" fontId="27" fillId="6" borderId="23"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35" fillId="13" borderId="0" xfId="0" applyFont="1" applyFill="1" applyAlignment="1">
      <alignment horizontal="left"/>
    </xf>
    <xf numFmtId="0" fontId="12" fillId="6" borderId="0" xfId="0" applyFont="1" applyFill="1" applyAlignment="1">
      <alignment horizontal="left" vertical="center" indent="1"/>
    </xf>
    <xf numFmtId="0" fontId="27" fillId="6" borderId="0" xfId="0" applyFont="1" applyFill="1" applyAlignment="1">
      <alignment horizontal="left" vertical="center" wrapText="1"/>
    </xf>
    <xf numFmtId="0" fontId="36" fillId="14" borderId="0" xfId="0" applyFont="1" applyFill="1" applyAlignment="1">
      <alignment horizontal="center"/>
    </xf>
    <xf numFmtId="0" fontId="0" fillId="0" borderId="0" xfId="0" applyAlignment="1">
      <alignment horizontal="left" vertical="top" wrapText="1"/>
    </xf>
    <xf numFmtId="0" fontId="3" fillId="0" borderId="0" xfId="0" applyFont="1" applyAlignment="1">
      <alignment horizontal="center"/>
    </xf>
    <xf numFmtId="0" fontId="3" fillId="19" borderId="30" xfId="0" applyFont="1" applyFill="1" applyBorder="1" applyAlignment="1">
      <alignment horizontal="center"/>
    </xf>
    <xf numFmtId="0" fontId="3" fillId="19" borderId="31" xfId="0" applyFont="1" applyFill="1" applyBorder="1" applyAlignment="1">
      <alignment horizontal="center"/>
    </xf>
    <xf numFmtId="0" fontId="3" fillId="19" borderId="32" xfId="0" applyFont="1" applyFill="1" applyBorder="1" applyAlignment="1">
      <alignment horizontal="center"/>
    </xf>
    <xf numFmtId="0" fontId="3" fillId="20" borderId="29" xfId="0" applyFont="1" applyFill="1" applyBorder="1" applyAlignment="1">
      <alignment horizontal="center"/>
    </xf>
    <xf numFmtId="0" fontId="3" fillId="15" borderId="29" xfId="0" applyFont="1" applyFill="1" applyBorder="1" applyAlignment="1">
      <alignment horizontal="center"/>
    </xf>
    <xf numFmtId="0" fontId="3" fillId="16" borderId="29" xfId="0" applyFont="1" applyFill="1" applyBorder="1" applyAlignment="1">
      <alignment horizontal="center"/>
    </xf>
    <xf numFmtId="0" fontId="3" fillId="17" borderId="30" xfId="0" applyFont="1" applyFill="1" applyBorder="1" applyAlignment="1">
      <alignment horizontal="center"/>
    </xf>
    <xf numFmtId="0" fontId="3" fillId="17" borderId="31" xfId="0" applyFont="1" applyFill="1" applyBorder="1" applyAlignment="1">
      <alignment horizontal="center"/>
    </xf>
    <xf numFmtId="0" fontId="3" fillId="17" borderId="32" xfId="0" applyFont="1" applyFill="1" applyBorder="1" applyAlignment="1">
      <alignment horizontal="center"/>
    </xf>
    <xf numFmtId="0" fontId="3" fillId="18" borderId="30" xfId="0" applyFont="1" applyFill="1" applyBorder="1" applyAlignment="1">
      <alignment horizontal="center"/>
    </xf>
    <xf numFmtId="0" fontId="3" fillId="18" borderId="31" xfId="0" applyFont="1" applyFill="1" applyBorder="1" applyAlignment="1">
      <alignment horizontal="center"/>
    </xf>
    <xf numFmtId="0" fontId="3" fillId="18" borderId="32" xfId="0" applyFont="1" applyFill="1" applyBorder="1" applyAlignment="1">
      <alignment horizontal="center"/>
    </xf>
  </cellXfs>
  <cellStyles count="5">
    <cellStyle name="Comma" xfId="3" builtinId="3"/>
    <cellStyle name="Currency" xfId="2" builtinId="4"/>
    <cellStyle name="Hyperlink" xfId="4" builtinId="8"/>
    <cellStyle name="Normal" xfId="0" builtinId="0"/>
    <cellStyle name="Percent" xfId="1" builtinId="5"/>
  </cellStyles>
  <dxfs count="38">
    <dxf>
      <numFmt numFmtId="19" formatCode="yyyy/mm/dd"/>
    </dxf>
    <dxf>
      <font>
        <color theme="1"/>
      </font>
      <fill>
        <patternFill>
          <bgColor theme="9" tint="0.59996337778862885"/>
        </patternFill>
      </fill>
    </dxf>
    <dxf>
      <fill>
        <patternFill>
          <bgColor rgb="FFFFB3B3"/>
        </patternFill>
      </fill>
    </dxf>
    <dxf>
      <font>
        <b val="0"/>
        <i val="0"/>
        <strike val="0"/>
        <condense val="0"/>
        <extend val="0"/>
        <outline val="0"/>
        <shadow val="0"/>
        <u val="none"/>
        <vertAlign val="baseline"/>
        <sz val="11"/>
        <color theme="1"/>
        <name val="Calibri"/>
        <family val="2"/>
        <scheme val="minor"/>
      </font>
      <numFmt numFmtId="167" formatCode="0.0%"/>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bottom style="thin">
          <color indexed="64"/>
        </bottom>
        <vertical/>
        <horizontal/>
      </border>
    </dxf>
    <dxf>
      <numFmt numFmtId="13" formatCode="0%"/>
      <border diagonalUp="0" diagonalDown="0">
        <left style="thin">
          <color indexed="64"/>
        </left>
        <right style="thin">
          <color indexed="64"/>
        </right>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border>
    </dxf>
    <dxf>
      <font>
        <strike val="0"/>
        <outline val="0"/>
        <shadow val="0"/>
        <u val="none"/>
        <vertAlign val="baseline"/>
        <sz val="11"/>
        <color auto="1"/>
        <name val="Calibri"/>
        <family val="2"/>
        <scheme val="minor"/>
      </font>
    </dxf>
    <dxf>
      <numFmt numFmtId="166" formatCode="0.00000"/>
    </dxf>
  </dxfs>
  <tableStyles count="0" defaultTableStyle="TableStyleMedium2" defaultPivotStyle="PivotStyleLight16"/>
  <colors>
    <mruColors>
      <color rgb="FF009FDF"/>
      <color rgb="FF002855"/>
      <color rgb="FF002060"/>
      <color rgb="FFFFB3B3"/>
      <color rgb="FFFFC1C1"/>
      <color rgb="FFFFA7A7"/>
      <color rgb="FFFF8585"/>
      <color rgb="FFC6E0B4"/>
      <color rgb="FFE7E6E6"/>
      <color rgb="FFFCC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onnections" Target="connections.xml"/><Relationship Id="rId27" Type="http://schemas.microsoft.com/office/2022/11/relationships/FeaturePropertyBag" Target="featurePropertyBag/featurePropertyBag.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Économies d'énergie par appareil selon la capacité</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'Économies réelles'!$E$57:$E$187</c:f>
              <c:numCache>
                <c:formatCode>General</c:formatCode>
                <c:ptCount val="131"/>
                <c:pt idx="0">
                  <c:v>55000</c:v>
                </c:pt>
                <c:pt idx="1">
                  <c:v>55000</c:v>
                </c:pt>
                <c:pt idx="2">
                  <c:v>55000</c:v>
                </c:pt>
                <c:pt idx="3">
                  <c:v>55000</c:v>
                </c:pt>
                <c:pt idx="4">
                  <c:v>65000</c:v>
                </c:pt>
                <c:pt idx="5">
                  <c:v>85000</c:v>
                </c:pt>
                <c:pt idx="6">
                  <c:v>85000</c:v>
                </c:pt>
                <c:pt idx="7">
                  <c:v>85000</c:v>
                </c:pt>
                <c:pt idx="8">
                  <c:v>85000</c:v>
                </c:pt>
                <c:pt idx="9">
                  <c:v>110000</c:v>
                </c:pt>
                <c:pt idx="10">
                  <c:v>110000</c:v>
                </c:pt>
                <c:pt idx="11">
                  <c:v>110000</c:v>
                </c:pt>
                <c:pt idx="12">
                  <c:v>110000</c:v>
                </c:pt>
                <c:pt idx="13">
                  <c:v>130000</c:v>
                </c:pt>
                <c:pt idx="14">
                  <c:v>130000</c:v>
                </c:pt>
                <c:pt idx="15">
                  <c:v>130000</c:v>
                </c:pt>
                <c:pt idx="16">
                  <c:v>135000</c:v>
                </c:pt>
                <c:pt idx="17">
                  <c:v>135000</c:v>
                </c:pt>
                <c:pt idx="18">
                  <c:v>135000</c:v>
                </c:pt>
                <c:pt idx="19">
                  <c:v>150000</c:v>
                </c:pt>
                <c:pt idx="20">
                  <c:v>150000</c:v>
                </c:pt>
                <c:pt idx="21">
                  <c:v>180000</c:v>
                </c:pt>
                <c:pt idx="22">
                  <c:v>180000</c:v>
                </c:pt>
                <c:pt idx="23">
                  <c:v>180000</c:v>
                </c:pt>
                <c:pt idx="24">
                  <c:v>180000</c:v>
                </c:pt>
                <c:pt idx="25">
                  <c:v>180000</c:v>
                </c:pt>
                <c:pt idx="26">
                  <c:v>180000</c:v>
                </c:pt>
                <c:pt idx="27">
                  <c:v>180000</c:v>
                </c:pt>
                <c:pt idx="28">
                  <c:v>180000</c:v>
                </c:pt>
                <c:pt idx="29">
                  <c:v>180000</c:v>
                </c:pt>
                <c:pt idx="30">
                  <c:v>180000</c:v>
                </c:pt>
                <c:pt idx="31">
                  <c:v>180000</c:v>
                </c:pt>
                <c:pt idx="32">
                  <c:v>180000</c:v>
                </c:pt>
                <c:pt idx="33">
                  <c:v>180000</c:v>
                </c:pt>
                <c:pt idx="34">
                  <c:v>180000</c:v>
                </c:pt>
                <c:pt idx="35">
                  <c:v>200000</c:v>
                </c:pt>
                <c:pt idx="36">
                  <c:v>200000</c:v>
                </c:pt>
                <c:pt idx="37">
                  <c:v>215000</c:v>
                </c:pt>
                <c:pt idx="38">
                  <c:v>215000</c:v>
                </c:pt>
                <c:pt idx="39">
                  <c:v>215000</c:v>
                </c:pt>
                <c:pt idx="40">
                  <c:v>215000</c:v>
                </c:pt>
                <c:pt idx="41">
                  <c:v>215000</c:v>
                </c:pt>
                <c:pt idx="42">
                  <c:v>215000</c:v>
                </c:pt>
                <c:pt idx="43">
                  <c:v>215000</c:v>
                </c:pt>
                <c:pt idx="44">
                  <c:v>215000</c:v>
                </c:pt>
                <c:pt idx="45">
                  <c:v>260000</c:v>
                </c:pt>
                <c:pt idx="46">
                  <c:v>260000</c:v>
                </c:pt>
                <c:pt idx="47">
                  <c:v>260000</c:v>
                </c:pt>
                <c:pt idx="48">
                  <c:v>260000</c:v>
                </c:pt>
                <c:pt idx="49">
                  <c:v>260000</c:v>
                </c:pt>
                <c:pt idx="50">
                  <c:v>260000</c:v>
                </c:pt>
                <c:pt idx="51">
                  <c:v>260000</c:v>
                </c:pt>
                <c:pt idx="52">
                  <c:v>310000</c:v>
                </c:pt>
                <c:pt idx="53">
                  <c:v>310000</c:v>
                </c:pt>
                <c:pt idx="54">
                  <c:v>310000</c:v>
                </c:pt>
                <c:pt idx="55">
                  <c:v>310000</c:v>
                </c:pt>
                <c:pt idx="56">
                  <c:v>310000</c:v>
                </c:pt>
                <c:pt idx="57">
                  <c:v>50000</c:v>
                </c:pt>
                <c:pt idx="58">
                  <c:v>55000</c:v>
                </c:pt>
                <c:pt idx="59">
                  <c:v>55000</c:v>
                </c:pt>
                <c:pt idx="60">
                  <c:v>55000</c:v>
                </c:pt>
                <c:pt idx="61">
                  <c:v>65000</c:v>
                </c:pt>
                <c:pt idx="62">
                  <c:v>135000</c:v>
                </c:pt>
                <c:pt idx="63">
                  <c:v>135000</c:v>
                </c:pt>
                <c:pt idx="64">
                  <c:v>135000</c:v>
                </c:pt>
                <c:pt idx="65">
                  <c:v>155000</c:v>
                </c:pt>
                <c:pt idx="66">
                  <c:v>155000</c:v>
                </c:pt>
                <c:pt idx="67">
                  <c:v>155000</c:v>
                </c:pt>
                <c:pt idx="68">
                  <c:v>155000</c:v>
                </c:pt>
                <c:pt idx="69">
                  <c:v>180000</c:v>
                </c:pt>
                <c:pt idx="70">
                  <c:v>180000</c:v>
                </c:pt>
                <c:pt idx="71">
                  <c:v>180000</c:v>
                </c:pt>
                <c:pt idx="72">
                  <c:v>180000</c:v>
                </c:pt>
                <c:pt idx="73">
                  <c:v>180000</c:v>
                </c:pt>
                <c:pt idx="74">
                  <c:v>200000</c:v>
                </c:pt>
                <c:pt idx="75">
                  <c:v>200000</c:v>
                </c:pt>
                <c:pt idx="76">
                  <c:v>215000</c:v>
                </c:pt>
                <c:pt idx="77">
                  <c:v>215000</c:v>
                </c:pt>
                <c:pt idx="78">
                  <c:v>260000</c:v>
                </c:pt>
                <c:pt idx="79">
                  <c:v>260000</c:v>
                </c:pt>
                <c:pt idx="80">
                  <c:v>260000</c:v>
                </c:pt>
                <c:pt idx="81">
                  <c:v>260000</c:v>
                </c:pt>
                <c:pt idx="82">
                  <c:v>260000</c:v>
                </c:pt>
                <c:pt idx="83">
                  <c:v>260000</c:v>
                </c:pt>
                <c:pt idx="84">
                  <c:v>260000</c:v>
                </c:pt>
                <c:pt idx="85">
                  <c:v>310000</c:v>
                </c:pt>
                <c:pt idx="86">
                  <c:v>310000</c:v>
                </c:pt>
                <c:pt idx="87">
                  <c:v>310000</c:v>
                </c:pt>
                <c:pt idx="88">
                  <c:v>400000</c:v>
                </c:pt>
                <c:pt idx="89">
                  <c:v>55000</c:v>
                </c:pt>
                <c:pt idx="90">
                  <c:v>155000</c:v>
                </c:pt>
                <c:pt idx="91">
                  <c:v>155000</c:v>
                </c:pt>
                <c:pt idx="92">
                  <c:v>175000</c:v>
                </c:pt>
                <c:pt idx="93">
                  <c:v>175000</c:v>
                </c:pt>
                <c:pt idx="94">
                  <c:v>175000</c:v>
                </c:pt>
                <c:pt idx="95">
                  <c:v>175000</c:v>
                </c:pt>
                <c:pt idx="96">
                  <c:v>180000</c:v>
                </c:pt>
                <c:pt idx="97">
                  <c:v>180000</c:v>
                </c:pt>
                <c:pt idx="98">
                  <c:v>200000</c:v>
                </c:pt>
                <c:pt idx="99">
                  <c:v>215000</c:v>
                </c:pt>
                <c:pt idx="100">
                  <c:v>260000</c:v>
                </c:pt>
                <c:pt idx="101">
                  <c:v>260000</c:v>
                </c:pt>
                <c:pt idx="102">
                  <c:v>260000</c:v>
                </c:pt>
                <c:pt idx="103">
                  <c:v>300000</c:v>
                </c:pt>
                <c:pt idx="104">
                  <c:v>305000</c:v>
                </c:pt>
                <c:pt idx="105">
                  <c:v>305000</c:v>
                </c:pt>
                <c:pt idx="106">
                  <c:v>310000</c:v>
                </c:pt>
                <c:pt idx="107">
                  <c:v>310000</c:v>
                </c:pt>
                <c:pt idx="108">
                  <c:v>310000</c:v>
                </c:pt>
                <c:pt idx="109">
                  <c:v>100000</c:v>
                </c:pt>
                <c:pt idx="110">
                  <c:v>130000</c:v>
                </c:pt>
                <c:pt idx="111">
                  <c:v>135000</c:v>
                </c:pt>
                <c:pt idx="112">
                  <c:v>175000</c:v>
                </c:pt>
                <c:pt idx="113">
                  <c:v>175000</c:v>
                </c:pt>
                <c:pt idx="114">
                  <c:v>180000</c:v>
                </c:pt>
                <c:pt idx="115">
                  <c:v>180000</c:v>
                </c:pt>
                <c:pt idx="116">
                  <c:v>260000</c:v>
                </c:pt>
                <c:pt idx="117">
                  <c:v>260000</c:v>
                </c:pt>
                <c:pt idx="118">
                  <c:v>260000</c:v>
                </c:pt>
                <c:pt idx="119">
                  <c:v>260000</c:v>
                </c:pt>
                <c:pt idx="120">
                  <c:v>260000</c:v>
                </c:pt>
                <c:pt idx="121">
                  <c:v>260000</c:v>
                </c:pt>
                <c:pt idx="122">
                  <c:v>260000</c:v>
                </c:pt>
                <c:pt idx="123">
                  <c:v>260000</c:v>
                </c:pt>
                <c:pt idx="124">
                  <c:v>260000</c:v>
                </c:pt>
                <c:pt idx="125">
                  <c:v>310000</c:v>
                </c:pt>
                <c:pt idx="126">
                  <c:v>310000</c:v>
                </c:pt>
                <c:pt idx="127">
                  <c:v>310000</c:v>
                </c:pt>
                <c:pt idx="128">
                  <c:v>310000</c:v>
                </c:pt>
                <c:pt idx="129">
                  <c:v>310000</c:v>
                </c:pt>
                <c:pt idx="130">
                  <c:v>310000</c:v>
                </c:pt>
              </c:numCache>
            </c:numRef>
          </c:xVal>
          <c:yVal>
            <c:numRef>
              <c:f>'Économies réelles'!$F$57:$F$187</c:f>
              <c:numCache>
                <c:formatCode>0</c:formatCode>
                <c:ptCount val="131"/>
                <c:pt idx="0">
                  <c:v>277.75</c:v>
                </c:pt>
                <c:pt idx="1">
                  <c:v>277.75</c:v>
                </c:pt>
                <c:pt idx="2">
                  <c:v>277.75</c:v>
                </c:pt>
                <c:pt idx="3">
                  <c:v>277.75</c:v>
                </c:pt>
                <c:pt idx="4">
                  <c:v>328.25</c:v>
                </c:pt>
                <c:pt idx="5">
                  <c:v>429.25</c:v>
                </c:pt>
                <c:pt idx="6">
                  <c:v>429.25</c:v>
                </c:pt>
                <c:pt idx="7">
                  <c:v>429.25</c:v>
                </c:pt>
                <c:pt idx="8">
                  <c:v>429.25</c:v>
                </c:pt>
                <c:pt idx="9">
                  <c:v>555.5</c:v>
                </c:pt>
                <c:pt idx="10">
                  <c:v>555.5</c:v>
                </c:pt>
                <c:pt idx="11">
                  <c:v>555.5</c:v>
                </c:pt>
                <c:pt idx="12">
                  <c:v>555.5</c:v>
                </c:pt>
                <c:pt idx="13">
                  <c:v>656.5</c:v>
                </c:pt>
                <c:pt idx="14">
                  <c:v>656.5</c:v>
                </c:pt>
                <c:pt idx="15">
                  <c:v>656.5</c:v>
                </c:pt>
                <c:pt idx="16">
                  <c:v>681.75</c:v>
                </c:pt>
                <c:pt idx="17">
                  <c:v>681.75</c:v>
                </c:pt>
                <c:pt idx="18">
                  <c:v>681.75</c:v>
                </c:pt>
                <c:pt idx="19">
                  <c:v>757.5</c:v>
                </c:pt>
                <c:pt idx="20">
                  <c:v>757.5</c:v>
                </c:pt>
                <c:pt idx="21">
                  <c:v>909</c:v>
                </c:pt>
                <c:pt idx="22">
                  <c:v>909</c:v>
                </c:pt>
                <c:pt idx="23">
                  <c:v>909</c:v>
                </c:pt>
                <c:pt idx="24">
                  <c:v>909</c:v>
                </c:pt>
                <c:pt idx="25">
                  <c:v>909</c:v>
                </c:pt>
                <c:pt idx="26">
                  <c:v>909</c:v>
                </c:pt>
                <c:pt idx="27">
                  <c:v>909</c:v>
                </c:pt>
                <c:pt idx="28">
                  <c:v>909</c:v>
                </c:pt>
                <c:pt idx="29">
                  <c:v>909</c:v>
                </c:pt>
                <c:pt idx="30">
                  <c:v>909</c:v>
                </c:pt>
                <c:pt idx="31">
                  <c:v>909</c:v>
                </c:pt>
                <c:pt idx="32">
                  <c:v>909</c:v>
                </c:pt>
                <c:pt idx="33">
                  <c:v>909</c:v>
                </c:pt>
                <c:pt idx="34">
                  <c:v>909</c:v>
                </c:pt>
                <c:pt idx="35">
                  <c:v>1010</c:v>
                </c:pt>
                <c:pt idx="36">
                  <c:v>1010</c:v>
                </c:pt>
                <c:pt idx="37">
                  <c:v>1085.75</c:v>
                </c:pt>
                <c:pt idx="38">
                  <c:v>1085.75</c:v>
                </c:pt>
                <c:pt idx="39">
                  <c:v>1085.75</c:v>
                </c:pt>
                <c:pt idx="40">
                  <c:v>1085.75</c:v>
                </c:pt>
                <c:pt idx="41">
                  <c:v>1085.75</c:v>
                </c:pt>
                <c:pt idx="42">
                  <c:v>1085.75</c:v>
                </c:pt>
                <c:pt idx="43">
                  <c:v>1085.75</c:v>
                </c:pt>
                <c:pt idx="44">
                  <c:v>1085.75</c:v>
                </c:pt>
                <c:pt idx="45">
                  <c:v>1313</c:v>
                </c:pt>
                <c:pt idx="46">
                  <c:v>1313</c:v>
                </c:pt>
                <c:pt idx="47">
                  <c:v>1313</c:v>
                </c:pt>
                <c:pt idx="48">
                  <c:v>1313</c:v>
                </c:pt>
                <c:pt idx="49">
                  <c:v>1313</c:v>
                </c:pt>
                <c:pt idx="50">
                  <c:v>1313</c:v>
                </c:pt>
                <c:pt idx="51">
                  <c:v>1313</c:v>
                </c:pt>
                <c:pt idx="52">
                  <c:v>1565.5</c:v>
                </c:pt>
                <c:pt idx="53">
                  <c:v>1565.5</c:v>
                </c:pt>
                <c:pt idx="54">
                  <c:v>1565.5</c:v>
                </c:pt>
                <c:pt idx="55">
                  <c:v>1565.5</c:v>
                </c:pt>
                <c:pt idx="56">
                  <c:v>1565.5</c:v>
                </c:pt>
                <c:pt idx="57">
                  <c:v>252.5</c:v>
                </c:pt>
                <c:pt idx="58">
                  <c:v>277.75</c:v>
                </c:pt>
                <c:pt idx="59">
                  <c:v>277.75</c:v>
                </c:pt>
                <c:pt idx="60">
                  <c:v>277.75</c:v>
                </c:pt>
                <c:pt idx="61">
                  <c:v>328.25</c:v>
                </c:pt>
                <c:pt idx="62">
                  <c:v>681.75</c:v>
                </c:pt>
                <c:pt idx="63">
                  <c:v>681.75</c:v>
                </c:pt>
                <c:pt idx="64">
                  <c:v>681.75</c:v>
                </c:pt>
                <c:pt idx="65">
                  <c:v>782.75</c:v>
                </c:pt>
                <c:pt idx="66">
                  <c:v>782.75</c:v>
                </c:pt>
                <c:pt idx="67">
                  <c:v>782.75</c:v>
                </c:pt>
                <c:pt idx="68">
                  <c:v>782.75</c:v>
                </c:pt>
                <c:pt idx="69">
                  <c:v>909</c:v>
                </c:pt>
                <c:pt idx="70">
                  <c:v>909</c:v>
                </c:pt>
                <c:pt idx="71">
                  <c:v>909</c:v>
                </c:pt>
                <c:pt idx="72">
                  <c:v>909</c:v>
                </c:pt>
                <c:pt idx="73">
                  <c:v>909</c:v>
                </c:pt>
                <c:pt idx="74">
                  <c:v>1010</c:v>
                </c:pt>
                <c:pt idx="75">
                  <c:v>1010</c:v>
                </c:pt>
                <c:pt idx="76">
                  <c:v>1085.75</c:v>
                </c:pt>
                <c:pt idx="77">
                  <c:v>1085.75</c:v>
                </c:pt>
                <c:pt idx="78">
                  <c:v>1313</c:v>
                </c:pt>
                <c:pt idx="79">
                  <c:v>1313</c:v>
                </c:pt>
                <c:pt idx="80">
                  <c:v>1313</c:v>
                </c:pt>
                <c:pt idx="81">
                  <c:v>1313</c:v>
                </c:pt>
                <c:pt idx="82">
                  <c:v>1313</c:v>
                </c:pt>
                <c:pt idx="83">
                  <c:v>1313</c:v>
                </c:pt>
                <c:pt idx="84">
                  <c:v>1313</c:v>
                </c:pt>
                <c:pt idx="85">
                  <c:v>1565.5</c:v>
                </c:pt>
                <c:pt idx="86">
                  <c:v>1565.5</c:v>
                </c:pt>
                <c:pt idx="87">
                  <c:v>1565.5</c:v>
                </c:pt>
                <c:pt idx="88">
                  <c:v>2020</c:v>
                </c:pt>
                <c:pt idx="89">
                  <c:v>277.75</c:v>
                </c:pt>
                <c:pt idx="90">
                  <c:v>782.75</c:v>
                </c:pt>
                <c:pt idx="91">
                  <c:v>782.75</c:v>
                </c:pt>
                <c:pt idx="92">
                  <c:v>883.75</c:v>
                </c:pt>
                <c:pt idx="93">
                  <c:v>883.75</c:v>
                </c:pt>
                <c:pt idx="94">
                  <c:v>883.75</c:v>
                </c:pt>
                <c:pt idx="95">
                  <c:v>883.75</c:v>
                </c:pt>
                <c:pt idx="96">
                  <c:v>909</c:v>
                </c:pt>
                <c:pt idx="97">
                  <c:v>909</c:v>
                </c:pt>
                <c:pt idx="98">
                  <c:v>1010</c:v>
                </c:pt>
                <c:pt idx="99">
                  <c:v>1085.75</c:v>
                </c:pt>
                <c:pt idx="100">
                  <c:v>1313</c:v>
                </c:pt>
                <c:pt idx="101">
                  <c:v>1313</c:v>
                </c:pt>
                <c:pt idx="102">
                  <c:v>1313</c:v>
                </c:pt>
                <c:pt idx="103">
                  <c:v>1515</c:v>
                </c:pt>
                <c:pt idx="104">
                  <c:v>1540.25</c:v>
                </c:pt>
                <c:pt idx="105">
                  <c:v>1540.25</c:v>
                </c:pt>
                <c:pt idx="106">
                  <c:v>1565.5</c:v>
                </c:pt>
                <c:pt idx="107">
                  <c:v>1565.5</c:v>
                </c:pt>
                <c:pt idx="108">
                  <c:v>1565.5</c:v>
                </c:pt>
                <c:pt idx="109">
                  <c:v>505</c:v>
                </c:pt>
                <c:pt idx="110">
                  <c:v>656.5</c:v>
                </c:pt>
                <c:pt idx="111">
                  <c:v>681.75</c:v>
                </c:pt>
                <c:pt idx="112">
                  <c:v>883.75</c:v>
                </c:pt>
                <c:pt idx="113">
                  <c:v>883.75</c:v>
                </c:pt>
                <c:pt idx="114">
                  <c:v>909</c:v>
                </c:pt>
                <c:pt idx="115">
                  <c:v>909</c:v>
                </c:pt>
                <c:pt idx="116">
                  <c:v>1313</c:v>
                </c:pt>
                <c:pt idx="117">
                  <c:v>1313</c:v>
                </c:pt>
                <c:pt idx="118">
                  <c:v>1313</c:v>
                </c:pt>
                <c:pt idx="119">
                  <c:v>1313</c:v>
                </c:pt>
                <c:pt idx="120">
                  <c:v>1313</c:v>
                </c:pt>
                <c:pt idx="121">
                  <c:v>1313</c:v>
                </c:pt>
                <c:pt idx="122">
                  <c:v>1313</c:v>
                </c:pt>
                <c:pt idx="123">
                  <c:v>1313</c:v>
                </c:pt>
                <c:pt idx="124">
                  <c:v>1313</c:v>
                </c:pt>
                <c:pt idx="125">
                  <c:v>1565.5</c:v>
                </c:pt>
                <c:pt idx="126">
                  <c:v>1565.5</c:v>
                </c:pt>
                <c:pt idx="127">
                  <c:v>1565.5</c:v>
                </c:pt>
                <c:pt idx="128">
                  <c:v>1565.5</c:v>
                </c:pt>
                <c:pt idx="129">
                  <c:v>1565.5</c:v>
                </c:pt>
                <c:pt idx="130">
                  <c:v>1565.5</c:v>
                </c:pt>
              </c:numCache>
            </c:numRef>
          </c:yVal>
          <c:smooth val="0"/>
          <c:extLst>
            <c:ext xmlns:c16="http://schemas.microsoft.com/office/drawing/2014/chart" uri="{C3380CC4-5D6E-409C-BE32-E72D297353CC}">
              <c16:uniqueId val="{00000001-9BD1-46F8-B685-4455CEAF52B3}"/>
            </c:ext>
          </c:extLst>
        </c:ser>
        <c:dLbls>
          <c:showLegendKey val="0"/>
          <c:showVal val="0"/>
          <c:showCatName val="0"/>
          <c:showSerName val="0"/>
          <c:showPercent val="0"/>
          <c:showBubbleSize val="0"/>
        </c:dLbls>
        <c:axId val="1185506559"/>
        <c:axId val="1185509439"/>
      </c:scatterChart>
      <c:valAx>
        <c:axId val="11855065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509439"/>
        <c:crosses val="autoZero"/>
        <c:crossBetween val="midCat"/>
      </c:valAx>
      <c:valAx>
        <c:axId val="11855094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50655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Économies</a:t>
            </a:r>
            <a:r>
              <a:rPr lang="en-CA" baseline="0"/>
              <a:t> d'énergies selon BTU/h</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scatterChart>
        <c:scatterStyle val="lineMarker"/>
        <c:varyColors val="0"/>
        <c:ser>
          <c:idx val="0"/>
          <c:order val="0"/>
          <c:tx>
            <c:strRef>
              <c:f>Validation!$C$2</c:f>
              <c:strCache>
                <c:ptCount val="1"/>
                <c:pt idx="0">
                  <c:v>Économies réelles</c:v>
                </c:pt>
              </c:strCache>
            </c:strRef>
          </c:tx>
          <c:spPr>
            <a:ln w="19050" cap="rnd">
              <a:noFill/>
              <a:round/>
            </a:ln>
            <a:effectLst/>
          </c:spPr>
          <c:marker>
            <c:symbol val="circle"/>
            <c:size val="5"/>
            <c:spPr>
              <a:solidFill>
                <a:schemeClr val="accent1"/>
              </a:solidFill>
              <a:ln w="9525">
                <a:solidFill>
                  <a:schemeClr val="accent1"/>
                </a:solidFill>
              </a:ln>
              <a:effectLst/>
            </c:spPr>
          </c:marker>
          <c:xVal>
            <c:numRef>
              <c:f>Validation!$B$3:$B$10</c:f>
              <c:numCache>
                <c:formatCode>General</c:formatCode>
                <c:ptCount val="8"/>
                <c:pt idx="0">
                  <c:v>50000</c:v>
                </c:pt>
                <c:pt idx="1">
                  <c:v>100000</c:v>
                </c:pt>
                <c:pt idx="2">
                  <c:v>150000</c:v>
                </c:pt>
                <c:pt idx="3">
                  <c:v>200000</c:v>
                </c:pt>
                <c:pt idx="4">
                  <c:v>250000</c:v>
                </c:pt>
                <c:pt idx="5">
                  <c:v>300000</c:v>
                </c:pt>
                <c:pt idx="6">
                  <c:v>350000</c:v>
                </c:pt>
                <c:pt idx="7">
                  <c:v>400000</c:v>
                </c:pt>
              </c:numCache>
            </c:numRef>
          </c:xVal>
          <c:yVal>
            <c:numRef>
              <c:f>Validation!$C$3:$C$10</c:f>
              <c:numCache>
                <c:formatCode>General</c:formatCode>
                <c:ptCount val="8"/>
                <c:pt idx="0">
                  <c:v>255.00000000000003</c:v>
                </c:pt>
                <c:pt idx="1">
                  <c:v>510.00000000000006</c:v>
                </c:pt>
                <c:pt idx="2">
                  <c:v>765</c:v>
                </c:pt>
                <c:pt idx="3">
                  <c:v>1020.0000000000001</c:v>
                </c:pt>
                <c:pt idx="4">
                  <c:v>1275</c:v>
                </c:pt>
                <c:pt idx="5">
                  <c:v>1530</c:v>
                </c:pt>
                <c:pt idx="6">
                  <c:v>1785.0000000000002</c:v>
                </c:pt>
                <c:pt idx="7">
                  <c:v>2040.0000000000002</c:v>
                </c:pt>
              </c:numCache>
            </c:numRef>
          </c:yVal>
          <c:smooth val="0"/>
          <c:extLst>
            <c:ext xmlns:c16="http://schemas.microsoft.com/office/drawing/2014/chart" uri="{C3380CC4-5D6E-409C-BE32-E72D297353CC}">
              <c16:uniqueId val="{00000000-3773-42F4-B0BF-3DADE596FA9D}"/>
            </c:ext>
          </c:extLst>
        </c:ser>
        <c:ser>
          <c:idx val="1"/>
          <c:order val="1"/>
          <c:tx>
            <c:strRef>
              <c:f>Validation!$D$2</c:f>
              <c:strCache>
                <c:ptCount val="1"/>
                <c:pt idx="0">
                  <c:v>Économies calculées</c:v>
                </c:pt>
              </c:strCache>
            </c:strRef>
          </c:tx>
          <c:spPr>
            <a:ln w="25400" cap="rnd">
              <a:noFill/>
              <a:round/>
            </a:ln>
            <a:effectLst/>
          </c:spPr>
          <c:marker>
            <c:symbol val="circle"/>
            <c:size val="5"/>
            <c:spPr>
              <a:solidFill>
                <a:schemeClr val="accent2"/>
              </a:solidFill>
              <a:ln w="9525">
                <a:solidFill>
                  <a:schemeClr val="accent2"/>
                </a:solidFill>
              </a:ln>
              <a:effectLst/>
            </c:spPr>
          </c:marker>
          <c:xVal>
            <c:numRef>
              <c:f>Validation!$B$3:$B$10</c:f>
              <c:numCache>
                <c:formatCode>General</c:formatCode>
                <c:ptCount val="8"/>
                <c:pt idx="0">
                  <c:v>50000</c:v>
                </c:pt>
                <c:pt idx="1">
                  <c:v>100000</c:v>
                </c:pt>
                <c:pt idx="2">
                  <c:v>150000</c:v>
                </c:pt>
                <c:pt idx="3">
                  <c:v>200000</c:v>
                </c:pt>
                <c:pt idx="4">
                  <c:v>250000</c:v>
                </c:pt>
                <c:pt idx="5">
                  <c:v>300000</c:v>
                </c:pt>
                <c:pt idx="6">
                  <c:v>350000</c:v>
                </c:pt>
                <c:pt idx="7">
                  <c:v>400000</c:v>
                </c:pt>
              </c:numCache>
            </c:numRef>
          </c:xVal>
          <c:yVal>
            <c:numRef>
              <c:f>Validation!$D$3:$D$10</c:f>
              <c:numCache>
                <c:formatCode>General</c:formatCode>
                <c:ptCount val="8"/>
                <c:pt idx="0">
                  <c:v>272</c:v>
                </c:pt>
                <c:pt idx="1">
                  <c:v>543</c:v>
                </c:pt>
                <c:pt idx="2">
                  <c:v>815</c:v>
                </c:pt>
                <c:pt idx="3">
                  <c:v>1087</c:v>
                </c:pt>
                <c:pt idx="4">
                  <c:v>1359</c:v>
                </c:pt>
                <c:pt idx="5">
                  <c:v>1630</c:v>
                </c:pt>
                <c:pt idx="6">
                  <c:v>1902</c:v>
                </c:pt>
                <c:pt idx="7">
                  <c:v>2174</c:v>
                </c:pt>
              </c:numCache>
            </c:numRef>
          </c:yVal>
          <c:smooth val="0"/>
          <c:extLst>
            <c:ext xmlns:c16="http://schemas.microsoft.com/office/drawing/2014/chart" uri="{C3380CC4-5D6E-409C-BE32-E72D297353CC}">
              <c16:uniqueId val="{00000003-3773-42F4-B0BF-3DADE596FA9D}"/>
            </c:ext>
          </c:extLst>
        </c:ser>
        <c:dLbls>
          <c:showLegendKey val="0"/>
          <c:showVal val="0"/>
          <c:showCatName val="0"/>
          <c:showSerName val="0"/>
          <c:showPercent val="0"/>
          <c:showBubbleSize val="0"/>
        </c:dLbls>
        <c:axId val="1413701680"/>
        <c:axId val="1413699280"/>
      </c:scatterChart>
      <c:valAx>
        <c:axId val="14137016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BTU/h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699280"/>
        <c:crosses val="autoZero"/>
        <c:crossBetween val="midCat"/>
      </c:valAx>
      <c:valAx>
        <c:axId val="1413699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m3 de GN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7016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Surcoût</a:t>
            </a:r>
            <a:r>
              <a:rPr lang="fr-CA" baseline="0"/>
              <a:t> et AF vs capacité</a:t>
            </a:r>
            <a:endParaRPr lang="fr-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CA"/>
        </a:p>
      </c:txPr>
    </c:title>
    <c:autoTitleDeleted val="0"/>
    <c:plotArea>
      <c:layout/>
      <c:scatterChart>
        <c:scatterStyle val="lineMarker"/>
        <c:varyColors val="0"/>
        <c:ser>
          <c:idx val="0"/>
          <c:order val="0"/>
          <c:tx>
            <c:v>Coût incrémental (incluant l'installation) vs Capacité des appareils installés</c:v>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trendline>
            <c:spPr>
              <a:ln w="19050" cap="rnd">
                <a:solidFill>
                  <a:schemeClr val="accent1"/>
                </a:solidFill>
                <a:prstDash val="sysDot"/>
              </a:ln>
              <a:effectLst/>
            </c:spPr>
            <c:trendlineType val="poly"/>
            <c:order val="2"/>
            <c:dispRSqr val="0"/>
            <c:dispEq val="0"/>
          </c:trendline>
          <c:xVal>
            <c:numRef>
              <c:f>Courbe!$G$2:$G$65</c:f>
              <c:numCache>
                <c:formatCode>#,##0</c:formatCode>
                <c:ptCount val="64"/>
                <c:pt idx="0">
                  <c:v>50000</c:v>
                </c:pt>
                <c:pt idx="1">
                  <c:v>100000</c:v>
                </c:pt>
                <c:pt idx="2">
                  <c:v>150000</c:v>
                </c:pt>
                <c:pt idx="3">
                  <c:v>200000</c:v>
                </c:pt>
                <c:pt idx="4">
                  <c:v>300000</c:v>
                </c:pt>
                <c:pt idx="5">
                  <c:v>400000</c:v>
                </c:pt>
                <c:pt idx="6">
                  <c:v>50000</c:v>
                </c:pt>
                <c:pt idx="7">
                  <c:v>100000</c:v>
                </c:pt>
                <c:pt idx="8">
                  <c:v>150000</c:v>
                </c:pt>
                <c:pt idx="9">
                  <c:v>200000</c:v>
                </c:pt>
                <c:pt idx="10">
                  <c:v>300000</c:v>
                </c:pt>
                <c:pt idx="11">
                  <c:v>400000</c:v>
                </c:pt>
                <c:pt idx="12">
                  <c:v>50000</c:v>
                </c:pt>
                <c:pt idx="13">
                  <c:v>100000</c:v>
                </c:pt>
                <c:pt idx="14">
                  <c:v>150000</c:v>
                </c:pt>
                <c:pt idx="15">
                  <c:v>200000</c:v>
                </c:pt>
                <c:pt idx="16">
                  <c:v>300000</c:v>
                </c:pt>
                <c:pt idx="17">
                  <c:v>400000</c:v>
                </c:pt>
                <c:pt idx="18">
                  <c:v>50000</c:v>
                </c:pt>
                <c:pt idx="19">
                  <c:v>100000</c:v>
                </c:pt>
                <c:pt idx="20">
                  <c:v>150000</c:v>
                </c:pt>
                <c:pt idx="21">
                  <c:v>200000</c:v>
                </c:pt>
                <c:pt idx="22">
                  <c:v>300000</c:v>
                </c:pt>
                <c:pt idx="23">
                  <c:v>400000</c:v>
                </c:pt>
                <c:pt idx="24">
                  <c:v>215000</c:v>
                </c:pt>
                <c:pt idx="25">
                  <c:v>260000</c:v>
                </c:pt>
                <c:pt idx="26">
                  <c:v>310000</c:v>
                </c:pt>
                <c:pt idx="27">
                  <c:v>110000</c:v>
                </c:pt>
                <c:pt idx="28">
                  <c:v>135000</c:v>
                </c:pt>
                <c:pt idx="29">
                  <c:v>155000</c:v>
                </c:pt>
                <c:pt idx="30">
                  <c:v>180000</c:v>
                </c:pt>
                <c:pt idx="31">
                  <c:v>215000</c:v>
                </c:pt>
                <c:pt idx="32">
                  <c:v>260000</c:v>
                </c:pt>
                <c:pt idx="33">
                  <c:v>310000</c:v>
                </c:pt>
                <c:pt idx="34">
                  <c:v>55000</c:v>
                </c:pt>
                <c:pt idx="35">
                  <c:v>65000</c:v>
                </c:pt>
                <c:pt idx="36">
                  <c:v>85000</c:v>
                </c:pt>
                <c:pt idx="37">
                  <c:v>110000</c:v>
                </c:pt>
                <c:pt idx="38">
                  <c:v>130000</c:v>
                </c:pt>
                <c:pt idx="39">
                  <c:v>175000</c:v>
                </c:pt>
                <c:pt idx="40">
                  <c:v>260000</c:v>
                </c:pt>
                <c:pt idx="41">
                  <c:v>305000</c:v>
                </c:pt>
                <c:pt idx="42">
                  <c:v>55000</c:v>
                </c:pt>
                <c:pt idx="43">
                  <c:v>85000</c:v>
                </c:pt>
                <c:pt idx="44">
                  <c:v>130000</c:v>
                </c:pt>
                <c:pt idx="45">
                  <c:v>180000</c:v>
                </c:pt>
                <c:pt idx="46">
                  <c:v>260000</c:v>
                </c:pt>
                <c:pt idx="47">
                  <c:v>310000</c:v>
                </c:pt>
                <c:pt idx="48">
                  <c:v>100000</c:v>
                </c:pt>
                <c:pt idx="49">
                  <c:v>120000</c:v>
                </c:pt>
                <c:pt idx="50">
                  <c:v>120000</c:v>
                </c:pt>
                <c:pt idx="51">
                  <c:v>150000</c:v>
                </c:pt>
                <c:pt idx="52">
                  <c:v>180000</c:v>
                </c:pt>
                <c:pt idx="53">
                  <c:v>180000</c:v>
                </c:pt>
                <c:pt idx="54">
                  <c:v>295000</c:v>
                </c:pt>
                <c:pt idx="55">
                  <c:v>396000</c:v>
                </c:pt>
                <c:pt idx="56">
                  <c:v>500000</c:v>
                </c:pt>
                <c:pt idx="57">
                  <c:v>80000</c:v>
                </c:pt>
                <c:pt idx="58">
                  <c:v>90000</c:v>
                </c:pt>
                <c:pt idx="59">
                  <c:v>114000</c:v>
                </c:pt>
                <c:pt idx="60">
                  <c:v>151000</c:v>
                </c:pt>
                <c:pt idx="61">
                  <c:v>189000</c:v>
                </c:pt>
                <c:pt idx="62">
                  <c:v>227000</c:v>
                </c:pt>
                <c:pt idx="63">
                  <c:v>47000</c:v>
                </c:pt>
              </c:numCache>
            </c:numRef>
          </c:xVal>
          <c:yVal>
            <c:numRef>
              <c:f>Courbe!$R$2:$R$65</c:f>
              <c:numCache>
                <c:formatCode>_ * #\ ##0_)\ "$"_ ;_ * \(#\ ##0\)\ "$"_ ;_ * "-"??_)\ "$"_ ;_ @_ </c:formatCode>
                <c:ptCount val="64"/>
                <c:pt idx="0">
                  <c:v>3960</c:v>
                </c:pt>
                <c:pt idx="1">
                  <c:v>4395</c:v>
                </c:pt>
                <c:pt idx="2">
                  <c:v>4564</c:v>
                </c:pt>
                <c:pt idx="3">
                  <c:v>4880</c:v>
                </c:pt>
                <c:pt idx="4">
                  <c:v>5740</c:v>
                </c:pt>
                <c:pt idx="5">
                  <c:v>6550</c:v>
                </c:pt>
                <c:pt idx="6">
                  <c:v>3960</c:v>
                </c:pt>
                <c:pt idx="7">
                  <c:v>4395</c:v>
                </c:pt>
                <c:pt idx="8">
                  <c:v>4564</c:v>
                </c:pt>
                <c:pt idx="9">
                  <c:v>4880</c:v>
                </c:pt>
                <c:pt idx="10">
                  <c:v>5740</c:v>
                </c:pt>
                <c:pt idx="11">
                  <c:v>6550</c:v>
                </c:pt>
                <c:pt idx="12">
                  <c:v>3887</c:v>
                </c:pt>
                <c:pt idx="13">
                  <c:v>4295.5</c:v>
                </c:pt>
                <c:pt idx="14">
                  <c:v>4462.5</c:v>
                </c:pt>
                <c:pt idx="15">
                  <c:v>4756</c:v>
                </c:pt>
                <c:pt idx="16">
                  <c:v>5572.5</c:v>
                </c:pt>
                <c:pt idx="17">
                  <c:v>6340.5</c:v>
                </c:pt>
                <c:pt idx="18">
                  <c:v>3887</c:v>
                </c:pt>
                <c:pt idx="19">
                  <c:v>4295.5</c:v>
                </c:pt>
                <c:pt idx="20">
                  <c:v>4462.5</c:v>
                </c:pt>
                <c:pt idx="21">
                  <c:v>4756</c:v>
                </c:pt>
                <c:pt idx="22">
                  <c:v>5572.5</c:v>
                </c:pt>
                <c:pt idx="23">
                  <c:v>6340.5</c:v>
                </c:pt>
                <c:pt idx="24">
                  <c:v>6820</c:v>
                </c:pt>
                <c:pt idx="25">
                  <c:v>7217.5</c:v>
                </c:pt>
                <c:pt idx="26">
                  <c:v>7775</c:v>
                </c:pt>
                <c:pt idx="27">
                  <c:v>4147.5</c:v>
                </c:pt>
                <c:pt idx="28">
                  <c:v>4557.5</c:v>
                </c:pt>
                <c:pt idx="29">
                  <c:v>4711.5</c:v>
                </c:pt>
                <c:pt idx="30">
                  <c:v>4782.5</c:v>
                </c:pt>
                <c:pt idx="31">
                  <c:v>5109</c:v>
                </c:pt>
                <c:pt idx="32">
                  <c:v>5240</c:v>
                </c:pt>
                <c:pt idx="33">
                  <c:v>5625</c:v>
                </c:pt>
                <c:pt idx="34">
                  <c:v>3505</c:v>
                </c:pt>
                <c:pt idx="35">
                  <c:v>3605</c:v>
                </c:pt>
                <c:pt idx="36">
                  <c:v>3870</c:v>
                </c:pt>
                <c:pt idx="37">
                  <c:v>3462</c:v>
                </c:pt>
                <c:pt idx="38">
                  <c:v>4650</c:v>
                </c:pt>
                <c:pt idx="39">
                  <c:v>4900</c:v>
                </c:pt>
                <c:pt idx="40">
                  <c:v>5450</c:v>
                </c:pt>
                <c:pt idx="41">
                  <c:v>6150</c:v>
                </c:pt>
                <c:pt idx="42">
                  <c:v>3055.13</c:v>
                </c:pt>
                <c:pt idx="43">
                  <c:v>3287.5</c:v>
                </c:pt>
                <c:pt idx="44">
                  <c:v>4265</c:v>
                </c:pt>
                <c:pt idx="45">
                  <c:v>4450</c:v>
                </c:pt>
                <c:pt idx="46">
                  <c:v>4995</c:v>
                </c:pt>
                <c:pt idx="47">
                  <c:v>5595</c:v>
                </c:pt>
                <c:pt idx="48">
                  <c:v>4907.5</c:v>
                </c:pt>
                <c:pt idx="49">
                  <c:v>5020</c:v>
                </c:pt>
                <c:pt idx="50">
                  <c:v>5200</c:v>
                </c:pt>
                <c:pt idx="51">
                  <c:v>5282.5</c:v>
                </c:pt>
                <c:pt idx="52">
                  <c:v>5502.5</c:v>
                </c:pt>
                <c:pt idx="53">
                  <c:v>5650</c:v>
                </c:pt>
                <c:pt idx="54">
                  <c:v>8577.5</c:v>
                </c:pt>
                <c:pt idx="55">
                  <c:v>9785</c:v>
                </c:pt>
                <c:pt idx="56">
                  <c:v>12485</c:v>
                </c:pt>
                <c:pt idx="57">
                  <c:v>4902.5</c:v>
                </c:pt>
                <c:pt idx="58">
                  <c:v>4905</c:v>
                </c:pt>
                <c:pt idx="59">
                  <c:v>3600</c:v>
                </c:pt>
                <c:pt idx="60">
                  <c:v>3787.5</c:v>
                </c:pt>
                <c:pt idx="61">
                  <c:v>3962.5</c:v>
                </c:pt>
                <c:pt idx="62">
                  <c:v>4137.5</c:v>
                </c:pt>
                <c:pt idx="63">
                  <c:v>3350</c:v>
                </c:pt>
              </c:numCache>
            </c:numRef>
          </c:yVal>
          <c:smooth val="0"/>
          <c:extLst>
            <c:ext xmlns:c16="http://schemas.microsoft.com/office/drawing/2014/chart" uri="{C3380CC4-5D6E-409C-BE32-E72D297353CC}">
              <c16:uniqueId val="{00000000-18FB-4EDB-9744-52E5205CEA1E}"/>
            </c:ext>
          </c:extLst>
        </c:ser>
        <c:ser>
          <c:idx val="1"/>
          <c:order val="1"/>
          <c:tx>
            <c:v>Aide financière vs Capacité des appareils installés</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f>Courbe!$G$2:$G$65</c:f>
              <c:numCache>
                <c:formatCode>#,##0</c:formatCode>
                <c:ptCount val="64"/>
                <c:pt idx="0">
                  <c:v>50000</c:v>
                </c:pt>
                <c:pt idx="1">
                  <c:v>100000</c:v>
                </c:pt>
                <c:pt idx="2">
                  <c:v>150000</c:v>
                </c:pt>
                <c:pt idx="3">
                  <c:v>200000</c:v>
                </c:pt>
                <c:pt idx="4">
                  <c:v>300000</c:v>
                </c:pt>
                <c:pt idx="5">
                  <c:v>400000</c:v>
                </c:pt>
                <c:pt idx="6">
                  <c:v>50000</c:v>
                </c:pt>
                <c:pt idx="7">
                  <c:v>100000</c:v>
                </c:pt>
                <c:pt idx="8">
                  <c:v>150000</c:v>
                </c:pt>
                <c:pt idx="9">
                  <c:v>200000</c:v>
                </c:pt>
                <c:pt idx="10">
                  <c:v>300000</c:v>
                </c:pt>
                <c:pt idx="11">
                  <c:v>400000</c:v>
                </c:pt>
                <c:pt idx="12">
                  <c:v>50000</c:v>
                </c:pt>
                <c:pt idx="13">
                  <c:v>100000</c:v>
                </c:pt>
                <c:pt idx="14">
                  <c:v>150000</c:v>
                </c:pt>
                <c:pt idx="15">
                  <c:v>200000</c:v>
                </c:pt>
                <c:pt idx="16">
                  <c:v>300000</c:v>
                </c:pt>
                <c:pt idx="17">
                  <c:v>400000</c:v>
                </c:pt>
                <c:pt idx="18">
                  <c:v>50000</c:v>
                </c:pt>
                <c:pt idx="19">
                  <c:v>100000</c:v>
                </c:pt>
                <c:pt idx="20">
                  <c:v>150000</c:v>
                </c:pt>
                <c:pt idx="21">
                  <c:v>200000</c:v>
                </c:pt>
                <c:pt idx="22">
                  <c:v>300000</c:v>
                </c:pt>
                <c:pt idx="23">
                  <c:v>400000</c:v>
                </c:pt>
                <c:pt idx="24">
                  <c:v>215000</c:v>
                </c:pt>
                <c:pt idx="25">
                  <c:v>260000</c:v>
                </c:pt>
                <c:pt idx="26">
                  <c:v>310000</c:v>
                </c:pt>
                <c:pt idx="27">
                  <c:v>110000</c:v>
                </c:pt>
                <c:pt idx="28">
                  <c:v>135000</c:v>
                </c:pt>
                <c:pt idx="29">
                  <c:v>155000</c:v>
                </c:pt>
                <c:pt idx="30">
                  <c:v>180000</c:v>
                </c:pt>
                <c:pt idx="31">
                  <c:v>215000</c:v>
                </c:pt>
                <c:pt idx="32">
                  <c:v>260000</c:v>
                </c:pt>
                <c:pt idx="33">
                  <c:v>310000</c:v>
                </c:pt>
                <c:pt idx="34">
                  <c:v>55000</c:v>
                </c:pt>
                <c:pt idx="35">
                  <c:v>65000</c:v>
                </c:pt>
                <c:pt idx="36">
                  <c:v>85000</c:v>
                </c:pt>
                <c:pt idx="37">
                  <c:v>110000</c:v>
                </c:pt>
                <c:pt idx="38">
                  <c:v>130000</c:v>
                </c:pt>
                <c:pt idx="39">
                  <c:v>175000</c:v>
                </c:pt>
                <c:pt idx="40">
                  <c:v>260000</c:v>
                </c:pt>
                <c:pt idx="41">
                  <c:v>305000</c:v>
                </c:pt>
                <c:pt idx="42">
                  <c:v>55000</c:v>
                </c:pt>
                <c:pt idx="43">
                  <c:v>85000</c:v>
                </c:pt>
                <c:pt idx="44">
                  <c:v>130000</c:v>
                </c:pt>
                <c:pt idx="45">
                  <c:v>180000</c:v>
                </c:pt>
                <c:pt idx="46">
                  <c:v>260000</c:v>
                </c:pt>
                <c:pt idx="47">
                  <c:v>310000</c:v>
                </c:pt>
                <c:pt idx="48">
                  <c:v>100000</c:v>
                </c:pt>
                <c:pt idx="49">
                  <c:v>120000</c:v>
                </c:pt>
                <c:pt idx="50">
                  <c:v>120000</c:v>
                </c:pt>
                <c:pt idx="51">
                  <c:v>150000</c:v>
                </c:pt>
                <c:pt idx="52">
                  <c:v>180000</c:v>
                </c:pt>
                <c:pt idx="53">
                  <c:v>180000</c:v>
                </c:pt>
                <c:pt idx="54">
                  <c:v>295000</c:v>
                </c:pt>
                <c:pt idx="55">
                  <c:v>396000</c:v>
                </c:pt>
                <c:pt idx="56">
                  <c:v>500000</c:v>
                </c:pt>
                <c:pt idx="57">
                  <c:v>80000</c:v>
                </c:pt>
                <c:pt idx="58">
                  <c:v>90000</c:v>
                </c:pt>
                <c:pt idx="59">
                  <c:v>114000</c:v>
                </c:pt>
                <c:pt idx="60">
                  <c:v>151000</c:v>
                </c:pt>
                <c:pt idx="61">
                  <c:v>189000</c:v>
                </c:pt>
                <c:pt idx="62">
                  <c:v>227000</c:v>
                </c:pt>
                <c:pt idx="63">
                  <c:v>47000</c:v>
                </c:pt>
              </c:numCache>
            </c:numRef>
          </c:xVal>
          <c:yVal>
            <c:numRef>
              <c:f>Courbe!$S$2:$S$65</c:f>
              <c:numCache>
                <c:formatCode>General</c:formatCode>
                <c:ptCount val="64"/>
                <c:pt idx="0">
                  <c:v>2250</c:v>
                </c:pt>
                <c:pt idx="1">
                  <c:v>2500</c:v>
                </c:pt>
                <c:pt idx="2">
                  <c:v>2750</c:v>
                </c:pt>
                <c:pt idx="3">
                  <c:v>3000</c:v>
                </c:pt>
                <c:pt idx="4">
                  <c:v>3500</c:v>
                </c:pt>
                <c:pt idx="5">
                  <c:v>4000</c:v>
                </c:pt>
                <c:pt idx="6">
                  <c:v>2250</c:v>
                </c:pt>
                <c:pt idx="7">
                  <c:v>2500</c:v>
                </c:pt>
                <c:pt idx="8">
                  <c:v>2750</c:v>
                </c:pt>
                <c:pt idx="9">
                  <c:v>3000</c:v>
                </c:pt>
                <c:pt idx="10">
                  <c:v>3500</c:v>
                </c:pt>
                <c:pt idx="11">
                  <c:v>4000</c:v>
                </c:pt>
                <c:pt idx="12">
                  <c:v>2250</c:v>
                </c:pt>
                <c:pt idx="13">
                  <c:v>2500</c:v>
                </c:pt>
                <c:pt idx="14">
                  <c:v>2750</c:v>
                </c:pt>
                <c:pt idx="15">
                  <c:v>3000</c:v>
                </c:pt>
                <c:pt idx="16">
                  <c:v>3500</c:v>
                </c:pt>
                <c:pt idx="17">
                  <c:v>4000</c:v>
                </c:pt>
                <c:pt idx="18">
                  <c:v>2250</c:v>
                </c:pt>
                <c:pt idx="19">
                  <c:v>2500</c:v>
                </c:pt>
                <c:pt idx="20">
                  <c:v>2750</c:v>
                </c:pt>
                <c:pt idx="21">
                  <c:v>3000</c:v>
                </c:pt>
                <c:pt idx="22">
                  <c:v>3500</c:v>
                </c:pt>
                <c:pt idx="23">
                  <c:v>4000</c:v>
                </c:pt>
                <c:pt idx="24">
                  <c:v>3075</c:v>
                </c:pt>
                <c:pt idx="25">
                  <c:v>3300</c:v>
                </c:pt>
                <c:pt idx="26">
                  <c:v>3550</c:v>
                </c:pt>
                <c:pt idx="27">
                  <c:v>2550</c:v>
                </c:pt>
                <c:pt idx="28">
                  <c:v>2675</c:v>
                </c:pt>
                <c:pt idx="29">
                  <c:v>2775</c:v>
                </c:pt>
                <c:pt idx="30">
                  <c:v>2900</c:v>
                </c:pt>
                <c:pt idx="31">
                  <c:v>3075</c:v>
                </c:pt>
                <c:pt idx="32">
                  <c:v>3300</c:v>
                </c:pt>
                <c:pt idx="33">
                  <c:v>3550</c:v>
                </c:pt>
                <c:pt idx="34">
                  <c:v>2275</c:v>
                </c:pt>
                <c:pt idx="35">
                  <c:v>2325</c:v>
                </c:pt>
                <c:pt idx="36">
                  <c:v>2425</c:v>
                </c:pt>
                <c:pt idx="37">
                  <c:v>2550</c:v>
                </c:pt>
                <c:pt idx="38">
                  <c:v>2650</c:v>
                </c:pt>
                <c:pt idx="39">
                  <c:v>2875</c:v>
                </c:pt>
                <c:pt idx="40">
                  <c:v>3300</c:v>
                </c:pt>
                <c:pt idx="41">
                  <c:v>3525</c:v>
                </c:pt>
                <c:pt idx="42">
                  <c:v>2275</c:v>
                </c:pt>
                <c:pt idx="43">
                  <c:v>2425</c:v>
                </c:pt>
                <c:pt idx="44">
                  <c:v>2650</c:v>
                </c:pt>
                <c:pt idx="45">
                  <c:v>2900</c:v>
                </c:pt>
                <c:pt idx="46">
                  <c:v>3300</c:v>
                </c:pt>
                <c:pt idx="47">
                  <c:v>3550</c:v>
                </c:pt>
                <c:pt idx="48">
                  <c:v>2500</c:v>
                </c:pt>
                <c:pt idx="49">
                  <c:v>2600</c:v>
                </c:pt>
                <c:pt idx="50">
                  <c:v>2600</c:v>
                </c:pt>
                <c:pt idx="51">
                  <c:v>2750</c:v>
                </c:pt>
                <c:pt idx="52">
                  <c:v>2900</c:v>
                </c:pt>
                <c:pt idx="53">
                  <c:v>2900</c:v>
                </c:pt>
                <c:pt idx="54">
                  <c:v>3475</c:v>
                </c:pt>
                <c:pt idx="55">
                  <c:v>3980</c:v>
                </c:pt>
                <c:pt idx="56">
                  <c:v>4500</c:v>
                </c:pt>
                <c:pt idx="57">
                  <c:v>2400</c:v>
                </c:pt>
                <c:pt idx="58">
                  <c:v>2450</c:v>
                </c:pt>
                <c:pt idx="59">
                  <c:v>2570</c:v>
                </c:pt>
                <c:pt idx="60">
                  <c:v>2755</c:v>
                </c:pt>
                <c:pt idx="61">
                  <c:v>2945</c:v>
                </c:pt>
                <c:pt idx="62">
                  <c:v>3135</c:v>
                </c:pt>
                <c:pt idx="63">
                  <c:v>2235</c:v>
                </c:pt>
              </c:numCache>
            </c:numRef>
          </c:yVal>
          <c:smooth val="0"/>
          <c:extLst>
            <c:ext xmlns:c16="http://schemas.microsoft.com/office/drawing/2014/chart" uri="{C3380CC4-5D6E-409C-BE32-E72D297353CC}">
              <c16:uniqueId val="{00000001-9AD3-43CD-AA23-343C6B16CDBA}"/>
            </c:ext>
          </c:extLst>
        </c:ser>
        <c:ser>
          <c:idx val="2"/>
          <c:order val="2"/>
          <c:tx>
            <c:v>Surcout equipement</c:v>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poly"/>
            <c:order val="2"/>
            <c:dispRSqr val="0"/>
            <c:dispEq val="1"/>
            <c:trendlineLbl>
              <c:layout>
                <c:manualLayout>
                  <c:x val="5.9709407823710897E-2"/>
                  <c:y val="0.2881100560370456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Courbe!$G$2:$G$65</c:f>
              <c:numCache>
                <c:formatCode>#,##0</c:formatCode>
                <c:ptCount val="64"/>
                <c:pt idx="0">
                  <c:v>50000</c:v>
                </c:pt>
                <c:pt idx="1">
                  <c:v>100000</c:v>
                </c:pt>
                <c:pt idx="2">
                  <c:v>150000</c:v>
                </c:pt>
                <c:pt idx="3">
                  <c:v>200000</c:v>
                </c:pt>
                <c:pt idx="4">
                  <c:v>300000</c:v>
                </c:pt>
                <c:pt idx="5">
                  <c:v>400000</c:v>
                </c:pt>
                <c:pt idx="6">
                  <c:v>50000</c:v>
                </c:pt>
                <c:pt idx="7">
                  <c:v>100000</c:v>
                </c:pt>
                <c:pt idx="8">
                  <c:v>150000</c:v>
                </c:pt>
                <c:pt idx="9">
                  <c:v>200000</c:v>
                </c:pt>
                <c:pt idx="10">
                  <c:v>300000</c:v>
                </c:pt>
                <c:pt idx="11">
                  <c:v>400000</c:v>
                </c:pt>
                <c:pt idx="12">
                  <c:v>50000</c:v>
                </c:pt>
                <c:pt idx="13">
                  <c:v>100000</c:v>
                </c:pt>
                <c:pt idx="14">
                  <c:v>150000</c:v>
                </c:pt>
                <c:pt idx="15">
                  <c:v>200000</c:v>
                </c:pt>
                <c:pt idx="16">
                  <c:v>300000</c:v>
                </c:pt>
                <c:pt idx="17">
                  <c:v>400000</c:v>
                </c:pt>
                <c:pt idx="18">
                  <c:v>50000</c:v>
                </c:pt>
                <c:pt idx="19">
                  <c:v>100000</c:v>
                </c:pt>
                <c:pt idx="20">
                  <c:v>150000</c:v>
                </c:pt>
                <c:pt idx="21">
                  <c:v>200000</c:v>
                </c:pt>
                <c:pt idx="22">
                  <c:v>300000</c:v>
                </c:pt>
                <c:pt idx="23">
                  <c:v>400000</c:v>
                </c:pt>
                <c:pt idx="24">
                  <c:v>215000</c:v>
                </c:pt>
                <c:pt idx="25">
                  <c:v>260000</c:v>
                </c:pt>
                <c:pt idx="26">
                  <c:v>310000</c:v>
                </c:pt>
                <c:pt idx="27">
                  <c:v>110000</c:v>
                </c:pt>
                <c:pt idx="28">
                  <c:v>135000</c:v>
                </c:pt>
                <c:pt idx="29">
                  <c:v>155000</c:v>
                </c:pt>
                <c:pt idx="30">
                  <c:v>180000</c:v>
                </c:pt>
                <c:pt idx="31">
                  <c:v>215000</c:v>
                </c:pt>
                <c:pt idx="32">
                  <c:v>260000</c:v>
                </c:pt>
                <c:pt idx="33">
                  <c:v>310000</c:v>
                </c:pt>
                <c:pt idx="34">
                  <c:v>55000</c:v>
                </c:pt>
                <c:pt idx="35">
                  <c:v>65000</c:v>
                </c:pt>
                <c:pt idx="36">
                  <c:v>85000</c:v>
                </c:pt>
                <c:pt idx="37">
                  <c:v>110000</c:v>
                </c:pt>
                <c:pt idx="38">
                  <c:v>130000</c:v>
                </c:pt>
                <c:pt idx="39">
                  <c:v>175000</c:v>
                </c:pt>
                <c:pt idx="40">
                  <c:v>260000</c:v>
                </c:pt>
                <c:pt idx="41">
                  <c:v>305000</c:v>
                </c:pt>
                <c:pt idx="42">
                  <c:v>55000</c:v>
                </c:pt>
                <c:pt idx="43">
                  <c:v>85000</c:v>
                </c:pt>
                <c:pt idx="44">
                  <c:v>130000</c:v>
                </c:pt>
                <c:pt idx="45">
                  <c:v>180000</c:v>
                </c:pt>
                <c:pt idx="46">
                  <c:v>260000</c:v>
                </c:pt>
                <c:pt idx="47">
                  <c:v>310000</c:v>
                </c:pt>
                <c:pt idx="48">
                  <c:v>100000</c:v>
                </c:pt>
                <c:pt idx="49">
                  <c:v>120000</c:v>
                </c:pt>
                <c:pt idx="50">
                  <c:v>120000</c:v>
                </c:pt>
                <c:pt idx="51">
                  <c:v>150000</c:v>
                </c:pt>
                <c:pt idx="52">
                  <c:v>180000</c:v>
                </c:pt>
                <c:pt idx="53">
                  <c:v>180000</c:v>
                </c:pt>
                <c:pt idx="54">
                  <c:v>295000</c:v>
                </c:pt>
                <c:pt idx="55">
                  <c:v>396000</c:v>
                </c:pt>
                <c:pt idx="56">
                  <c:v>500000</c:v>
                </c:pt>
                <c:pt idx="57">
                  <c:v>80000</c:v>
                </c:pt>
                <c:pt idx="58">
                  <c:v>90000</c:v>
                </c:pt>
                <c:pt idx="59">
                  <c:v>114000</c:v>
                </c:pt>
                <c:pt idx="60">
                  <c:v>151000</c:v>
                </c:pt>
                <c:pt idx="61">
                  <c:v>189000</c:v>
                </c:pt>
                <c:pt idx="62">
                  <c:v>227000</c:v>
                </c:pt>
                <c:pt idx="63">
                  <c:v>47000</c:v>
                </c:pt>
              </c:numCache>
            </c:numRef>
          </c:xVal>
          <c:yVal>
            <c:numRef>
              <c:f>Courbe!$Q$2:$Q$65</c:f>
              <c:numCache>
                <c:formatCode>_ * #\ ##0_)\ "$"_ ;_ * \(#\ ##0\)\ "$"_ ;_ * "-"??_)\ "$"_ ;_ @_ </c:formatCode>
                <c:ptCount val="64"/>
                <c:pt idx="0">
                  <c:v>1560</c:v>
                </c:pt>
                <c:pt idx="1">
                  <c:v>1995</c:v>
                </c:pt>
                <c:pt idx="2">
                  <c:v>2164</c:v>
                </c:pt>
                <c:pt idx="3">
                  <c:v>2480</c:v>
                </c:pt>
                <c:pt idx="4">
                  <c:v>3340</c:v>
                </c:pt>
                <c:pt idx="5">
                  <c:v>4150</c:v>
                </c:pt>
                <c:pt idx="6">
                  <c:v>1560</c:v>
                </c:pt>
                <c:pt idx="7">
                  <c:v>1995</c:v>
                </c:pt>
                <c:pt idx="8">
                  <c:v>2164</c:v>
                </c:pt>
                <c:pt idx="9">
                  <c:v>2480</c:v>
                </c:pt>
                <c:pt idx="10">
                  <c:v>3340</c:v>
                </c:pt>
                <c:pt idx="11">
                  <c:v>4150</c:v>
                </c:pt>
                <c:pt idx="12">
                  <c:v>1487</c:v>
                </c:pt>
                <c:pt idx="13">
                  <c:v>1895.5</c:v>
                </c:pt>
                <c:pt idx="14">
                  <c:v>2062.5</c:v>
                </c:pt>
                <c:pt idx="15">
                  <c:v>2356</c:v>
                </c:pt>
                <c:pt idx="16">
                  <c:v>3172.5</c:v>
                </c:pt>
                <c:pt idx="17">
                  <c:v>3940.5</c:v>
                </c:pt>
                <c:pt idx="18">
                  <c:v>1487</c:v>
                </c:pt>
                <c:pt idx="19">
                  <c:v>1895.5</c:v>
                </c:pt>
                <c:pt idx="20">
                  <c:v>2062.5</c:v>
                </c:pt>
                <c:pt idx="21">
                  <c:v>2356</c:v>
                </c:pt>
                <c:pt idx="22">
                  <c:v>3172.5</c:v>
                </c:pt>
                <c:pt idx="23">
                  <c:v>3940.5</c:v>
                </c:pt>
                <c:pt idx="24">
                  <c:v>4420</c:v>
                </c:pt>
                <c:pt idx="25">
                  <c:v>4817.5</c:v>
                </c:pt>
                <c:pt idx="26">
                  <c:v>5375</c:v>
                </c:pt>
                <c:pt idx="27">
                  <c:v>1747.5</c:v>
                </c:pt>
                <c:pt idx="28">
                  <c:v>2157.5</c:v>
                </c:pt>
                <c:pt idx="29">
                  <c:v>2311.5</c:v>
                </c:pt>
                <c:pt idx="30">
                  <c:v>2382.5</c:v>
                </c:pt>
                <c:pt idx="31">
                  <c:v>2709</c:v>
                </c:pt>
                <c:pt idx="32">
                  <c:v>2840</c:v>
                </c:pt>
                <c:pt idx="33">
                  <c:v>3225</c:v>
                </c:pt>
                <c:pt idx="34">
                  <c:v>1105</c:v>
                </c:pt>
                <c:pt idx="35">
                  <c:v>1205</c:v>
                </c:pt>
                <c:pt idx="36">
                  <c:v>1470</c:v>
                </c:pt>
                <c:pt idx="37">
                  <c:v>1062</c:v>
                </c:pt>
                <c:pt idx="38">
                  <c:v>2250</c:v>
                </c:pt>
                <c:pt idx="39">
                  <c:v>2500</c:v>
                </c:pt>
                <c:pt idx="40">
                  <c:v>3050</c:v>
                </c:pt>
                <c:pt idx="41">
                  <c:v>3750</c:v>
                </c:pt>
                <c:pt idx="42">
                  <c:v>655.13</c:v>
                </c:pt>
                <c:pt idx="43">
                  <c:v>887.5</c:v>
                </c:pt>
                <c:pt idx="44">
                  <c:v>1865</c:v>
                </c:pt>
                <c:pt idx="45">
                  <c:v>2050</c:v>
                </c:pt>
                <c:pt idx="46">
                  <c:v>2595</c:v>
                </c:pt>
                <c:pt idx="47">
                  <c:v>3195</c:v>
                </c:pt>
                <c:pt idx="48">
                  <c:v>2507.5</c:v>
                </c:pt>
                <c:pt idx="49">
                  <c:v>2620</c:v>
                </c:pt>
                <c:pt idx="50">
                  <c:v>2800</c:v>
                </c:pt>
                <c:pt idx="51">
                  <c:v>2882.5</c:v>
                </c:pt>
                <c:pt idx="52">
                  <c:v>3102.5</c:v>
                </c:pt>
                <c:pt idx="53">
                  <c:v>3250</c:v>
                </c:pt>
                <c:pt idx="54">
                  <c:v>6177.5</c:v>
                </c:pt>
                <c:pt idx="55">
                  <c:v>7385</c:v>
                </c:pt>
                <c:pt idx="56">
                  <c:v>10085</c:v>
                </c:pt>
                <c:pt idx="57">
                  <c:v>2502.5</c:v>
                </c:pt>
                <c:pt idx="58">
                  <c:v>2505</c:v>
                </c:pt>
                <c:pt idx="59">
                  <c:v>1200</c:v>
                </c:pt>
                <c:pt idx="60">
                  <c:v>1387.5</c:v>
                </c:pt>
                <c:pt idx="61">
                  <c:v>1562.5</c:v>
                </c:pt>
                <c:pt idx="62">
                  <c:v>1737.5</c:v>
                </c:pt>
                <c:pt idx="63">
                  <c:v>950</c:v>
                </c:pt>
              </c:numCache>
            </c:numRef>
          </c:yVal>
          <c:smooth val="0"/>
          <c:extLst>
            <c:ext xmlns:c16="http://schemas.microsoft.com/office/drawing/2014/chart" uri="{C3380CC4-5D6E-409C-BE32-E72D297353CC}">
              <c16:uniqueId val="{00000003-1EA9-4B27-BE78-3600005328A2}"/>
            </c:ext>
          </c:extLst>
        </c:ser>
        <c:dLbls>
          <c:showLegendKey val="0"/>
          <c:showVal val="0"/>
          <c:showCatName val="0"/>
          <c:showSerName val="0"/>
          <c:showPercent val="0"/>
          <c:showBubbleSize val="0"/>
        </c:dLbls>
        <c:axId val="888987992"/>
        <c:axId val="888989072"/>
      </c:scatterChart>
      <c:valAx>
        <c:axId val="888987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Puissance</a:t>
                </a:r>
                <a:r>
                  <a:rPr lang="fr-CA" baseline="0"/>
                  <a:t> des appareils</a:t>
                </a:r>
              </a:p>
              <a:p>
                <a:pPr>
                  <a:defRPr/>
                </a:pPr>
                <a:r>
                  <a:rPr lang="fr-CA" baseline="0"/>
                  <a:t>(Btu/h)</a:t>
                </a:r>
                <a:endParaRPr lang="fr-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8989072"/>
        <c:crosses val="autoZero"/>
        <c:crossBetween val="midCat"/>
      </c:valAx>
      <c:valAx>
        <c:axId val="88898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Montants</a:t>
                </a:r>
                <a:r>
                  <a:rPr lang="fr-CA" baseline="0"/>
                  <a:t> ($)</a:t>
                </a:r>
                <a:endParaRPr lang="fr-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CA"/>
            </a:p>
          </c:txPr>
        </c:title>
        <c:numFmt formatCode="_ * #\ ##0_)\ &quot;$&quot;_ ;_ * \(#\ ##0\)\ &quot;$&quot;_ ;_ * &quot;-&quot;??_)\ &quot;$&quot;_ ;_ @_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8987992"/>
        <c:crosses val="autoZero"/>
        <c:crossBetween val="midCat"/>
      </c:valAx>
      <c:spPr>
        <a:noFill/>
        <a:ln>
          <a:noFill/>
        </a:ln>
        <a:effectLst/>
      </c:spPr>
    </c:plotArea>
    <c:legend>
      <c:legendPos val="r"/>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160480</xdr:colOff>
      <xdr:row>0</xdr:row>
      <xdr:rowOff>56364</xdr:rowOff>
    </xdr:from>
    <xdr:to>
      <xdr:col>3</xdr:col>
      <xdr:colOff>1926700</xdr:colOff>
      <xdr:row>1</xdr:row>
      <xdr:rowOff>54157</xdr:rowOff>
    </xdr:to>
    <xdr:pic>
      <xdr:nvPicPr>
        <xdr:cNvPr id="5" name="Picture 4">
          <a:extLst>
            <a:ext uri="{FF2B5EF4-FFF2-40B4-BE49-F238E27FC236}">
              <a16:creationId xmlns:a16="http://schemas.microsoft.com/office/drawing/2014/main" id="{158D94F3-3671-2D85-805C-CA5BE3E49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545" y="56364"/>
          <a:ext cx="2191781" cy="822906"/>
        </a:xfrm>
        <a:prstGeom prst="rect">
          <a:avLst/>
        </a:prstGeom>
      </xdr:spPr>
    </xdr:pic>
    <xdr:clientData/>
  </xdr:twoCellAnchor>
  <xdr:twoCellAnchor editAs="oneCell">
    <xdr:from>
      <xdr:col>1</xdr:col>
      <xdr:colOff>160480</xdr:colOff>
      <xdr:row>0</xdr:row>
      <xdr:rowOff>56364</xdr:rowOff>
    </xdr:from>
    <xdr:to>
      <xdr:col>3</xdr:col>
      <xdr:colOff>1926700</xdr:colOff>
      <xdr:row>1</xdr:row>
      <xdr:rowOff>54157</xdr:rowOff>
    </xdr:to>
    <xdr:pic>
      <xdr:nvPicPr>
        <xdr:cNvPr id="2" name="Picture 1">
          <a:extLst>
            <a:ext uri="{FF2B5EF4-FFF2-40B4-BE49-F238E27FC236}">
              <a16:creationId xmlns:a16="http://schemas.microsoft.com/office/drawing/2014/main" id="{4E6CAFFA-1377-470B-B62A-23A9BC21E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840" y="56364"/>
          <a:ext cx="2192940" cy="835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156210</xdr:colOff>
      <xdr:row>48</xdr:row>
      <xdr:rowOff>121920</xdr:rowOff>
    </xdr:from>
    <xdr:to>
      <xdr:col>5</xdr:col>
      <xdr:colOff>862965</xdr:colOff>
      <xdr:row>49</xdr:row>
      <xdr:rowOff>262890</xdr:rowOff>
    </xdr:to>
    <xdr:sp macro="" textlink="">
      <xdr:nvSpPr>
        <xdr:cNvPr id="3" name="Triangle isocèle 8">
          <a:extLst>
            <a:ext uri="{FF2B5EF4-FFF2-40B4-BE49-F238E27FC236}">
              <a16:creationId xmlns:a16="http://schemas.microsoft.com/office/drawing/2014/main" id="{0FAD51A2-2C17-4514-9225-05FF21C049E4}"/>
            </a:ext>
          </a:extLst>
        </xdr:cNvPr>
        <xdr:cNvSpPr/>
      </xdr:nvSpPr>
      <xdr:spPr>
        <a:xfrm flipV="1">
          <a:off x="3829050" y="6903720"/>
          <a:ext cx="706755" cy="32385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tIns="108000" rIns="144000" bIns="108000" rtlCol="0" anchor="ctr">
          <a:noAutofit/>
        </a:bodyPr>
        <a:lstStyle/>
        <a:p>
          <a:pPr algn="l">
            <a:spcBef>
              <a:spcPts val="600"/>
            </a:spcBef>
          </a:pPr>
          <a:endParaRPr lang="fr-CA" sz="1600" b="1" dirty="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0</xdr:colOff>
      <xdr:row>23</xdr:row>
      <xdr:rowOff>0</xdr:rowOff>
    </xdr:from>
    <xdr:ext cx="5492115" cy="1376680"/>
    <xdr:pic>
      <xdr:nvPicPr>
        <xdr:cNvPr id="5" name="Picture 4" descr="A table with numbers and letters&#10;&#10;AI-generated content may be incorrect.">
          <a:extLst>
            <a:ext uri="{FF2B5EF4-FFF2-40B4-BE49-F238E27FC236}">
              <a16:creationId xmlns:a16="http://schemas.microsoft.com/office/drawing/2014/main" id="{FB3ACEC4-411A-489B-B183-AD2D3B4C4196}"/>
            </a:ext>
          </a:extLst>
        </xdr:cNvPr>
        <xdr:cNvPicPr>
          <a:picLocks noChangeAspect="1"/>
        </xdr:cNvPicPr>
      </xdr:nvPicPr>
      <xdr:blipFill>
        <a:blip xmlns:r="http://schemas.openxmlformats.org/officeDocument/2006/relationships" r:embed="rId1"/>
        <a:stretch>
          <a:fillRect/>
        </a:stretch>
      </xdr:blipFill>
      <xdr:spPr>
        <a:xfrm>
          <a:off x="6248400" y="4206240"/>
          <a:ext cx="5492115" cy="1376680"/>
        </a:xfrm>
        <a:prstGeom prst="rect">
          <a:avLst/>
        </a:prstGeom>
      </xdr:spPr>
    </xdr:pic>
    <xdr:clientData/>
  </xdr:oneCellAnchor>
  <xdr:oneCellAnchor>
    <xdr:from>
      <xdr:col>10</xdr:col>
      <xdr:colOff>0</xdr:colOff>
      <xdr:row>31</xdr:row>
      <xdr:rowOff>0</xdr:rowOff>
    </xdr:from>
    <xdr:ext cx="3468370" cy="1466215"/>
    <xdr:pic>
      <xdr:nvPicPr>
        <xdr:cNvPr id="6" name="Picture 5" descr="A blue and white chart with white text&#10;&#10;AI-generated content may be incorrect.">
          <a:extLst>
            <a:ext uri="{FF2B5EF4-FFF2-40B4-BE49-F238E27FC236}">
              <a16:creationId xmlns:a16="http://schemas.microsoft.com/office/drawing/2014/main" id="{D9B35F72-E27B-4BC4-8570-54FCEE4B8191}"/>
            </a:ext>
          </a:extLst>
        </xdr:cNvPr>
        <xdr:cNvPicPr>
          <a:picLocks noChangeAspect="1"/>
        </xdr:cNvPicPr>
      </xdr:nvPicPr>
      <xdr:blipFill>
        <a:blip xmlns:r="http://schemas.openxmlformats.org/officeDocument/2006/relationships" r:embed="rId2"/>
        <a:stretch>
          <a:fillRect/>
        </a:stretch>
      </xdr:blipFill>
      <xdr:spPr>
        <a:xfrm>
          <a:off x="6248400" y="5669280"/>
          <a:ext cx="3468370" cy="1466215"/>
        </a:xfrm>
        <a:prstGeom prst="rect">
          <a:avLst/>
        </a:prstGeom>
      </xdr:spPr>
    </xdr:pic>
    <xdr:clientData/>
  </xdr:oneCellAnchor>
  <xdr:oneCellAnchor>
    <xdr:from>
      <xdr:col>10</xdr:col>
      <xdr:colOff>0</xdr:colOff>
      <xdr:row>39</xdr:row>
      <xdr:rowOff>0</xdr:rowOff>
    </xdr:from>
    <xdr:ext cx="3751580" cy="539750"/>
    <xdr:pic>
      <xdr:nvPicPr>
        <xdr:cNvPr id="7" name="Picture 6" descr="A close-up of a number&#10;&#10;AI-generated content may be incorrect.">
          <a:extLst>
            <a:ext uri="{FF2B5EF4-FFF2-40B4-BE49-F238E27FC236}">
              <a16:creationId xmlns:a16="http://schemas.microsoft.com/office/drawing/2014/main" id="{BFEFC47C-27F1-4573-81AE-5D14649E7537}"/>
            </a:ext>
          </a:extLst>
        </xdr:cNvPr>
        <xdr:cNvPicPr>
          <a:picLocks noChangeAspect="1"/>
        </xdr:cNvPicPr>
      </xdr:nvPicPr>
      <xdr:blipFill>
        <a:blip xmlns:r="http://schemas.openxmlformats.org/officeDocument/2006/relationships" r:embed="rId3"/>
        <a:stretch>
          <a:fillRect/>
        </a:stretch>
      </xdr:blipFill>
      <xdr:spPr>
        <a:xfrm>
          <a:off x="6248400" y="7132320"/>
          <a:ext cx="3751580" cy="539750"/>
        </a:xfrm>
        <a:prstGeom prst="rect">
          <a:avLst/>
        </a:prstGeom>
      </xdr:spPr>
    </xdr:pic>
    <xdr:clientData/>
  </xdr:oneCellAnchor>
  <xdr:oneCellAnchor>
    <xdr:from>
      <xdr:col>10</xdr:col>
      <xdr:colOff>0</xdr:colOff>
      <xdr:row>42</xdr:row>
      <xdr:rowOff>0</xdr:rowOff>
    </xdr:from>
    <xdr:ext cx="4322445" cy="1632585"/>
    <xdr:pic>
      <xdr:nvPicPr>
        <xdr:cNvPr id="8" name="Picture 7" descr="A screenshot of a calculator&#10;&#10;AI-generated content may be incorrect.">
          <a:extLst>
            <a:ext uri="{FF2B5EF4-FFF2-40B4-BE49-F238E27FC236}">
              <a16:creationId xmlns:a16="http://schemas.microsoft.com/office/drawing/2014/main" id="{7FF72CEE-7F38-42C5-9C46-EE33607C025A}"/>
            </a:ext>
          </a:extLst>
        </xdr:cNvPr>
        <xdr:cNvPicPr>
          <a:picLocks noChangeAspect="1"/>
        </xdr:cNvPicPr>
      </xdr:nvPicPr>
      <xdr:blipFill>
        <a:blip xmlns:r="http://schemas.openxmlformats.org/officeDocument/2006/relationships" r:embed="rId4"/>
        <a:stretch>
          <a:fillRect/>
        </a:stretch>
      </xdr:blipFill>
      <xdr:spPr>
        <a:xfrm>
          <a:off x="6248400" y="7680960"/>
          <a:ext cx="4322445" cy="1632585"/>
        </a:xfrm>
        <a:prstGeom prst="rect">
          <a:avLst/>
        </a:prstGeom>
      </xdr:spPr>
    </xdr:pic>
    <xdr:clientData/>
  </xdr:oneCellAnchor>
  <xdr:oneCellAnchor>
    <xdr:from>
      <xdr:col>10</xdr:col>
      <xdr:colOff>0</xdr:colOff>
      <xdr:row>51</xdr:row>
      <xdr:rowOff>0</xdr:rowOff>
    </xdr:from>
    <xdr:ext cx="5492115" cy="3859530"/>
    <xdr:pic>
      <xdr:nvPicPr>
        <xdr:cNvPr id="9" name="Picture 8" descr="A white paper with black text and black text&#10;&#10;AI-generated content may be incorrect.">
          <a:extLst>
            <a:ext uri="{FF2B5EF4-FFF2-40B4-BE49-F238E27FC236}">
              <a16:creationId xmlns:a16="http://schemas.microsoft.com/office/drawing/2014/main" id="{3325CCC1-B311-4829-960C-6C184E65AB58}"/>
            </a:ext>
          </a:extLst>
        </xdr:cNvPr>
        <xdr:cNvPicPr>
          <a:picLocks noChangeAspect="1"/>
        </xdr:cNvPicPr>
      </xdr:nvPicPr>
      <xdr:blipFill>
        <a:blip xmlns:r="http://schemas.openxmlformats.org/officeDocument/2006/relationships" r:embed="rId5"/>
        <a:stretch>
          <a:fillRect/>
        </a:stretch>
      </xdr:blipFill>
      <xdr:spPr>
        <a:xfrm>
          <a:off x="6248400" y="9326880"/>
          <a:ext cx="5492115" cy="3859530"/>
        </a:xfrm>
        <a:prstGeom prst="rect">
          <a:avLst/>
        </a:prstGeom>
      </xdr:spPr>
    </xdr:pic>
    <xdr:clientData/>
  </xdr:oneCellAnchor>
  <xdr:oneCellAnchor>
    <xdr:from>
      <xdr:col>15</xdr:col>
      <xdr:colOff>0</xdr:colOff>
      <xdr:row>24</xdr:row>
      <xdr:rowOff>0</xdr:rowOff>
    </xdr:from>
    <xdr:ext cx="5558790" cy="1922145"/>
    <xdr:pic>
      <xdr:nvPicPr>
        <xdr:cNvPr id="10" name="Picture 9" descr="A table with numbers and percentages&#10;&#10;AI-generated content may be incorrect.">
          <a:extLst>
            <a:ext uri="{FF2B5EF4-FFF2-40B4-BE49-F238E27FC236}">
              <a16:creationId xmlns:a16="http://schemas.microsoft.com/office/drawing/2014/main" id="{21F80B89-D51F-4C8C-B7B7-6FB8676815C8}"/>
            </a:ext>
          </a:extLst>
        </xdr:cNvPr>
        <xdr:cNvPicPr>
          <a:picLocks noChangeAspect="1"/>
        </xdr:cNvPicPr>
      </xdr:nvPicPr>
      <xdr:blipFill>
        <a:blip xmlns:r="http://schemas.openxmlformats.org/officeDocument/2006/relationships" r:embed="rId6"/>
        <a:stretch>
          <a:fillRect/>
        </a:stretch>
      </xdr:blipFill>
      <xdr:spPr>
        <a:xfrm>
          <a:off x="9372600" y="4389120"/>
          <a:ext cx="5558790" cy="1922145"/>
        </a:xfrm>
        <a:prstGeom prst="rect">
          <a:avLst/>
        </a:prstGeom>
      </xdr:spPr>
    </xdr:pic>
    <xdr:clientData/>
  </xdr:oneCellAnchor>
  <xdr:oneCellAnchor>
    <xdr:from>
      <xdr:col>15</xdr:col>
      <xdr:colOff>0</xdr:colOff>
      <xdr:row>35</xdr:row>
      <xdr:rowOff>0</xdr:rowOff>
    </xdr:from>
    <xdr:ext cx="4175760" cy="1394460"/>
    <xdr:pic>
      <xdr:nvPicPr>
        <xdr:cNvPr id="11" name="Picture 10" descr="A screenshot of a computer&#10;&#10;AI-generated content may be incorrect.">
          <a:extLst>
            <a:ext uri="{FF2B5EF4-FFF2-40B4-BE49-F238E27FC236}">
              <a16:creationId xmlns:a16="http://schemas.microsoft.com/office/drawing/2014/main" id="{915A2C06-02C9-4984-8DC9-576BD4A8E074}"/>
            </a:ext>
          </a:extLst>
        </xdr:cNvPr>
        <xdr:cNvPicPr>
          <a:picLocks noChangeAspect="1"/>
        </xdr:cNvPicPr>
      </xdr:nvPicPr>
      <xdr:blipFill>
        <a:blip xmlns:r="http://schemas.openxmlformats.org/officeDocument/2006/relationships" r:embed="rId7"/>
        <a:stretch>
          <a:fillRect/>
        </a:stretch>
      </xdr:blipFill>
      <xdr:spPr>
        <a:xfrm>
          <a:off x="9372600" y="6400800"/>
          <a:ext cx="4175760" cy="139446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489501</xdr:colOff>
      <xdr:row>188</xdr:row>
      <xdr:rowOff>165072</xdr:rowOff>
    </xdr:from>
    <xdr:to>
      <xdr:col>6</xdr:col>
      <xdr:colOff>198120</xdr:colOff>
      <xdr:row>219</xdr:row>
      <xdr:rowOff>106680</xdr:rowOff>
    </xdr:to>
    <xdr:graphicFrame macro="">
      <xdr:nvGraphicFramePr>
        <xdr:cNvPr id="2" name="Chart 1">
          <a:extLst>
            <a:ext uri="{FF2B5EF4-FFF2-40B4-BE49-F238E27FC236}">
              <a16:creationId xmlns:a16="http://schemas.microsoft.com/office/drawing/2014/main" id="{D8E4829E-65B9-41EB-8938-EB50FDFD6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182880</xdr:colOff>
      <xdr:row>0</xdr:row>
      <xdr:rowOff>171450</xdr:rowOff>
    </xdr:from>
    <xdr:to>
      <xdr:col>15</xdr:col>
      <xdr:colOff>76200</xdr:colOff>
      <xdr:row>21</xdr:row>
      <xdr:rowOff>160020</xdr:rowOff>
    </xdr:to>
    <xdr:graphicFrame macro="">
      <xdr:nvGraphicFramePr>
        <xdr:cNvPr id="2" name="Chart 1">
          <a:extLst>
            <a:ext uri="{FF2B5EF4-FFF2-40B4-BE49-F238E27FC236}">
              <a16:creationId xmlns:a16="http://schemas.microsoft.com/office/drawing/2014/main" id="{FA355ADA-E34B-78EC-75BF-203128BC6B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20</xdr:col>
      <xdr:colOff>44450</xdr:colOff>
      <xdr:row>2</xdr:row>
      <xdr:rowOff>33337</xdr:rowOff>
    </xdr:from>
    <xdr:to>
      <xdr:col>27</xdr:col>
      <xdr:colOff>673100</xdr:colOff>
      <xdr:row>17</xdr:row>
      <xdr:rowOff>65087</xdr:rowOff>
    </xdr:to>
    <xdr:graphicFrame macro="">
      <xdr:nvGraphicFramePr>
        <xdr:cNvPr id="2" name="Graphique 1">
          <a:extLst>
            <a:ext uri="{FF2B5EF4-FFF2-40B4-BE49-F238E27FC236}">
              <a16:creationId xmlns:a16="http://schemas.microsoft.com/office/drawing/2014/main" id="{2852E1B6-32FA-A34C-58CE-B2BB4B64C3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SCGM-Donn&#233;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Scgm-p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0-2011\Rapport%20annuel\Chiffrier%20RA%202010-2011\SCGM-Donn&#233;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SCGM-PT-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20pour%20tets%20a%20posterirori\SCGM-Donn&#233;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zmet.com\dfs\dfs\MTL\Usagers_06\na85017\Documents%20R&#233;seaux\VentesPar\na85017\2010-2011\chiffrier\SCGM-PT-4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Chiffrier%20d&#233;pot%20R&#233;gie%20avec%20anciens%20cas%20type%20PE202et%20Pe210\SCGM-Donn&#233;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zmet.com\dfs\MTL\Usagers_06\na85017\Documents%20R&#233;seaux\VentesPar\na85017\2014-2015\Chiffrier%20CT%202015\SCGM-PT-13.xls" TargetMode="External"/></Relationships>
</file>

<file path=xl/externalLinks/_rels/externalLink9.xml.rels><?xml version="1.0" encoding="UTF-8" standalone="yes"?>
<Relationships xmlns="http://schemas.openxmlformats.org/package/2006/relationships"><Relationship Id="rId3" Type="http://schemas.openxmlformats.org/officeDocument/2006/relationships/externalLinkPath" Target="https://energir.sharepoint.com/sites/ENRG-Marketing-EfficaciteEnergetique-valuations/Documents%20partages/&#201;valuations/Suivi%20des%20recommandations/Simulation%20-%20Modalit&#233;%20d'aide%20financi&#232;re/A&#233;rotherme%20et%20Combo%20P.9/TCTR%20Combo%20P9%20-%20TEST.xlsx" TargetMode="External"/><Relationship Id="rId2" Type="http://schemas.microsoft.com/office/2019/04/relationships/externalLinkLongPath" Target="/sites/ENRG-Marketing-EfficaciteEnergetique-valuations/Documents%20partages/&#201;valuations/Suivi%20des%20recommandations/Simulation%20-%20Modalit&#233;%20d'aide%20financi&#232;re/A&#233;rotherme%20et%20Combo%20P.9/A&#233;rothermes/TCTR%20Combo%20P9%20-%20TEST.xlsx?04187475" TargetMode="External"/><Relationship Id="rId1" Type="http://schemas.openxmlformats.org/officeDocument/2006/relationships/externalLinkPath" Target="file:///\\04187475\TCTR%20Combo%20P9%20-%20TES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azmet.com\dfs\MTL\Usagers_06\na85017\Documents%20R&#233;seaux\VentesPar\na85017\2014-2015\Chiffrier%20CT%202015\SCGM-PT-4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azmet.com\dfs\Marketing\Marketing\Suivi_2017-2018\PGE&#201;_et_SPEDE\R&#233;gie\Rapport_annuel_2017\Fiche%20de%20programme%20RA%202017%20&#224;%20partir%20de%20CT2017V%20corrig&#23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azmet.com\dfs\MTL\Usagers_06\na85017\Documents%20R&#233;seaux\VentesPar\na85017\2014-2015\Chiffrier%20CT%202015\SCGM-Donn&#233;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AccèsIntangibles" refersTo="='Données cachées hé hé'!$S$70:$S$109"/>
      <definedName name="AccèsTangibles" refersTo="='Données cachées hé hé'!$S$10:$S$69"/>
      <definedName name="AnnéeDépart" refersTo="='Données générales'!$E$51"/>
      <definedName name="AnnéeSCGM" refersTo="='Données cachées hé hé'!$H$10:$K$57"/>
      <definedName name="Budgets" refersTo="='Budgets cachés'!$B$9:$U$108"/>
      <definedName name="BudgetsPICAn1" refersTo="='Répartition des budgets'!$E$130:$O$149"/>
      <definedName name="BudgetsPICAn2" refersTo="='Répartition des budgets'!$P$130:$W$149"/>
      <definedName name="BudgetsPICAn3" refersTo="='Répartition des budgets'!$Y$130:$AG$150"/>
      <definedName name="BudgetsPICPlan" refersTo="='Répartition des budgets'!$AH$130:$AM$150"/>
      <definedName name="BudgetsPIRAn1" refersTo="='Répartition des budgets'!$E$106:$O$126"/>
      <definedName name="BudgetsPIRAn2" refersTo="='Répartition des budgets'!$P$106:$X$126"/>
      <definedName name="BudgetsPIRAn3" refersTo="='Répartition des budgets'!$Y$106:$AG$126"/>
      <definedName name="BudgetsPIRPlan" refersTo="='Répartition des budgets'!$AH$106:$AM$126"/>
      <definedName name="BudgetsPTCAn1" refersTo="='Répartition des budgets'!$E$58:$O$78"/>
      <definedName name="BudgetsPTCAn2" refersTo="='Répartition des budgets'!$P$58:$X$78"/>
      <definedName name="BudgetsPTCAn3" refersTo="='Répartition des budgets'!$Y$58:$AG$78"/>
      <definedName name="BudgetsPTCPlan" refersTo="='Répartition des budgets'!$AH$58:$AM$78"/>
      <definedName name="BudgetsPTRAn1" refersTo="='Répartition des budgets'!$E$34:$O$54"/>
      <definedName name="BudgetsPTRAn2" refersTo="='Répartition des budgets'!$P$34:$X$54"/>
      <definedName name="BudgetsPTRAn3" refersTo="='Répartition des budgets'!$Y$34:$AG$54"/>
      <definedName name="BudgetsPTRPlan" refersTo="='Répartition des budgets'!$AH$34:$AM$54"/>
      <definedName name="BudgetsPTVAn1" refersTo="='Répartition des budgets'!$E$82:$O$102"/>
      <definedName name="BudgetsPTVAn2" refersTo="='Répartition des budgets'!$P$82:$X$102"/>
      <definedName name="BudgetsPTVAn3" refersTo="='Répartition des budgets'!$Y$82:$AG$102"/>
      <definedName name="BudgetsPTVPlan" refersTo="='Répartition des budgets'!$AH$82:$AM$102"/>
      <definedName name="BudgetsSupAdmAn1" refersTo="='Répartition des budgets'!$G$23:$O$30"/>
      <definedName name="BudgetsSupAdmAn2" refersTo="='Répartition des budgets'!$P$23:$X$30"/>
      <definedName name="BudgetsSupAdmAn3" refersTo="='Répartition des budgets'!$Y$23:$AG$30"/>
      <definedName name="ComposantesGES" refersTo="='Données générales'!$N$39:$Q$51"/>
      <definedName name="CoûtsCO2" refersTo="='Données générales'!$P$49:$Q$51"/>
      <definedName name="Ct_1" refersTo="='Données générales'!$P$49"/>
      <definedName name="Ct_2" refersTo="='Données générales'!$P$50"/>
      <definedName name="Ct_3" refersTo="='Données générales'!$P$51"/>
      <definedName name="ÉtudRechRéal" refersTo="='Activités de recherche'!$P$11"/>
      <definedName name="FichiersIntangCII" refersTo="#REF!"/>
      <definedName name="FichiersIntangRés" refersTo="#REF!"/>
      <definedName name="FichiersTangCII" refersTo="='Programmes tangibles'!$AH$24:$AH$43"/>
      <definedName name="FichiersTangRés" refersTo="='Programmes tangibles'!$I$24:$I$43"/>
      <definedName name="FichiersTangVGE" refersTo="='Programmes tangibles'!$BG$24:$BG$43"/>
      <definedName name="MoisAnnéeSCGM" refersTo="='Données cachées hé hé'!$D$9:$E$20"/>
      <definedName name="MoisComplété" refersTo="='Données générales'!$J$51"/>
      <definedName name="NbMois" refersTo="='Données cachées hé hé'!$E$26"/>
      <definedName name="NbProgrammes" refersTo="='Répartition des budgets'!$F$5"/>
      <definedName name="ProgIntangiblesCII" refersTo="='Programmes intangibles'!$AH$24:$AV$43"/>
      <definedName name="ProgIntangiblesRés" refersTo="='Programmes intangibles'!$I$24:$W$43"/>
      <definedName name="ProgTangiblesCII" refersTo="='Programmes tangibles'!$AH$24:$AV$43"/>
      <definedName name="ProgTangiblesRés" refersTo="='Programmes tangibles'!$I$24:$W$43"/>
      <definedName name="ProgTangiblesVGE" refersTo="='Programmes tangibles'!$BG$24:$BU$43"/>
      <definedName name="RevenusImpactTarif" refersTo="='Données générales'!$I$44"/>
      <definedName name="RevenusTotauxImpactTarif" refersTo="='Données générales'!$I$45"/>
      <definedName name="SupportAdministration" refersTo="='Répartition des budgets'!$E$23:$F$28"/>
      <definedName name="TotalRépartAn1" refersTo="='Répartition des budgets'!$O$29"/>
      <definedName name="TotalRépartAn2" refersTo="='Répartition des budgets'!$X$29"/>
      <definedName name="TotalRépartAn3" refersTo="='Répartition des budgets'!$AG$29"/>
      <definedName name="TotalSupAdmAN1" refersTo="='Répartition des budgets'!$O$30"/>
      <definedName name="TotalSupAdmAN2" refersTo="='Répartition des budgets'!$X$30"/>
      <definedName name="TotalSupAdmAN3" refersTo="='Répartition des budgets'!$AG$30"/>
      <definedName name="TotalSupAdmProg" refersTo="='Répartition des budgets'!$AM$30"/>
      <definedName name="TpClientèles" refersTo="='Données cachées hé hé'!$AG$12:$AI$14"/>
      <definedName name="VANSansSub" refersTo="#REF!"/>
      <definedName name="VersCourOutils" refersTo="='Données cachées hé hé'!$Z$14"/>
      <definedName name="VersCourPEE" refersTo="='Données cachées hé hé'!$Z$13"/>
      <definedName name="VolumeImpactTarif" refersTo="='Données générales'!$I$43"/>
    </definedNames>
    <sheetDataSet>
      <sheetData sheetId="0" refreshError="1"/>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Mise en page"/>
      <sheetName val="Contrôle Accès"/>
      <sheetName val="Répartition des budgets du plan"/>
      <sheetName val="Rapport suivi et implantation"/>
      <sheetName val="Réduction des externalités (kg)"/>
      <sheetName val="Réduction des externalités ($)"/>
      <sheetName val="Économies unitaires"/>
      <sheetName val="Feuille cachée!"/>
      <sheetName val="Tableaux de bord"/>
      <sheetName val="Récapitulatif financier"/>
      <sheetName val="Pertes revenus"/>
      <sheetName val="PRI"/>
      <sheetName val="Récompenses"/>
      <sheetName val="Récompense globale"/>
      <sheetName val="Figure II"/>
      <sheetName val="Impact sur revenus"/>
      <sheetName val="Comparatif de tests"/>
      <sheetName val="Feuil1"/>
      <sheetName val="Feui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BudgetsSupAdmAn1" refersTo="='Répartition des budgets'!$G$23:$O$30"/>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Récompenses"/>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sult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Ct_2" refersTo="='Données générales'!$P$50"/>
      <definedName name="ProgTangiblesRés" refersTo="='Programmes tangibles'!$I$24:$W$43"/>
    </definedNames>
    <sheetDataSet>
      <sheetData sheetId="0" refreshError="1"/>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Récompenses"/>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sultats"/>
    </sheetNames>
    <sheetDataSet>
      <sheetData sheetId="0"/>
      <sheetData sheetId="1" refreshError="1"/>
      <sheetData sheetId="2" refreshError="1"/>
      <sheetData sheetId="3"/>
      <sheetData sheetId="4"/>
      <sheetData sheetId="5" refreshError="1"/>
      <sheetData sheetId="6"/>
      <sheetData sheetId="7"/>
      <sheetData sheetId="8"/>
      <sheetData sheetId="9"/>
      <sheetData sheetId="10"/>
      <sheetData sheetId="11" refreshError="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ProgIntangiblesCII" refersTo="='Programmes intangibles'!$AH$24:$AV$43"/>
    </defined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compenses"/>
      <sheetName val="Résultat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CTR test PE212"/>
      <sheetName val="Combo P9"/>
      <sheetName val="CT2022 NC 2025"/>
      <sheetName val="PE233"/>
      <sheetName val="PE226"/>
      <sheetName val="PE215"/>
      <sheetName val="PE224"/>
      <sheetName val="TCTR sensibilité"/>
      <sheetName val="Coûts évités"/>
      <sheetName val="Paramètres économiq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Récompenses"/>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sultat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124"/>
      <sheetName val="NOTE"/>
      <sheetName val="Paramètre"/>
      <sheetName val="PE103"/>
      <sheetName val="PE106"/>
      <sheetName val="PE111"/>
      <sheetName val="PE113"/>
      <sheetName val="PE123"/>
      <sheetName val="PE126"/>
      <sheetName val="VALIDATION résidentiel"/>
      <sheetName val="PE202"/>
      <sheetName val="PE204"/>
      <sheetName val="PE207"/>
      <sheetName val="PE208"/>
      <sheetName val="PE210"/>
      <sheetName val="PE212"/>
      <sheetName val="PE215"/>
      <sheetName val="PE220"/>
      <sheetName val="PE224"/>
      <sheetName val="PE225"/>
      <sheetName val="PE226"/>
      <sheetName val="PE233"/>
      <sheetName val="PE234"/>
      <sheetName val="PE235"/>
      <sheetName val="PE236"/>
      <sheetName val="PE221"/>
      <sheetName val="VALIDATION CII"/>
      <sheetName val="PE211"/>
      <sheetName val="PE214"/>
      <sheetName val="PE218"/>
      <sheetName val="PE219"/>
      <sheetName val="VALIDATION vge"/>
      <sheetName val="PE217"/>
      <sheetName val="PE213"/>
      <sheetName val="Tableau 1"/>
      <sheetName val="Tableau 2"/>
      <sheetName val="Tableau 3"/>
      <sheetName val="Tableaux 4 et 5"/>
      <sheetName val="Tableau D RÉPART BUDGET"/>
      <sheetName val="Tableau 6"/>
      <sheetName val=" Tableau Annexe"/>
      <sheetName val="Tableau FCompar avec BNÉ"/>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Feuil2"/>
      <sheetName val="SCGM-Données"/>
    </sheetNames>
    <definedNames>
      <definedName name="TauxInflation" refersTo="='Données générales'!$E$2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Ye Bernard" id="{66AB2D2F-6E82-4B88-AB2F-C150ACFA3F3D}" userId="S::bernard.ye@energir.com::369c1fd1-0685-4ec5-b26e-f671dd7791c5"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refreshOnLoad="1" connectionId="1" xr16:uid="{DDA555BF-8CEC-4207-AEA0-AAF8ABCED2AC}" autoFormatId="16" applyNumberFormats="0" applyBorderFormats="0" applyFontFormats="0" applyPatternFormats="0" applyAlignmentFormats="0" applyWidthHeightFormats="0">
  <queryTableRefresh nextId="6">
    <queryTableFields count="5">
      <queryTableField id="1" name="Période" tableColumnId="1"/>
      <queryTableField id="2" name="Prix référenceÉnergir($/GJ)" tableColumnId="2"/>
      <queryTableField id="3" name="Prix référenceÉnergir(¢/m³)" tableColumnId="3"/>
      <queryTableField id="4" name="Prix du marchéContrat 1 an($/GJ)" tableColumnId="4"/>
      <queryTableField id="5" name="Prix du marchéMensuel($/GJ)" tableColumnId="5"/>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28335F-F196-4381-B836-BB00B5613BDF}" name="Table69" displayName="Table69" ref="F17:G18" totalsRowShown="0">
  <autoFilter ref="F17:G18" xr:uid="{5599A369-52FF-4666-83B9-9D568882CC3B}"/>
  <tableColumns count="2">
    <tableColumn id="1" xr3:uid="{08D578E2-EBF2-4DBE-BF5D-7EC04D783C97}" name="$/m3" dataDxfId="37"/>
    <tableColumn id="2" xr3:uid="{96FA9E5A-9A7D-45E8-B94B-577945984BDA}" name="$/GJ"/>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FC6872-6B23-4AD5-A12D-816152B32886}" name="Table_1" displayName="Table_1" ref="A1:E21" tableType="queryTable" totalsRowShown="0">
  <autoFilter ref="A1:E21" xr:uid="{B3FC6872-6B23-4AD5-A12D-816152B32886}"/>
  <sortState xmlns:xlrd2="http://schemas.microsoft.com/office/spreadsheetml/2017/richdata2" ref="A2:E21">
    <sortCondition descending="1" ref="A1:A21"/>
  </sortState>
  <tableColumns count="5">
    <tableColumn id="1" xr3:uid="{8CF86186-71DC-4944-A76E-6326E4F09C46}" uniqueName="1" name="Période" queryTableFieldId="1" dataDxfId="0"/>
    <tableColumn id="2" xr3:uid="{2B3A41ED-1555-49E7-A6DB-71F47F35C8FF}" uniqueName="2" name="Prix référenceÉnergir($/GJ)" queryTableFieldId="2"/>
    <tableColumn id="3" xr3:uid="{E1AEDBA1-8F3B-4FB9-A3F8-8996CAAA4441}" uniqueName="3" name="Prix référenceÉnergir(¢/m³)" queryTableFieldId="3"/>
    <tableColumn id="4" xr3:uid="{0B35DBC2-3C38-4BB1-B973-2368A83CFB32}" uniqueName="4" name="Prix du marchéContrat 1 an($/GJ)" queryTableFieldId="4"/>
    <tableColumn id="5" xr3:uid="{6BBB6436-553B-4B3A-BF1A-D9EA6BF079AF}" uniqueName="5" name="Prix du marchéMensuel($/GJ)" queryTableFieldId="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D967DA-205C-405B-BEC3-8053687383A4}" name="Tableau4" displayName="Tableau4" ref="B5:AF187" totalsRowShown="0" headerRowDxfId="36" tableBorderDxfId="35">
  <autoFilter ref="B5:AF187" xr:uid="{70D967DA-205C-405B-BEC3-8053687383A4}"/>
  <sortState xmlns:xlrd2="http://schemas.microsoft.com/office/spreadsheetml/2017/richdata2" ref="B6:AF187">
    <sortCondition ref="B5:B187"/>
  </sortState>
  <tableColumns count="31">
    <tableColumn id="1" xr3:uid="{2C258046-DDF8-466F-BC25-25FB640895C4}" name="Année financière" dataDxfId="34"/>
    <tableColumn id="2" xr3:uid="{18B79D5B-89EC-48F0-BCB3-BB7BE7007C1D}" name="Numéro dossier" dataDxfId="33"/>
    <tableColumn id="3" xr3:uid="{7E99A588-91A1-467C-A189-BA6D7FE0BF49}" name="Nombres appareils installés" dataDxfId="32"/>
    <tableColumn id="4" xr3:uid="{A3AEB366-A000-49AF-8DD3-E36477D49049}" name="Capacité (BTU)" dataDxfId="31"/>
    <tableColumn id="33" xr3:uid="{E417865B-06FE-4781-B625-BA4BE9D51A42}" name="Économies par appareil (m3)" dataDxfId="30">
      <calculatedColumnFormula>Tableau4[[#This Row],[Economies totales (m3)]]/Tableau4[[#This Row],[Nombres appareils installés]]</calculatedColumnFormula>
    </tableColumn>
    <tableColumn id="5" xr3:uid="{CC640C6C-A304-411F-9F73-5852EA5E4237}" name="Economies totales (m3)" dataDxfId="29"/>
    <tableColumn id="6" xr3:uid="{4A79E429-E50E-424B-A8F1-C2A911B0139F}" name="Surcoût moyens de l'équipement ($)" dataDxfId="28">
      <calculatedColumnFormula>(0.00000003*E6^2 - 0.0001*E6 + 1533.4)</calculatedColumnFormula>
    </tableColumn>
    <tableColumn id="20" xr3:uid="{E76DC801-055A-455D-ACC5-67308FB697FB}" name="Surcoût moyen de l'installation ($)" dataDxfId="27"/>
    <tableColumn id="29" xr3:uid="{7E4BC708-0F28-41A0-BB59-88912329E580}" name="Surcoût par appareil ($)" dataDxfId="26">
      <calculatedColumnFormula>Tableau4[[#This Row],[Surcoût moyens de l''équipement ($)]]+Tableau4[[#This Row],[Surcoût moyen de l''installation ($)]]</calculatedColumnFormula>
    </tableColumn>
    <tableColumn id="28" xr3:uid="{EC351B52-5AB6-4540-8938-3D2DF80CA9C5}" name="Surcoût total ($)" dataDxfId="25">
      <calculatedColumnFormula>Tableau4[[#This Row],[Surcoût par appareil ($)]]*Tableau4[[#This Row],[Nombres appareils installés]]</calculatedColumnFormula>
    </tableColumn>
    <tableColumn id="7" xr3:uid="{E0E907DA-40DD-404D-806A-AE5AA792C038}" name="AF accordée ($)" dataDxfId="24"/>
    <tableColumn id="8" xr3:uid="{742CD7BB-6F35-4E22-B065-6B3EE39A00ED}" name="AF 0 ($)" dataDxfId="23">
      <calculatedColumnFormula>($M$4+$N$4*(E6/1000))*D6</calculatedColumnFormula>
    </tableColumn>
    <tableColumn id="21" xr3:uid="{367F61F3-58DC-47D9-9584-6229ECF1DEC0}" name="AF 0 par appareil ($)" dataDxfId="22">
      <calculatedColumnFormula>Tableau4[[#This Row],[AF 0 ($)]]/Tableau4[[#This Row],[Nombres appareils installés]]</calculatedColumnFormula>
    </tableColumn>
    <tableColumn id="9" xr3:uid="{98C378C3-A119-4BE7-A36D-A1E9F68F518B}" name="Couverture 0 (%)" dataDxfId="21">
      <calculatedColumnFormula>(Tableau4[[#This Row],[AF accordée ($)]])/($J$6*D6)</calculatedColumnFormula>
    </tableColumn>
    <tableColumn id="14" xr3:uid="{7900D830-FA56-4AED-87B0-25B91E60FD8F}" name="Couverture * nb appareils 0" dataDxfId="20">
      <calculatedColumnFormula>Tableau4[[#This Row],[Couverture 0 (%)]]*Tableau4[[#This Row],[Nombres appareils installés]]</calculatedColumnFormula>
    </tableColumn>
    <tableColumn id="10" xr3:uid="{969EE72C-10A2-4EF0-9FF5-FD00248BF2BE}" name="AF 1 ($)" dataDxfId="19">
      <calculatedColumnFormula>($Q$4+$R$4*(Tableau4[[#This Row],[Capacité (BTU)]]/1000))*Tableau4[[#This Row],[Nombres appareils installés]]</calculatedColumnFormula>
    </tableColumn>
    <tableColumn id="22" xr3:uid="{CB9D8784-63B1-4EF2-8BF0-178FFBAD89AD}" name="AF 1 par appareil ($)" dataDxfId="18">
      <calculatedColumnFormula>Tableau4[[#This Row],[AF 1 ($)]]/Tableau4[[#This Row],[Nombres appareils installés]]</calculatedColumnFormula>
    </tableColumn>
    <tableColumn id="11" xr3:uid="{38BCB967-7219-4F95-9134-BD9B74C7B2AB}" name="Couverture 1 (%)" dataDxfId="17">
      <calculatedColumnFormula>Tableau4[[#This Row],[AF 1 ($)]]/(J6*D6)</calculatedColumnFormula>
    </tableColumn>
    <tableColumn id="18" xr3:uid="{C9BA2FF2-96BA-4B29-BD57-0046C41F0758}" name="Couverture * nb appareils 1" dataDxfId="16">
      <calculatedColumnFormula>Tableau4[[#This Row],[Couverture 1 (%)]]*Tableau4[[#This Row],[Nombres appareils installés]]</calculatedColumnFormula>
    </tableColumn>
    <tableColumn id="12" xr3:uid="{6BAD1C9A-2920-4C6E-B55C-8F290F5A60A4}" name="AF 2 ($)" dataDxfId="15">
      <calculatedColumnFormula>($U$4+($V$4*(Tableau4[[#This Row],[Capacité (BTU)]]/1000)))*Tableau4[[#This Row],[Nombres appareils installés]]</calculatedColumnFormula>
    </tableColumn>
    <tableColumn id="23" xr3:uid="{96CBAFF9-4858-449B-9EF7-27506FB4A0AB}" name="AF 2 par appareil ($)" dataDxfId="14">
      <calculatedColumnFormula>Tableau4[[#This Row],[AF 2 ($)]]/Tableau4[[#This Row],[Nombres appareils installés]]</calculatedColumnFormula>
    </tableColumn>
    <tableColumn id="13" xr3:uid="{B6921385-9CB9-4724-98D1-EDA503555EA3}" name="Couverture 2 (%)" dataDxfId="13">
      <calculatedColumnFormula>Tableau4[[#This Row],[AF 2 par appareil ($)]]/Tableau4[[#This Row],[Surcoût par appareil ($)]]</calculatedColumnFormula>
    </tableColumn>
    <tableColumn id="24" xr3:uid="{63A84616-E7E8-400F-B446-9B4B4DF5A68A}" name="Couverture * nb appareils 2" dataDxfId="12">
      <calculatedColumnFormula>Tableau4[[#This Row],[Couverture 2 (%)]]*Tableau4[[#This Row],[Nombres appareils installés]]</calculatedColumnFormula>
    </tableColumn>
    <tableColumn id="30" xr3:uid="{84F95A76-9D61-4EEF-BA59-8D5BC97E6DCB}" name="AF 3 ($)" dataDxfId="11">
      <calculatedColumnFormula>($Y$4+$Z$4*(Tableau4[[#This Row],[Capacité (BTU)]]/1000))*Tableau4[[#This Row],[Nombres appareils installés]]</calculatedColumnFormula>
    </tableColumn>
    <tableColumn id="31" xr3:uid="{06A6173C-0C8D-471A-83F0-F2642299C02E}" name="AF 3 par appareil ($)" dataDxfId="10">
      <calculatedColumnFormula>Tableau4[[#This Row],[AF 3 ($)]]/Tableau4[[#This Row],[Nombres appareils installés]]</calculatedColumnFormula>
    </tableColumn>
    <tableColumn id="15" xr3:uid="{DF36779F-46E2-45D6-82E4-CABDB3D15103}" name="Couverture 3 (%)" dataDxfId="9">
      <calculatedColumnFormula>Tableau4[[#This Row],[AF 3 par appareil ($)]]/Tableau4[[#This Row],[Surcoût par appareil ($)]]</calculatedColumnFormula>
    </tableColumn>
    <tableColumn id="25" xr3:uid="{D627295C-2DAE-4F9E-BFCB-226B3FBD391E}" name="Couverture * nb appareils 3" dataDxfId="8">
      <calculatedColumnFormula>Tableau4[[#This Row],[Couverture 3 (%)]]*Tableau4[[#This Row],[Nombres appareils installés]]</calculatedColumnFormula>
    </tableColumn>
    <tableColumn id="16" xr3:uid="{A51A08FF-9A04-43A1-B859-2D2EAE801204}" name="AF 4 ($)" dataDxfId="7">
      <calculatedColumnFormula>($AC$4+$AD$4*(Tableau4[[#This Row],[Capacité (BTU)]]/1000))*Tableau4[[#This Row],[Nombres appareils installés]]</calculatedColumnFormula>
    </tableColumn>
    <tableColumn id="17" xr3:uid="{70F239F0-EEAD-4F8B-B5DE-6D18129FC3F7}" name="AF 4 par appareil  ($)" dataDxfId="6">
      <calculatedColumnFormula>Tableau4[[#This Row],[AF 4 ($)]]/Tableau4[[#This Row],[Nombres appareils installés]]</calculatedColumnFormula>
    </tableColumn>
    <tableColumn id="26" xr3:uid="{7798F8FE-6FB2-41E0-B301-813B310E63C1}" name="Couverture * nb appareils 4" dataDxfId="5">
      <calculatedColumnFormula>Tableau4[[#This Row],[Couverture 4 (%)]]*Tableau4[[#This Row],[Nombres appareils installés]]</calculatedColumnFormula>
    </tableColumn>
    <tableColumn id="19" xr3:uid="{773F8DDB-F2A7-419D-B616-67E9B454857F}" name="Couverture 4 (%)" dataDxfId="4">
      <calculatedColumnFormula>Tableau4[[#This Row],[AF 4 par appareil  ($)]]/Tableau4[[#This Row],[Surcoût par appareil ($)]]</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8A1326-680E-4733-8E28-B9ABB46CE976}" name="Table3" displayName="Table3" ref="B2:E10" totalsRowShown="0">
  <autoFilter ref="B2:E10" xr:uid="{078A1326-680E-4733-8E28-B9ABB46CE976}"/>
  <tableColumns count="4">
    <tableColumn id="1" xr3:uid="{321C93EB-B6DC-4D5D-9257-698733E291DF}" name="BTU/h"/>
    <tableColumn id="2" xr3:uid="{75CE12DC-DC42-4961-BEF2-C966A0DF00CE}" name="Économies réelles">
      <calculatedColumnFormula>0.0051*B3</calculatedColumnFormula>
    </tableColumn>
    <tableColumn id="3" xr3:uid="{05B66C4F-46B8-4752-A943-5A1D52BCD2C7}" name="Économies calculées"/>
    <tableColumn id="4" xr3:uid="{15EF2C40-2D6E-4A9C-8F50-69869A866544}" name="Erreur " dataDxfId="3">
      <calculatedColumnFormula>ABS(D3-C3)/C3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5-07-08T17:58:29.17" personId="{66AB2D2F-6E82-4B88-AB2F-C150ACFA3F3D}" id="{2D733443-3C14-4345-BEED-9617CEDFB48F}">
    <text>Provient d’une simulation antérieure dont les résultats se trouvent dans l’onglet Économies réelles</text>
  </threadedComment>
  <threadedComment ref="D2" dT="2025-07-08T17:57:06.28" personId="{66AB2D2F-6E82-4B88-AB2F-C150ACFA3F3D}" id="{7245E22F-E632-4D9D-8A18-99BCA2C3A008}">
    <text xml:space="preserve">Obtenu en remplacant les BTU dans l’outil de calcul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ergir.com/fr/affaires/efficacite-energetique/programme-efficacite-energetique/aerotherm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drawing" Target="../drawings/drawing4.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drawing" Target="../drawings/drawing5.xml"/><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A429-E02F-4D91-A92B-255037A1E19F}">
  <sheetPr codeName="Sheet13">
    <tabColor theme="0"/>
  </sheetPr>
  <dimension ref="A1:VM1414"/>
  <sheetViews>
    <sheetView showGridLines="0" topLeftCell="A13" zoomScaleNormal="100" workbookViewId="0">
      <selection activeCell="D20" sqref="D20"/>
    </sheetView>
  </sheetViews>
  <sheetFormatPr defaultColWidth="11.44140625" defaultRowHeight="14.4" x14ac:dyDescent="0.3"/>
  <cols>
    <col min="1" max="3" width="3.109375" customWidth="1"/>
    <col min="4" max="4" width="119.5546875" customWidth="1"/>
    <col min="5" max="5" width="4" style="40" customWidth="1"/>
    <col min="6" max="6" width="3.88671875" style="40" customWidth="1"/>
    <col min="7" max="7" width="2.88671875" style="40" customWidth="1"/>
    <col min="8" max="8" width="3.109375" customWidth="1"/>
    <col min="9" max="9" width="49.44140625" style="39" customWidth="1"/>
    <col min="10" max="10" width="4" style="39" customWidth="1"/>
    <col min="11" max="11" width="47.5546875" style="39" customWidth="1"/>
    <col min="12" max="12" width="17" style="39" customWidth="1"/>
    <col min="13" max="30" width="27.6640625" style="39" customWidth="1"/>
    <col min="31" max="31" width="3.109375" style="39" customWidth="1"/>
    <col min="32" max="32" width="30" style="39" customWidth="1"/>
    <col min="33" max="585" width="11.44140625" style="39"/>
  </cols>
  <sheetData>
    <row r="1" spans="1:8" ht="66" customHeight="1" x14ac:dyDescent="0.3">
      <c r="E1" s="48"/>
      <c r="F1" s="34"/>
      <c r="G1" s="39"/>
      <c r="H1" s="39"/>
    </row>
    <row r="2" spans="1:8" ht="24.6" x14ac:dyDescent="0.4">
      <c r="C2" s="61" t="s">
        <v>339</v>
      </c>
      <c r="E2" s="48"/>
      <c r="F2" s="34"/>
      <c r="G2" s="39"/>
      <c r="H2" s="39"/>
    </row>
    <row r="3" spans="1:8" ht="21" x14ac:dyDescent="0.4">
      <c r="C3" s="58" t="s">
        <v>340</v>
      </c>
      <c r="D3" s="49"/>
      <c r="E3" s="48"/>
      <c r="F3" s="34"/>
      <c r="G3" s="39"/>
      <c r="H3" s="39"/>
    </row>
    <row r="4" spans="1:8" ht="18.600000000000001" customHeight="1" x14ac:dyDescent="0.3">
      <c r="D4" s="60"/>
      <c r="E4" s="60"/>
      <c r="F4" s="34"/>
      <c r="G4" s="39"/>
      <c r="H4" s="39"/>
    </row>
    <row r="5" spans="1:8" ht="72.599999999999994" x14ac:dyDescent="0.3">
      <c r="D5" s="62" t="s">
        <v>347</v>
      </c>
      <c r="E5" s="43"/>
      <c r="F5" s="34"/>
      <c r="G5" s="39"/>
      <c r="H5" s="39"/>
    </row>
    <row r="6" spans="1:8" ht="18.600000000000001" customHeight="1" x14ac:dyDescent="0.3">
      <c r="D6" s="59"/>
      <c r="E6" s="43"/>
      <c r="F6" s="34"/>
      <c r="G6" s="39"/>
      <c r="H6" s="39"/>
    </row>
    <row r="7" spans="1:8" s="214" customFormat="1" ht="18.600000000000001" customHeight="1" x14ac:dyDescent="0.3">
      <c r="A7" s="209"/>
      <c r="B7" s="209"/>
      <c r="C7" s="209"/>
      <c r="D7" s="209" t="s">
        <v>341</v>
      </c>
      <c r="E7" s="209"/>
      <c r="F7" s="209"/>
    </row>
    <row r="8" spans="1:8" ht="12" customHeight="1" x14ac:dyDescent="0.3">
      <c r="D8" s="59"/>
      <c r="E8" s="43"/>
      <c r="F8" s="34"/>
      <c r="G8" s="39"/>
      <c r="H8" s="39"/>
    </row>
    <row r="9" spans="1:8" ht="352.2" x14ac:dyDescent="0.3">
      <c r="D9" s="62" t="s">
        <v>390</v>
      </c>
      <c r="E9" s="43"/>
      <c r="F9" s="34"/>
      <c r="G9" s="39"/>
      <c r="H9" s="39"/>
    </row>
    <row r="10" spans="1:8" ht="31.2" customHeight="1" x14ac:dyDescent="0.3">
      <c r="D10" s="59"/>
      <c r="E10" s="43"/>
      <c r="F10" s="34"/>
      <c r="G10" s="39"/>
      <c r="H10" s="39"/>
    </row>
    <row r="11" spans="1:8" ht="27.6" customHeight="1" x14ac:dyDescent="0.3">
      <c r="D11" s="99" t="s">
        <v>342</v>
      </c>
      <c r="E11" s="43"/>
      <c r="F11" s="34"/>
      <c r="G11" s="39"/>
      <c r="H11" s="39"/>
    </row>
    <row r="12" spans="1:8" ht="41.4" customHeight="1" x14ac:dyDescent="0.3">
      <c r="D12" s="100" t="s">
        <v>343</v>
      </c>
      <c r="E12" s="43"/>
      <c r="F12" s="34"/>
      <c r="G12" s="39"/>
      <c r="H12" s="39"/>
    </row>
    <row r="13" spans="1:8" ht="388.95" customHeight="1" x14ac:dyDescent="0.3">
      <c r="D13" s="62" t="s">
        <v>344</v>
      </c>
      <c r="E13" s="43"/>
      <c r="F13" s="34"/>
      <c r="G13" s="39"/>
      <c r="H13" s="39"/>
    </row>
    <row r="14" spans="1:8" x14ac:dyDescent="0.3">
      <c r="D14" s="101"/>
      <c r="E14" s="43"/>
      <c r="F14" s="34"/>
      <c r="G14" s="39"/>
      <c r="H14" s="39"/>
    </row>
    <row r="15" spans="1:8" ht="19.95" customHeight="1" x14ac:dyDescent="0.3">
      <c r="D15" s="59"/>
      <c r="E15" s="44"/>
      <c r="F15" s="34"/>
      <c r="G15" s="39"/>
      <c r="H15" s="39"/>
    </row>
    <row r="16" spans="1:8" ht="235.8" customHeight="1" x14ac:dyDescent="0.3">
      <c r="D16" s="62" t="s">
        <v>391</v>
      </c>
      <c r="E16" s="43"/>
      <c r="F16" s="34"/>
      <c r="G16" s="39"/>
      <c r="H16" s="39"/>
    </row>
    <row r="17" spans="1:8" ht="16.95" customHeight="1" x14ac:dyDescent="0.3">
      <c r="D17" s="62"/>
      <c r="E17" s="43"/>
      <c r="F17" s="34"/>
      <c r="G17" s="39"/>
      <c r="H17" s="39"/>
    </row>
    <row r="18" spans="1:8" ht="38.4" customHeight="1" x14ac:dyDescent="0.3">
      <c r="D18" s="97" t="s">
        <v>345</v>
      </c>
      <c r="E18" s="43"/>
      <c r="F18" s="34"/>
      <c r="G18" s="39"/>
      <c r="H18" s="39"/>
    </row>
    <row r="19" spans="1:8" ht="19.95" customHeight="1" thickBot="1" x14ac:dyDescent="0.35">
      <c r="D19" s="62"/>
      <c r="E19" s="43"/>
      <c r="F19" s="34"/>
      <c r="G19" s="39"/>
      <c r="H19" s="39"/>
    </row>
    <row r="20" spans="1:8" ht="67.95" customHeight="1" thickBot="1" x14ac:dyDescent="0.35">
      <c r="D20" s="63" t="s">
        <v>346</v>
      </c>
      <c r="E20" s="43"/>
      <c r="F20" s="34"/>
      <c r="G20" s="39"/>
      <c r="H20" s="39"/>
    </row>
    <row r="21" spans="1:8" ht="19.2" customHeight="1" x14ac:dyDescent="0.3">
      <c r="D21" s="59"/>
      <c r="E21" s="43"/>
      <c r="F21" s="34"/>
      <c r="G21" s="39"/>
      <c r="H21" s="39"/>
    </row>
    <row r="22" spans="1:8" ht="16.95" customHeight="1" x14ac:dyDescent="0.3">
      <c r="D22" s="73" t="s">
        <v>0</v>
      </c>
      <c r="E22" s="43"/>
      <c r="F22" s="34"/>
      <c r="G22" s="39"/>
      <c r="H22" s="39"/>
    </row>
    <row r="23" spans="1:8" x14ac:dyDescent="0.3">
      <c r="D23" s="59"/>
      <c r="E23" s="43"/>
      <c r="F23" s="34"/>
      <c r="G23" s="39"/>
      <c r="H23" s="39"/>
    </row>
    <row r="24" spans="1:8" ht="7.5" customHeight="1" x14ac:dyDescent="0.3">
      <c r="B24" s="34"/>
      <c r="C24" s="34"/>
      <c r="D24" s="51"/>
      <c r="E24" s="43"/>
      <c r="F24" s="34"/>
      <c r="G24" s="39"/>
      <c r="H24" s="39"/>
    </row>
    <row r="25" spans="1:8" x14ac:dyDescent="0.3">
      <c r="A25" s="65"/>
      <c r="B25" s="65"/>
      <c r="C25" s="39"/>
      <c r="D25" s="39"/>
      <c r="E25" s="39"/>
      <c r="F25" s="39"/>
      <c r="G25" s="39"/>
      <c r="H25" s="39"/>
    </row>
    <row r="26" spans="1:8" s="39" customFormat="1" x14ac:dyDescent="0.3">
      <c r="A26" s="66"/>
      <c r="B26" s="67"/>
    </row>
    <row r="27" spans="1:8" s="39" customFormat="1" ht="7.5" customHeight="1" x14ac:dyDescent="0.3">
      <c r="A27" s="68"/>
      <c r="B27" s="67"/>
    </row>
    <row r="28" spans="1:8" s="39" customFormat="1" x14ac:dyDescent="0.3">
      <c r="A28" s="69"/>
      <c r="B28" s="67"/>
    </row>
    <row r="29" spans="1:8" s="39" customFormat="1" ht="7.5" customHeight="1" x14ac:dyDescent="0.3">
      <c r="A29" s="66"/>
      <c r="B29" s="67"/>
    </row>
    <row r="30" spans="1:8" s="39" customFormat="1" x14ac:dyDescent="0.3">
      <c r="A30" s="66"/>
      <c r="B30" s="67"/>
    </row>
    <row r="31" spans="1:8" s="39" customFormat="1" ht="7.5" customHeight="1" x14ac:dyDescent="0.3">
      <c r="A31" s="68"/>
      <c r="B31" s="67"/>
    </row>
    <row r="32" spans="1:8" s="39" customFormat="1" x14ac:dyDescent="0.3">
      <c r="A32" s="66"/>
      <c r="B32" s="67"/>
    </row>
    <row r="33" spans="1:12" s="39" customFormat="1" ht="7.5" customHeight="1" x14ac:dyDescent="0.3">
      <c r="A33" s="70"/>
      <c r="B33" s="67"/>
      <c r="D33" s="41"/>
    </row>
    <row r="34" spans="1:12" s="39" customFormat="1" x14ac:dyDescent="0.3">
      <c r="A34" s="66"/>
      <c r="B34" s="67"/>
    </row>
    <row r="35" spans="1:12" s="39" customFormat="1" ht="7.5" customHeight="1" x14ac:dyDescent="0.3">
      <c r="A35" s="70"/>
      <c r="B35" s="67"/>
      <c r="L35" s="41"/>
    </row>
    <row r="36" spans="1:12" s="39" customFormat="1" x14ac:dyDescent="0.3">
      <c r="A36" s="66"/>
      <c r="B36" s="67"/>
    </row>
    <row r="37" spans="1:12" s="39" customFormat="1" ht="7.5" customHeight="1" x14ac:dyDescent="0.3">
      <c r="A37" s="70"/>
      <c r="B37" s="67"/>
    </row>
    <row r="38" spans="1:12" s="39" customFormat="1" x14ac:dyDescent="0.3">
      <c r="A38" s="66"/>
      <c r="B38" s="67"/>
    </row>
    <row r="39" spans="1:12" s="39" customFormat="1" ht="7.5" customHeight="1" x14ac:dyDescent="0.3">
      <c r="A39" s="65"/>
      <c r="B39" s="65"/>
    </row>
    <row r="40" spans="1:12" s="39" customFormat="1" x14ac:dyDescent="0.3">
      <c r="B40" s="41"/>
    </row>
    <row r="41" spans="1:12" s="39" customFormat="1" ht="7.5" customHeight="1" x14ac:dyDescent="0.3">
      <c r="A41" s="64"/>
      <c r="B41" s="64"/>
    </row>
    <row r="42" spans="1:12" x14ac:dyDescent="0.3">
      <c r="A42" s="65"/>
      <c r="B42" s="65"/>
      <c r="C42" s="39"/>
      <c r="D42" s="39"/>
      <c r="E42" s="39"/>
      <c r="F42" s="39"/>
      <c r="G42" s="39"/>
      <c r="H42" s="39"/>
    </row>
    <row r="43" spans="1:12" s="39" customFormat="1" x14ac:dyDescent="0.3">
      <c r="A43" s="66"/>
      <c r="B43" s="67"/>
      <c r="E43" s="41"/>
    </row>
    <row r="44" spans="1:12" s="39" customFormat="1" ht="7.5" customHeight="1" x14ac:dyDescent="0.3">
      <c r="A44" s="68"/>
      <c r="B44" s="67"/>
    </row>
    <row r="45" spans="1:12" s="39" customFormat="1" x14ac:dyDescent="0.3">
      <c r="A45" s="66"/>
      <c r="B45" s="67"/>
    </row>
    <row r="46" spans="1:12" s="39" customFormat="1" ht="7.5" customHeight="1" x14ac:dyDescent="0.3">
      <c r="A46" s="66"/>
      <c r="B46" s="67"/>
    </row>
    <row r="47" spans="1:12" s="39" customFormat="1" x14ac:dyDescent="0.3">
      <c r="A47" s="66"/>
      <c r="B47" s="67"/>
    </row>
    <row r="48" spans="1:12" s="39" customFormat="1" ht="7.5" customHeight="1" x14ac:dyDescent="0.3">
      <c r="A48" s="68"/>
      <c r="B48" s="67"/>
    </row>
    <row r="49" spans="1:2" s="39" customFormat="1" x14ac:dyDescent="0.3">
      <c r="A49" s="66"/>
      <c r="B49" s="67"/>
    </row>
    <row r="50" spans="1:2" s="39" customFormat="1" ht="7.5" customHeight="1" x14ac:dyDescent="0.3">
      <c r="A50" s="70"/>
      <c r="B50" s="67"/>
    </row>
    <row r="51" spans="1:2" s="39" customFormat="1" x14ac:dyDescent="0.3">
      <c r="A51" s="66"/>
      <c r="B51" s="67"/>
    </row>
    <row r="52" spans="1:2" s="39" customFormat="1" ht="7.5" customHeight="1" x14ac:dyDescent="0.3">
      <c r="A52" s="70"/>
      <c r="B52" s="67"/>
    </row>
    <row r="53" spans="1:2" s="39" customFormat="1" x14ac:dyDescent="0.3">
      <c r="A53" s="66"/>
      <c r="B53" s="67"/>
    </row>
    <row r="54" spans="1:2" s="39" customFormat="1" ht="7.5" customHeight="1" x14ac:dyDescent="0.3">
      <c r="A54" s="70"/>
      <c r="B54" s="67"/>
    </row>
    <row r="55" spans="1:2" s="39" customFormat="1" x14ac:dyDescent="0.3">
      <c r="A55" s="66"/>
      <c r="B55" s="67"/>
    </row>
    <row r="56" spans="1:2" s="39" customFormat="1" ht="7.5" customHeight="1" x14ac:dyDescent="0.3">
      <c r="A56" s="65"/>
      <c r="B56" s="65"/>
    </row>
    <row r="57" spans="1:2" s="39" customFormat="1" x14ac:dyDescent="0.3">
      <c r="A57" s="71"/>
      <c r="B57" s="65"/>
    </row>
    <row r="58" spans="1:2" s="39" customFormat="1" ht="7.5" customHeight="1" x14ac:dyDescent="0.3">
      <c r="A58" s="72"/>
      <c r="B58" s="65"/>
    </row>
    <row r="59" spans="1:2" s="39" customFormat="1" x14ac:dyDescent="0.3">
      <c r="A59" s="72"/>
      <c r="B59" s="67"/>
    </row>
    <row r="60" spans="1:2" s="39" customFormat="1" x14ac:dyDescent="0.3">
      <c r="A60" s="72"/>
      <c r="B60" s="65"/>
    </row>
    <row r="61" spans="1:2" s="39" customFormat="1" x14ac:dyDescent="0.3">
      <c r="A61" s="71"/>
      <c r="B61" s="65"/>
    </row>
    <row r="62" spans="1:2" s="39" customFormat="1" x14ac:dyDescent="0.3"/>
    <row r="63" spans="1:2" s="39" customFormat="1" x14ac:dyDescent="0.3"/>
    <row r="64" spans="1:2" s="39" customFormat="1" x14ac:dyDescent="0.3"/>
    <row r="65" spans="5:7" s="39" customFormat="1" x14ac:dyDescent="0.3">
      <c r="E65" s="41"/>
      <c r="F65" s="41"/>
      <c r="G65" s="41"/>
    </row>
    <row r="66" spans="5:7" s="39" customFormat="1" x14ac:dyDescent="0.3">
      <c r="E66" s="41"/>
      <c r="F66" s="41"/>
      <c r="G66" s="41"/>
    </row>
    <row r="67" spans="5:7" s="39" customFormat="1" x14ac:dyDescent="0.3"/>
    <row r="68" spans="5:7" s="39" customFormat="1" x14ac:dyDescent="0.3"/>
    <row r="69" spans="5:7" s="39" customFormat="1" x14ac:dyDescent="0.3"/>
    <row r="70" spans="5:7" s="39" customFormat="1" x14ac:dyDescent="0.3"/>
    <row r="71" spans="5:7" s="39" customFormat="1" x14ac:dyDescent="0.3"/>
    <row r="72" spans="5:7" s="39" customFormat="1" x14ac:dyDescent="0.3"/>
    <row r="73" spans="5:7" s="39" customFormat="1" x14ac:dyDescent="0.3"/>
    <row r="74" spans="5:7" s="39" customFormat="1" x14ac:dyDescent="0.3"/>
    <row r="75" spans="5:7" s="39" customFormat="1" x14ac:dyDescent="0.3"/>
    <row r="76" spans="5:7" s="39" customFormat="1" x14ac:dyDescent="0.3"/>
    <row r="77" spans="5:7" s="39" customFormat="1" x14ac:dyDescent="0.3"/>
    <row r="78" spans="5:7" s="39" customFormat="1" x14ac:dyDescent="0.3"/>
    <row r="79" spans="5:7" s="39" customFormat="1" x14ac:dyDescent="0.3"/>
    <row r="80" spans="5:7" s="39" customFormat="1" x14ac:dyDescent="0.3"/>
    <row r="81" spans="5:7" s="39" customFormat="1" x14ac:dyDescent="0.3"/>
    <row r="82" spans="5:7" s="39" customFormat="1" x14ac:dyDescent="0.3"/>
    <row r="83" spans="5:7" s="39" customFormat="1" x14ac:dyDescent="0.3"/>
    <row r="84" spans="5:7" s="39" customFormat="1" x14ac:dyDescent="0.3">
      <c r="E84" s="41"/>
      <c r="F84" s="41"/>
      <c r="G84" s="41"/>
    </row>
    <row r="85" spans="5:7" s="39" customFormat="1" x14ac:dyDescent="0.3">
      <c r="E85" s="41"/>
      <c r="F85" s="41"/>
      <c r="G85" s="41"/>
    </row>
    <row r="86" spans="5:7" s="39" customFormat="1" x14ac:dyDescent="0.3">
      <c r="E86" s="41"/>
      <c r="F86" s="41"/>
      <c r="G86" s="41"/>
    </row>
    <row r="87" spans="5:7" s="39" customFormat="1" x14ac:dyDescent="0.3">
      <c r="E87" s="41"/>
      <c r="F87" s="41"/>
      <c r="G87" s="41"/>
    </row>
    <row r="88" spans="5:7" s="39" customFormat="1" x14ac:dyDescent="0.3">
      <c r="E88" s="41"/>
      <c r="F88" s="41"/>
      <c r="G88" s="41"/>
    </row>
    <row r="89" spans="5:7" s="39" customFormat="1" x14ac:dyDescent="0.3">
      <c r="E89" s="41"/>
      <c r="F89" s="41"/>
      <c r="G89" s="41"/>
    </row>
    <row r="90" spans="5:7" s="39" customFormat="1" x14ac:dyDescent="0.3">
      <c r="E90" s="41"/>
      <c r="F90" s="41"/>
      <c r="G90" s="41"/>
    </row>
    <row r="91" spans="5:7" s="39" customFormat="1" x14ac:dyDescent="0.3">
      <c r="E91" s="41"/>
      <c r="F91" s="41"/>
      <c r="G91" s="41"/>
    </row>
    <row r="92" spans="5:7" s="39" customFormat="1" x14ac:dyDescent="0.3">
      <c r="E92" s="41"/>
      <c r="F92" s="41"/>
      <c r="G92" s="41"/>
    </row>
    <row r="93" spans="5:7" s="39" customFormat="1" x14ac:dyDescent="0.3">
      <c r="E93" s="41"/>
      <c r="F93" s="41"/>
      <c r="G93" s="41"/>
    </row>
    <row r="94" spans="5:7" s="39" customFormat="1" x14ac:dyDescent="0.3">
      <c r="E94" s="41"/>
      <c r="F94" s="41"/>
      <c r="G94" s="41"/>
    </row>
    <row r="95" spans="5:7" s="39" customFormat="1" x14ac:dyDescent="0.3">
      <c r="E95" s="41"/>
      <c r="F95" s="41"/>
      <c r="G95" s="41"/>
    </row>
    <row r="96" spans="5:7" s="39" customFormat="1" x14ac:dyDescent="0.3">
      <c r="E96" s="41"/>
      <c r="F96" s="41"/>
      <c r="G96" s="41"/>
    </row>
    <row r="97" spans="5:7" s="39" customFormat="1" x14ac:dyDescent="0.3">
      <c r="E97" s="41"/>
      <c r="F97" s="41"/>
      <c r="G97" s="41"/>
    </row>
    <row r="98" spans="5:7" s="39" customFormat="1" x14ac:dyDescent="0.3">
      <c r="E98" s="41"/>
      <c r="F98" s="41"/>
      <c r="G98" s="41"/>
    </row>
    <row r="99" spans="5:7" s="39" customFormat="1" x14ac:dyDescent="0.3">
      <c r="E99" s="41"/>
      <c r="F99" s="41"/>
      <c r="G99" s="41"/>
    </row>
    <row r="100" spans="5:7" s="39" customFormat="1" x14ac:dyDescent="0.3">
      <c r="E100" s="41"/>
      <c r="F100" s="41"/>
      <c r="G100" s="41"/>
    </row>
    <row r="101" spans="5:7" s="39" customFormat="1" x14ac:dyDescent="0.3">
      <c r="E101" s="41"/>
      <c r="F101" s="41"/>
      <c r="G101" s="41"/>
    </row>
    <row r="102" spans="5:7" s="39" customFormat="1" x14ac:dyDescent="0.3">
      <c r="E102" s="41"/>
      <c r="F102" s="41"/>
      <c r="G102" s="41"/>
    </row>
    <row r="103" spans="5:7" s="39" customFormat="1" x14ac:dyDescent="0.3">
      <c r="E103" s="41"/>
      <c r="F103" s="41"/>
      <c r="G103" s="41"/>
    </row>
    <row r="104" spans="5:7" s="39" customFormat="1" x14ac:dyDescent="0.3">
      <c r="E104" s="41"/>
      <c r="F104" s="41"/>
      <c r="G104" s="41"/>
    </row>
    <row r="105" spans="5:7" s="39" customFormat="1" x14ac:dyDescent="0.3">
      <c r="E105" s="41"/>
      <c r="F105" s="41"/>
      <c r="G105" s="41"/>
    </row>
    <row r="106" spans="5:7" s="39" customFormat="1" x14ac:dyDescent="0.3">
      <c r="E106" s="41"/>
      <c r="F106" s="41"/>
      <c r="G106" s="41"/>
    </row>
    <row r="107" spans="5:7" s="39" customFormat="1" x14ac:dyDescent="0.3">
      <c r="E107" s="41"/>
      <c r="F107" s="41"/>
      <c r="G107" s="41"/>
    </row>
    <row r="108" spans="5:7" s="39" customFormat="1" x14ac:dyDescent="0.3">
      <c r="E108" s="41"/>
      <c r="F108" s="41"/>
      <c r="G108" s="41"/>
    </row>
    <row r="109" spans="5:7" s="39" customFormat="1" x14ac:dyDescent="0.3">
      <c r="E109" s="41"/>
      <c r="F109" s="41"/>
      <c r="G109" s="41"/>
    </row>
    <row r="110" spans="5:7" s="39" customFormat="1" x14ac:dyDescent="0.3">
      <c r="E110" s="41"/>
      <c r="F110" s="41"/>
      <c r="G110" s="41"/>
    </row>
    <row r="111" spans="5:7" s="39" customFormat="1" x14ac:dyDescent="0.3">
      <c r="E111" s="41"/>
      <c r="F111" s="41"/>
      <c r="G111" s="41"/>
    </row>
    <row r="112" spans="5:7" s="39" customFormat="1" x14ac:dyDescent="0.3">
      <c r="E112" s="41"/>
      <c r="F112" s="41"/>
      <c r="G112" s="41"/>
    </row>
    <row r="113" spans="5:7" s="39" customFormat="1" x14ac:dyDescent="0.3">
      <c r="E113" s="41"/>
      <c r="F113" s="41"/>
      <c r="G113" s="41"/>
    </row>
    <row r="114" spans="5:7" s="39" customFormat="1" x14ac:dyDescent="0.3">
      <c r="E114" s="41"/>
      <c r="F114" s="41"/>
      <c r="G114" s="41"/>
    </row>
    <row r="115" spans="5:7" s="39" customFormat="1" x14ac:dyDescent="0.3">
      <c r="E115" s="41"/>
      <c r="F115" s="41"/>
      <c r="G115" s="41"/>
    </row>
    <row r="116" spans="5:7" s="39" customFormat="1" x14ac:dyDescent="0.3">
      <c r="E116" s="41"/>
      <c r="F116" s="41"/>
      <c r="G116" s="41"/>
    </row>
    <row r="117" spans="5:7" s="39" customFormat="1" x14ac:dyDescent="0.3">
      <c r="E117" s="41"/>
      <c r="F117" s="41"/>
      <c r="G117" s="41"/>
    </row>
    <row r="118" spans="5:7" s="39" customFormat="1" x14ac:dyDescent="0.3">
      <c r="E118" s="41"/>
      <c r="F118" s="41"/>
      <c r="G118" s="41"/>
    </row>
    <row r="119" spans="5:7" s="39" customFormat="1" x14ac:dyDescent="0.3">
      <c r="E119" s="41"/>
      <c r="F119" s="41"/>
      <c r="G119" s="41"/>
    </row>
    <row r="120" spans="5:7" s="39" customFormat="1" x14ac:dyDescent="0.3">
      <c r="E120" s="41"/>
      <c r="F120" s="41"/>
      <c r="G120" s="41"/>
    </row>
    <row r="121" spans="5:7" s="39" customFormat="1" x14ac:dyDescent="0.3">
      <c r="E121" s="41"/>
      <c r="F121" s="41"/>
      <c r="G121" s="41"/>
    </row>
    <row r="122" spans="5:7" s="39" customFormat="1" x14ac:dyDescent="0.3">
      <c r="E122" s="41"/>
      <c r="F122" s="41"/>
      <c r="G122" s="41"/>
    </row>
    <row r="123" spans="5:7" s="39" customFormat="1" x14ac:dyDescent="0.3">
      <c r="E123" s="41"/>
      <c r="F123" s="41"/>
      <c r="G123" s="41"/>
    </row>
    <row r="124" spans="5:7" s="39" customFormat="1" x14ac:dyDescent="0.3">
      <c r="E124" s="41"/>
      <c r="F124" s="41"/>
      <c r="G124" s="41"/>
    </row>
    <row r="125" spans="5:7" s="39" customFormat="1" x14ac:dyDescent="0.3">
      <c r="E125" s="41"/>
      <c r="F125" s="41"/>
      <c r="G125" s="41"/>
    </row>
    <row r="126" spans="5:7" s="39" customFormat="1" x14ac:dyDescent="0.3">
      <c r="E126" s="41"/>
      <c r="F126" s="41"/>
      <c r="G126" s="41"/>
    </row>
    <row r="127" spans="5:7" s="39" customFormat="1" x14ac:dyDescent="0.3">
      <c r="E127" s="41"/>
      <c r="F127" s="41"/>
      <c r="G127" s="41"/>
    </row>
    <row r="128" spans="5:7" s="39" customFormat="1" x14ac:dyDescent="0.3">
      <c r="E128" s="41"/>
      <c r="F128" s="41"/>
      <c r="G128" s="41"/>
    </row>
    <row r="129" spans="5:7" s="39" customFormat="1" x14ac:dyDescent="0.3">
      <c r="E129" s="41"/>
      <c r="F129" s="41"/>
      <c r="G129" s="41"/>
    </row>
    <row r="130" spans="5:7" s="39" customFormat="1" x14ac:dyDescent="0.3">
      <c r="E130" s="41"/>
      <c r="F130" s="41"/>
      <c r="G130" s="41"/>
    </row>
    <row r="131" spans="5:7" s="39" customFormat="1" x14ac:dyDescent="0.3">
      <c r="E131" s="41"/>
      <c r="F131" s="41"/>
      <c r="G131" s="41"/>
    </row>
    <row r="132" spans="5:7" s="39" customFormat="1" x14ac:dyDescent="0.3">
      <c r="E132" s="41"/>
      <c r="F132" s="41"/>
      <c r="G132" s="41"/>
    </row>
    <row r="133" spans="5:7" s="39" customFormat="1" x14ac:dyDescent="0.3">
      <c r="E133" s="41"/>
      <c r="F133" s="41"/>
      <c r="G133" s="41"/>
    </row>
    <row r="134" spans="5:7" s="39" customFormat="1" x14ac:dyDescent="0.3">
      <c r="E134" s="41"/>
      <c r="F134" s="41"/>
      <c r="G134" s="41"/>
    </row>
    <row r="135" spans="5:7" s="39" customFormat="1" x14ac:dyDescent="0.3">
      <c r="E135" s="41"/>
      <c r="F135" s="41"/>
      <c r="G135" s="41"/>
    </row>
    <row r="136" spans="5:7" s="39" customFormat="1" x14ac:dyDescent="0.3">
      <c r="E136" s="41"/>
      <c r="F136" s="41"/>
      <c r="G136" s="41"/>
    </row>
    <row r="137" spans="5:7" s="39" customFormat="1" x14ac:dyDescent="0.3">
      <c r="E137" s="41"/>
      <c r="F137" s="41"/>
      <c r="G137" s="41"/>
    </row>
    <row r="138" spans="5:7" s="39" customFormat="1" x14ac:dyDescent="0.3">
      <c r="E138" s="41"/>
      <c r="F138" s="41"/>
      <c r="G138" s="41"/>
    </row>
    <row r="139" spans="5:7" s="39" customFormat="1" x14ac:dyDescent="0.3">
      <c r="E139" s="41"/>
      <c r="F139" s="41"/>
      <c r="G139" s="41"/>
    </row>
    <row r="140" spans="5:7" s="39" customFormat="1" x14ac:dyDescent="0.3">
      <c r="E140" s="41"/>
      <c r="F140" s="41"/>
      <c r="G140" s="41"/>
    </row>
    <row r="141" spans="5:7" s="39" customFormat="1" x14ac:dyDescent="0.3">
      <c r="E141" s="41"/>
      <c r="F141" s="41"/>
      <c r="G141" s="41"/>
    </row>
    <row r="142" spans="5:7" s="39" customFormat="1" x14ac:dyDescent="0.3">
      <c r="E142" s="41"/>
      <c r="F142" s="41"/>
      <c r="G142" s="41"/>
    </row>
    <row r="143" spans="5:7" s="39" customFormat="1" x14ac:dyDescent="0.3">
      <c r="E143" s="41"/>
      <c r="F143" s="41"/>
      <c r="G143" s="41"/>
    </row>
    <row r="144" spans="5:7" s="39" customFormat="1" x14ac:dyDescent="0.3">
      <c r="E144" s="41"/>
      <c r="F144" s="41"/>
      <c r="G144" s="41"/>
    </row>
    <row r="145" spans="5:7" s="39" customFormat="1" x14ac:dyDescent="0.3">
      <c r="E145" s="41"/>
      <c r="F145" s="41"/>
      <c r="G145" s="41"/>
    </row>
    <row r="146" spans="5:7" s="39" customFormat="1" x14ac:dyDescent="0.3">
      <c r="E146" s="41"/>
      <c r="F146" s="41"/>
      <c r="G146" s="41"/>
    </row>
    <row r="147" spans="5:7" s="39" customFormat="1" x14ac:dyDescent="0.3">
      <c r="E147" s="41"/>
      <c r="F147" s="41"/>
      <c r="G147" s="41"/>
    </row>
    <row r="148" spans="5:7" s="39" customFormat="1" x14ac:dyDescent="0.3">
      <c r="E148" s="41"/>
      <c r="F148" s="41"/>
      <c r="G148" s="41"/>
    </row>
    <row r="149" spans="5:7" s="39" customFormat="1" x14ac:dyDescent="0.3">
      <c r="E149" s="41"/>
      <c r="F149" s="41"/>
      <c r="G149" s="41"/>
    </row>
    <row r="150" spans="5:7" s="39" customFormat="1" x14ac:dyDescent="0.3">
      <c r="E150" s="41"/>
      <c r="F150" s="41"/>
      <c r="G150" s="41"/>
    </row>
    <row r="151" spans="5:7" s="39" customFormat="1" x14ac:dyDescent="0.3">
      <c r="E151" s="41"/>
      <c r="F151" s="41"/>
      <c r="G151" s="41"/>
    </row>
    <row r="152" spans="5:7" s="39" customFormat="1" x14ac:dyDescent="0.3">
      <c r="E152" s="41"/>
      <c r="F152" s="41"/>
      <c r="G152" s="41"/>
    </row>
    <row r="153" spans="5:7" s="39" customFormat="1" x14ac:dyDescent="0.3">
      <c r="E153" s="41"/>
      <c r="F153" s="41"/>
      <c r="G153" s="41"/>
    </row>
    <row r="154" spans="5:7" s="39" customFormat="1" x14ac:dyDescent="0.3">
      <c r="E154" s="41"/>
      <c r="F154" s="41"/>
      <c r="G154" s="41"/>
    </row>
    <row r="155" spans="5:7" s="39" customFormat="1" x14ac:dyDescent="0.3">
      <c r="E155" s="41"/>
      <c r="F155" s="41"/>
      <c r="G155" s="41"/>
    </row>
    <row r="156" spans="5:7" s="39" customFormat="1" x14ac:dyDescent="0.3">
      <c r="E156" s="41"/>
      <c r="F156" s="41"/>
      <c r="G156" s="41"/>
    </row>
    <row r="157" spans="5:7" s="39" customFormat="1" x14ac:dyDescent="0.3">
      <c r="E157" s="41"/>
      <c r="F157" s="41"/>
      <c r="G157" s="41"/>
    </row>
    <row r="158" spans="5:7" s="39" customFormat="1" x14ac:dyDescent="0.3">
      <c r="E158" s="41"/>
      <c r="F158" s="41"/>
      <c r="G158" s="41"/>
    </row>
    <row r="159" spans="5:7" s="39" customFormat="1" x14ac:dyDescent="0.3">
      <c r="E159" s="41"/>
      <c r="F159" s="41"/>
      <c r="G159" s="41"/>
    </row>
    <row r="160" spans="5:7" s="39" customFormat="1" x14ac:dyDescent="0.3">
      <c r="E160" s="41"/>
      <c r="F160" s="41"/>
      <c r="G160" s="41"/>
    </row>
    <row r="161" spans="5:7" s="39" customFormat="1" x14ac:dyDescent="0.3">
      <c r="E161" s="41"/>
      <c r="F161" s="41"/>
      <c r="G161" s="41"/>
    </row>
    <row r="162" spans="5:7" s="39" customFormat="1" x14ac:dyDescent="0.3">
      <c r="E162" s="41"/>
      <c r="F162" s="41"/>
      <c r="G162" s="41"/>
    </row>
    <row r="163" spans="5:7" s="39" customFormat="1" x14ac:dyDescent="0.3">
      <c r="E163" s="41"/>
      <c r="F163" s="41"/>
      <c r="G163" s="41"/>
    </row>
    <row r="164" spans="5:7" s="39" customFormat="1" x14ac:dyDescent="0.3">
      <c r="E164" s="41"/>
      <c r="F164" s="41"/>
      <c r="G164" s="41"/>
    </row>
    <row r="165" spans="5:7" s="39" customFormat="1" x14ac:dyDescent="0.3">
      <c r="E165" s="41"/>
      <c r="F165" s="41"/>
      <c r="G165" s="41"/>
    </row>
    <row r="166" spans="5:7" s="39" customFormat="1" x14ac:dyDescent="0.3">
      <c r="E166" s="41"/>
      <c r="F166" s="41"/>
      <c r="G166" s="41"/>
    </row>
    <row r="167" spans="5:7" s="39" customFormat="1" x14ac:dyDescent="0.3">
      <c r="E167" s="41"/>
      <c r="F167" s="41"/>
      <c r="G167" s="41"/>
    </row>
    <row r="168" spans="5:7" s="39" customFormat="1" x14ac:dyDescent="0.3">
      <c r="E168" s="41"/>
      <c r="F168" s="41"/>
      <c r="G168" s="41"/>
    </row>
    <row r="169" spans="5:7" s="39" customFormat="1" x14ac:dyDescent="0.3">
      <c r="E169" s="41"/>
      <c r="F169" s="41"/>
      <c r="G169" s="41"/>
    </row>
    <row r="170" spans="5:7" s="39" customFormat="1" x14ac:dyDescent="0.3">
      <c r="E170" s="41"/>
      <c r="F170" s="41"/>
      <c r="G170" s="41"/>
    </row>
    <row r="171" spans="5:7" s="39" customFormat="1" x14ac:dyDescent="0.3">
      <c r="E171" s="41"/>
      <c r="F171" s="41"/>
      <c r="G171" s="41"/>
    </row>
    <row r="172" spans="5:7" s="39" customFormat="1" x14ac:dyDescent="0.3">
      <c r="E172" s="41"/>
      <c r="F172" s="41"/>
      <c r="G172" s="41"/>
    </row>
    <row r="173" spans="5:7" s="39" customFormat="1" x14ac:dyDescent="0.3">
      <c r="E173" s="41"/>
      <c r="F173" s="41"/>
      <c r="G173" s="41"/>
    </row>
    <row r="174" spans="5:7" s="39" customFormat="1" x14ac:dyDescent="0.3">
      <c r="E174" s="41"/>
      <c r="F174" s="41"/>
      <c r="G174" s="41"/>
    </row>
    <row r="175" spans="5:7" s="39" customFormat="1" x14ac:dyDescent="0.3">
      <c r="E175" s="41"/>
      <c r="F175" s="41"/>
      <c r="G175" s="41"/>
    </row>
    <row r="176" spans="5:7" s="39" customFormat="1" x14ac:dyDescent="0.3">
      <c r="E176" s="41"/>
      <c r="F176" s="41"/>
      <c r="G176" s="41"/>
    </row>
    <row r="177" spans="5:7" s="39" customFormat="1" x14ac:dyDescent="0.3">
      <c r="E177" s="41"/>
      <c r="F177" s="41"/>
      <c r="G177" s="41"/>
    </row>
    <row r="178" spans="5:7" s="39" customFormat="1" x14ac:dyDescent="0.3">
      <c r="E178" s="41"/>
      <c r="F178" s="41"/>
      <c r="G178" s="41"/>
    </row>
    <row r="179" spans="5:7" s="39" customFormat="1" x14ac:dyDescent="0.3">
      <c r="E179" s="41"/>
      <c r="F179" s="41"/>
      <c r="G179" s="41"/>
    </row>
    <row r="180" spans="5:7" s="39" customFormat="1" x14ac:dyDescent="0.3">
      <c r="E180" s="41"/>
      <c r="F180" s="41"/>
      <c r="G180" s="41"/>
    </row>
    <row r="181" spans="5:7" s="39" customFormat="1" x14ac:dyDescent="0.3">
      <c r="E181" s="41"/>
      <c r="F181" s="41"/>
      <c r="G181" s="41"/>
    </row>
    <row r="182" spans="5:7" s="39" customFormat="1" x14ac:dyDescent="0.3">
      <c r="E182" s="41"/>
      <c r="F182" s="41"/>
      <c r="G182" s="41"/>
    </row>
    <row r="183" spans="5:7" s="39" customFormat="1" x14ac:dyDescent="0.3">
      <c r="E183" s="41"/>
      <c r="F183" s="41"/>
      <c r="G183" s="41"/>
    </row>
    <row r="184" spans="5:7" s="39" customFormat="1" x14ac:dyDescent="0.3">
      <c r="E184" s="41"/>
      <c r="F184" s="41"/>
      <c r="G184" s="41"/>
    </row>
    <row r="185" spans="5:7" s="39" customFormat="1" x14ac:dyDescent="0.3">
      <c r="E185" s="41"/>
      <c r="F185" s="41"/>
      <c r="G185" s="41"/>
    </row>
    <row r="186" spans="5:7" s="39" customFormat="1" x14ac:dyDescent="0.3">
      <c r="E186" s="41"/>
      <c r="F186" s="41"/>
      <c r="G186" s="41"/>
    </row>
    <row r="187" spans="5:7" s="39" customFormat="1" x14ac:dyDescent="0.3">
      <c r="E187" s="41"/>
      <c r="F187" s="41"/>
      <c r="G187" s="41"/>
    </row>
    <row r="188" spans="5:7" s="39" customFormat="1" x14ac:dyDescent="0.3">
      <c r="E188" s="41"/>
      <c r="F188" s="41"/>
      <c r="G188" s="41"/>
    </row>
    <row r="189" spans="5:7" s="39" customFormat="1" x14ac:dyDescent="0.3">
      <c r="E189" s="41"/>
      <c r="F189" s="41"/>
      <c r="G189" s="41"/>
    </row>
    <row r="190" spans="5:7" s="39" customFormat="1" x14ac:dyDescent="0.3">
      <c r="E190" s="41"/>
      <c r="F190" s="41"/>
      <c r="G190" s="41"/>
    </row>
    <row r="191" spans="5:7" s="39" customFormat="1" x14ac:dyDescent="0.3">
      <c r="E191" s="41"/>
      <c r="F191" s="41"/>
      <c r="G191" s="41"/>
    </row>
    <row r="192" spans="5:7" s="39" customFormat="1" x14ac:dyDescent="0.3">
      <c r="E192" s="41"/>
      <c r="F192" s="41"/>
      <c r="G192" s="41"/>
    </row>
    <row r="193" spans="5:7" s="39" customFormat="1" x14ac:dyDescent="0.3">
      <c r="E193" s="41"/>
      <c r="F193" s="41"/>
      <c r="G193" s="41"/>
    </row>
    <row r="194" spans="5:7" s="39" customFormat="1" x14ac:dyDescent="0.3">
      <c r="E194" s="41"/>
      <c r="F194" s="41"/>
      <c r="G194" s="41"/>
    </row>
    <row r="195" spans="5:7" s="39" customFormat="1" x14ac:dyDescent="0.3">
      <c r="E195" s="41"/>
      <c r="F195" s="41"/>
      <c r="G195" s="41"/>
    </row>
    <row r="196" spans="5:7" s="39" customFormat="1" x14ac:dyDescent="0.3">
      <c r="E196" s="41"/>
      <c r="F196" s="41"/>
      <c r="G196" s="41"/>
    </row>
    <row r="197" spans="5:7" s="39" customFormat="1" x14ac:dyDescent="0.3">
      <c r="E197" s="41"/>
      <c r="F197" s="41"/>
      <c r="G197" s="41"/>
    </row>
    <row r="198" spans="5:7" s="39" customFormat="1" x14ac:dyDescent="0.3">
      <c r="E198" s="41"/>
      <c r="F198" s="41"/>
      <c r="G198" s="41"/>
    </row>
    <row r="199" spans="5:7" s="39" customFormat="1" x14ac:dyDescent="0.3">
      <c r="E199" s="41"/>
      <c r="F199" s="41"/>
      <c r="G199" s="41"/>
    </row>
    <row r="200" spans="5:7" s="39" customFormat="1" x14ac:dyDescent="0.3">
      <c r="E200" s="41"/>
      <c r="F200" s="41"/>
      <c r="G200" s="41"/>
    </row>
    <row r="201" spans="5:7" s="39" customFormat="1" x14ac:dyDescent="0.3">
      <c r="E201" s="41"/>
      <c r="F201" s="41"/>
      <c r="G201" s="41"/>
    </row>
    <row r="202" spans="5:7" s="39" customFormat="1" x14ac:dyDescent="0.3">
      <c r="E202" s="41"/>
      <c r="F202" s="41"/>
      <c r="G202" s="41"/>
    </row>
    <row r="203" spans="5:7" s="39" customFormat="1" x14ac:dyDescent="0.3">
      <c r="E203" s="41"/>
      <c r="F203" s="41"/>
      <c r="G203" s="41"/>
    </row>
    <row r="204" spans="5:7" s="39" customFormat="1" x14ac:dyDescent="0.3">
      <c r="E204" s="41"/>
      <c r="F204" s="41"/>
      <c r="G204" s="41"/>
    </row>
    <row r="205" spans="5:7" s="39" customFormat="1" x14ac:dyDescent="0.3">
      <c r="E205" s="41"/>
      <c r="F205" s="41"/>
      <c r="G205" s="41"/>
    </row>
    <row r="206" spans="5:7" s="39" customFormat="1" x14ac:dyDescent="0.3">
      <c r="E206" s="41"/>
      <c r="F206" s="41"/>
      <c r="G206" s="41"/>
    </row>
    <row r="207" spans="5:7" s="39" customFormat="1" x14ac:dyDescent="0.3">
      <c r="E207" s="41"/>
      <c r="F207" s="41"/>
      <c r="G207" s="41"/>
    </row>
    <row r="208" spans="5:7" s="39" customFormat="1" x14ac:dyDescent="0.3">
      <c r="E208" s="41"/>
      <c r="F208" s="41"/>
      <c r="G208" s="41"/>
    </row>
    <row r="209" spans="5:7" s="39" customFormat="1" x14ac:dyDescent="0.3">
      <c r="E209" s="41"/>
      <c r="F209" s="41"/>
      <c r="G209" s="41"/>
    </row>
    <row r="210" spans="5:7" s="39" customFormat="1" x14ac:dyDescent="0.3">
      <c r="E210" s="41"/>
      <c r="F210" s="41"/>
      <c r="G210" s="41"/>
    </row>
    <row r="211" spans="5:7" s="39" customFormat="1" x14ac:dyDescent="0.3">
      <c r="E211" s="41"/>
      <c r="F211" s="41"/>
      <c r="G211" s="41"/>
    </row>
    <row r="212" spans="5:7" s="39" customFormat="1" x14ac:dyDescent="0.3">
      <c r="E212" s="41"/>
      <c r="F212" s="41"/>
      <c r="G212" s="41"/>
    </row>
    <row r="213" spans="5:7" s="39" customFormat="1" x14ac:dyDescent="0.3">
      <c r="E213" s="41"/>
      <c r="F213" s="41"/>
      <c r="G213" s="41"/>
    </row>
    <row r="214" spans="5:7" s="39" customFormat="1" x14ac:dyDescent="0.3">
      <c r="E214" s="41"/>
      <c r="F214" s="41"/>
      <c r="G214" s="41"/>
    </row>
    <row r="215" spans="5:7" s="39" customFormat="1" x14ac:dyDescent="0.3">
      <c r="E215" s="41"/>
      <c r="F215" s="41"/>
      <c r="G215" s="41"/>
    </row>
    <row r="216" spans="5:7" s="39" customFormat="1" x14ac:dyDescent="0.3">
      <c r="E216" s="41"/>
      <c r="F216" s="41"/>
      <c r="G216" s="41"/>
    </row>
    <row r="217" spans="5:7" s="39" customFormat="1" x14ac:dyDescent="0.3">
      <c r="E217" s="41"/>
      <c r="F217" s="41"/>
      <c r="G217" s="41"/>
    </row>
    <row r="218" spans="5:7" s="39" customFormat="1" x14ac:dyDescent="0.3">
      <c r="E218" s="41"/>
      <c r="F218" s="41"/>
      <c r="G218" s="41"/>
    </row>
    <row r="219" spans="5:7" s="39" customFormat="1" x14ac:dyDescent="0.3">
      <c r="E219" s="41"/>
      <c r="F219" s="41"/>
      <c r="G219" s="41"/>
    </row>
    <row r="220" spans="5:7" s="39" customFormat="1" x14ac:dyDescent="0.3">
      <c r="E220" s="41"/>
      <c r="F220" s="41"/>
      <c r="G220" s="41"/>
    </row>
    <row r="221" spans="5:7" s="39" customFormat="1" x14ac:dyDescent="0.3">
      <c r="E221" s="41"/>
      <c r="F221" s="41"/>
      <c r="G221" s="41"/>
    </row>
    <row r="222" spans="5:7" s="39" customFormat="1" x14ac:dyDescent="0.3">
      <c r="E222" s="41"/>
      <c r="F222" s="41"/>
      <c r="G222" s="41"/>
    </row>
    <row r="223" spans="5:7" s="39" customFormat="1" x14ac:dyDescent="0.3">
      <c r="E223" s="41"/>
      <c r="F223" s="41"/>
      <c r="G223" s="41"/>
    </row>
    <row r="224" spans="5:7" s="39" customFormat="1" x14ac:dyDescent="0.3">
      <c r="E224" s="41"/>
      <c r="F224" s="41"/>
      <c r="G224" s="41"/>
    </row>
    <row r="225" spans="5:7" s="39" customFormat="1" x14ac:dyDescent="0.3">
      <c r="E225" s="41"/>
      <c r="F225" s="41"/>
      <c r="G225" s="41"/>
    </row>
    <row r="226" spans="5:7" s="39" customFormat="1" x14ac:dyDescent="0.3">
      <c r="E226" s="41"/>
      <c r="F226" s="41"/>
      <c r="G226" s="41"/>
    </row>
    <row r="227" spans="5:7" s="39" customFormat="1" x14ac:dyDescent="0.3">
      <c r="E227" s="41"/>
      <c r="F227" s="41"/>
      <c r="G227" s="41"/>
    </row>
    <row r="228" spans="5:7" s="39" customFormat="1" x14ac:dyDescent="0.3">
      <c r="E228" s="41"/>
      <c r="F228" s="41"/>
      <c r="G228" s="41"/>
    </row>
    <row r="229" spans="5:7" s="39" customFormat="1" x14ac:dyDescent="0.3">
      <c r="E229" s="41"/>
      <c r="F229" s="41"/>
      <c r="G229" s="41"/>
    </row>
    <row r="230" spans="5:7" s="39" customFormat="1" x14ac:dyDescent="0.3">
      <c r="E230" s="41"/>
      <c r="F230" s="41"/>
      <c r="G230" s="41"/>
    </row>
    <row r="231" spans="5:7" s="39" customFormat="1" x14ac:dyDescent="0.3">
      <c r="E231" s="41"/>
      <c r="F231" s="41"/>
      <c r="G231" s="41"/>
    </row>
    <row r="232" spans="5:7" s="39" customFormat="1" x14ac:dyDescent="0.3">
      <c r="E232" s="41"/>
      <c r="F232" s="41"/>
      <c r="G232" s="41"/>
    </row>
    <row r="233" spans="5:7" s="39" customFormat="1" x14ac:dyDescent="0.3">
      <c r="E233" s="41"/>
      <c r="F233" s="41"/>
      <c r="G233" s="41"/>
    </row>
    <row r="234" spans="5:7" s="39" customFormat="1" x14ac:dyDescent="0.3">
      <c r="E234" s="41"/>
      <c r="F234" s="41"/>
      <c r="G234" s="41"/>
    </row>
    <row r="235" spans="5:7" s="39" customFormat="1" x14ac:dyDescent="0.3">
      <c r="E235" s="41"/>
      <c r="F235" s="41"/>
      <c r="G235" s="41"/>
    </row>
    <row r="236" spans="5:7" s="39" customFormat="1" x14ac:dyDescent="0.3">
      <c r="E236" s="41"/>
      <c r="F236" s="41"/>
      <c r="G236" s="41"/>
    </row>
    <row r="237" spans="5:7" s="39" customFormat="1" x14ac:dyDescent="0.3">
      <c r="E237" s="41"/>
      <c r="F237" s="41"/>
      <c r="G237" s="41"/>
    </row>
    <row r="238" spans="5:7" s="39" customFormat="1" x14ac:dyDescent="0.3">
      <c r="E238" s="41"/>
      <c r="F238" s="41"/>
      <c r="G238" s="41"/>
    </row>
    <row r="239" spans="5:7" s="39" customFormat="1" x14ac:dyDescent="0.3">
      <c r="E239" s="41"/>
      <c r="F239" s="41"/>
      <c r="G239" s="41"/>
    </row>
    <row r="240" spans="5:7" s="39" customFormat="1" x14ac:dyDescent="0.3">
      <c r="E240" s="41"/>
      <c r="F240" s="41"/>
      <c r="G240" s="41"/>
    </row>
    <row r="241" spans="5:7" s="39" customFormat="1" x14ac:dyDescent="0.3">
      <c r="E241" s="41"/>
      <c r="F241" s="41"/>
      <c r="G241" s="41"/>
    </row>
    <row r="242" spans="5:7" s="39" customFormat="1" x14ac:dyDescent="0.3">
      <c r="E242" s="41"/>
      <c r="F242" s="41"/>
      <c r="G242" s="41"/>
    </row>
    <row r="243" spans="5:7" s="39" customFormat="1" x14ac:dyDescent="0.3">
      <c r="E243" s="41"/>
      <c r="F243" s="41"/>
      <c r="G243" s="41"/>
    </row>
    <row r="244" spans="5:7" s="39" customFormat="1" x14ac:dyDescent="0.3">
      <c r="E244" s="41"/>
      <c r="F244" s="41"/>
      <c r="G244" s="41"/>
    </row>
    <row r="245" spans="5:7" s="39" customFormat="1" x14ac:dyDescent="0.3">
      <c r="E245" s="41"/>
      <c r="F245" s="41"/>
      <c r="G245" s="41"/>
    </row>
    <row r="246" spans="5:7" s="39" customFormat="1" x14ac:dyDescent="0.3">
      <c r="E246" s="41"/>
      <c r="F246" s="41"/>
      <c r="G246" s="41"/>
    </row>
    <row r="247" spans="5:7" s="39" customFormat="1" x14ac:dyDescent="0.3">
      <c r="E247" s="41"/>
      <c r="F247" s="41"/>
      <c r="G247" s="41"/>
    </row>
    <row r="248" spans="5:7" s="39" customFormat="1" x14ac:dyDescent="0.3">
      <c r="E248" s="41"/>
      <c r="F248" s="41"/>
      <c r="G248" s="41"/>
    </row>
    <row r="249" spans="5:7" s="39" customFormat="1" x14ac:dyDescent="0.3">
      <c r="E249" s="41"/>
      <c r="F249" s="41"/>
      <c r="G249" s="41"/>
    </row>
    <row r="250" spans="5:7" s="39" customFormat="1" x14ac:dyDescent="0.3">
      <c r="E250" s="41"/>
      <c r="F250" s="41"/>
      <c r="G250" s="41"/>
    </row>
    <row r="251" spans="5:7" s="39" customFormat="1" x14ac:dyDescent="0.3">
      <c r="E251" s="41"/>
      <c r="F251" s="41"/>
      <c r="G251" s="41"/>
    </row>
    <row r="252" spans="5:7" s="39" customFormat="1" x14ac:dyDescent="0.3">
      <c r="E252" s="41"/>
      <c r="F252" s="41"/>
      <c r="G252" s="41"/>
    </row>
    <row r="253" spans="5:7" s="39" customFormat="1" x14ac:dyDescent="0.3">
      <c r="E253" s="41"/>
      <c r="F253" s="41"/>
      <c r="G253" s="41"/>
    </row>
    <row r="254" spans="5:7" s="39" customFormat="1" x14ac:dyDescent="0.3">
      <c r="E254" s="41"/>
      <c r="F254" s="41"/>
      <c r="G254" s="41"/>
    </row>
    <row r="255" spans="5:7" s="39" customFormat="1" x14ac:dyDescent="0.3">
      <c r="E255" s="41"/>
      <c r="F255" s="41"/>
      <c r="G255" s="41"/>
    </row>
    <row r="256" spans="5:7" s="39" customFormat="1" x14ac:dyDescent="0.3">
      <c r="E256" s="41"/>
      <c r="F256" s="41"/>
      <c r="G256" s="41"/>
    </row>
    <row r="257" spans="5:7" s="39" customFormat="1" x14ac:dyDescent="0.3">
      <c r="E257" s="41"/>
      <c r="F257" s="41"/>
      <c r="G257" s="41"/>
    </row>
    <row r="258" spans="5:7" s="39" customFormat="1" x14ac:dyDescent="0.3">
      <c r="E258" s="41"/>
      <c r="F258" s="41"/>
      <c r="G258" s="41"/>
    </row>
    <row r="259" spans="5:7" s="39" customFormat="1" x14ac:dyDescent="0.3">
      <c r="E259" s="41"/>
      <c r="F259" s="41"/>
      <c r="G259" s="41"/>
    </row>
    <row r="260" spans="5:7" s="39" customFormat="1" x14ac:dyDescent="0.3">
      <c r="E260" s="41"/>
      <c r="F260" s="41"/>
      <c r="G260" s="41"/>
    </row>
    <row r="261" spans="5:7" s="39" customFormat="1" x14ac:dyDescent="0.3">
      <c r="E261" s="41"/>
      <c r="F261" s="41"/>
      <c r="G261" s="41"/>
    </row>
    <row r="262" spans="5:7" s="39" customFormat="1" x14ac:dyDescent="0.3">
      <c r="E262" s="41"/>
      <c r="F262" s="41"/>
      <c r="G262" s="41"/>
    </row>
    <row r="263" spans="5:7" s="39" customFormat="1" x14ac:dyDescent="0.3">
      <c r="E263" s="41"/>
      <c r="F263" s="41"/>
      <c r="G263" s="41"/>
    </row>
    <row r="264" spans="5:7" s="39" customFormat="1" x14ac:dyDescent="0.3">
      <c r="E264" s="41"/>
      <c r="F264" s="41"/>
      <c r="G264" s="41"/>
    </row>
    <row r="265" spans="5:7" s="39" customFormat="1" x14ac:dyDescent="0.3">
      <c r="E265" s="41"/>
      <c r="F265" s="41"/>
      <c r="G265" s="41"/>
    </row>
    <row r="266" spans="5:7" s="39" customFormat="1" x14ac:dyDescent="0.3">
      <c r="E266" s="41"/>
      <c r="F266" s="41"/>
      <c r="G266" s="41"/>
    </row>
    <row r="267" spans="5:7" s="39" customFormat="1" x14ac:dyDescent="0.3">
      <c r="E267" s="41"/>
      <c r="F267" s="41"/>
      <c r="G267" s="41"/>
    </row>
    <row r="268" spans="5:7" s="39" customFormat="1" x14ac:dyDescent="0.3">
      <c r="E268" s="41"/>
      <c r="F268" s="41"/>
      <c r="G268" s="41"/>
    </row>
    <row r="269" spans="5:7" s="39" customFormat="1" x14ac:dyDescent="0.3">
      <c r="E269" s="41"/>
      <c r="F269" s="41"/>
      <c r="G269" s="41"/>
    </row>
    <row r="270" spans="5:7" s="39" customFormat="1" x14ac:dyDescent="0.3">
      <c r="E270" s="41"/>
      <c r="F270" s="41"/>
      <c r="G270" s="41"/>
    </row>
    <row r="271" spans="5:7" s="39" customFormat="1" x14ac:dyDescent="0.3">
      <c r="E271" s="41"/>
      <c r="F271" s="41"/>
      <c r="G271" s="41"/>
    </row>
    <row r="272" spans="5:7" s="39" customFormat="1" x14ac:dyDescent="0.3">
      <c r="E272" s="41"/>
      <c r="F272" s="41"/>
      <c r="G272" s="41"/>
    </row>
    <row r="273" spans="5:7" s="39" customFormat="1" x14ac:dyDescent="0.3">
      <c r="E273" s="41"/>
      <c r="F273" s="41"/>
      <c r="G273" s="41"/>
    </row>
    <row r="274" spans="5:7" s="39" customFormat="1" x14ac:dyDescent="0.3">
      <c r="E274" s="41"/>
      <c r="F274" s="41"/>
      <c r="G274" s="41"/>
    </row>
    <row r="275" spans="5:7" s="39" customFormat="1" x14ac:dyDescent="0.3">
      <c r="E275" s="41"/>
      <c r="F275" s="41"/>
      <c r="G275" s="41"/>
    </row>
    <row r="276" spans="5:7" s="39" customFormat="1" x14ac:dyDescent="0.3">
      <c r="E276" s="41"/>
      <c r="F276" s="41"/>
      <c r="G276" s="41"/>
    </row>
    <row r="277" spans="5:7" s="39" customFormat="1" x14ac:dyDescent="0.3">
      <c r="E277" s="41"/>
      <c r="F277" s="41"/>
      <c r="G277" s="41"/>
    </row>
    <row r="278" spans="5:7" s="39" customFormat="1" x14ac:dyDescent="0.3">
      <c r="E278" s="41"/>
      <c r="F278" s="41"/>
      <c r="G278" s="41"/>
    </row>
    <row r="279" spans="5:7" s="39" customFormat="1" x14ac:dyDescent="0.3">
      <c r="E279" s="41"/>
      <c r="F279" s="41"/>
      <c r="G279" s="41"/>
    </row>
    <row r="280" spans="5:7" s="39" customFormat="1" x14ac:dyDescent="0.3">
      <c r="E280" s="41"/>
      <c r="F280" s="41"/>
      <c r="G280" s="41"/>
    </row>
    <row r="281" spans="5:7" s="39" customFormat="1" x14ac:dyDescent="0.3">
      <c r="E281" s="41"/>
      <c r="F281" s="41"/>
      <c r="G281" s="41"/>
    </row>
    <row r="282" spans="5:7" s="39" customFormat="1" x14ac:dyDescent="0.3">
      <c r="E282" s="41"/>
      <c r="F282" s="41"/>
      <c r="G282" s="41"/>
    </row>
    <row r="283" spans="5:7" s="39" customFormat="1" x14ac:dyDescent="0.3">
      <c r="E283" s="41"/>
      <c r="F283" s="41"/>
      <c r="G283" s="41"/>
    </row>
    <row r="284" spans="5:7" s="39" customFormat="1" x14ac:dyDescent="0.3">
      <c r="E284" s="41"/>
      <c r="F284" s="41"/>
      <c r="G284" s="41"/>
    </row>
    <row r="285" spans="5:7" s="39" customFormat="1" x14ac:dyDescent="0.3">
      <c r="E285" s="41"/>
      <c r="F285" s="41"/>
      <c r="G285" s="41"/>
    </row>
    <row r="286" spans="5:7" s="39" customFormat="1" x14ac:dyDescent="0.3">
      <c r="E286" s="41"/>
      <c r="F286" s="41"/>
      <c r="G286" s="41"/>
    </row>
    <row r="287" spans="5:7" s="39" customFormat="1" x14ac:dyDescent="0.3">
      <c r="E287" s="41"/>
      <c r="F287" s="41"/>
      <c r="G287" s="41"/>
    </row>
    <row r="288" spans="5:7" s="39" customFormat="1" x14ac:dyDescent="0.3">
      <c r="E288" s="41"/>
      <c r="F288" s="41"/>
      <c r="G288" s="41"/>
    </row>
    <row r="289" spans="5:7" s="39" customFormat="1" x14ac:dyDescent="0.3">
      <c r="E289" s="41"/>
      <c r="F289" s="41"/>
      <c r="G289" s="41"/>
    </row>
    <row r="290" spans="5:7" s="39" customFormat="1" x14ac:dyDescent="0.3">
      <c r="E290" s="41"/>
      <c r="F290" s="41"/>
      <c r="G290" s="41"/>
    </row>
    <row r="291" spans="5:7" s="39" customFormat="1" x14ac:dyDescent="0.3">
      <c r="E291" s="41"/>
      <c r="F291" s="41"/>
      <c r="G291" s="41"/>
    </row>
    <row r="292" spans="5:7" s="39" customFormat="1" x14ac:dyDescent="0.3">
      <c r="E292" s="41"/>
      <c r="F292" s="41"/>
      <c r="G292" s="41"/>
    </row>
    <row r="293" spans="5:7" s="39" customFormat="1" x14ac:dyDescent="0.3">
      <c r="E293" s="41"/>
      <c r="F293" s="41"/>
      <c r="G293" s="41"/>
    </row>
    <row r="294" spans="5:7" s="39" customFormat="1" x14ac:dyDescent="0.3">
      <c r="E294" s="41"/>
      <c r="F294" s="41"/>
      <c r="G294" s="41"/>
    </row>
    <row r="295" spans="5:7" s="39" customFormat="1" x14ac:dyDescent="0.3">
      <c r="E295" s="41"/>
      <c r="F295" s="41"/>
      <c r="G295" s="41"/>
    </row>
    <row r="296" spans="5:7" s="39" customFormat="1" x14ac:dyDescent="0.3">
      <c r="E296" s="41"/>
      <c r="F296" s="41"/>
      <c r="G296" s="41"/>
    </row>
    <row r="297" spans="5:7" s="39" customFormat="1" x14ac:dyDescent="0.3">
      <c r="E297" s="41"/>
      <c r="F297" s="41"/>
      <c r="G297" s="41"/>
    </row>
    <row r="298" spans="5:7" s="39" customFormat="1" x14ac:dyDescent="0.3">
      <c r="E298" s="41"/>
      <c r="F298" s="41"/>
      <c r="G298" s="41"/>
    </row>
    <row r="299" spans="5:7" s="39" customFormat="1" x14ac:dyDescent="0.3">
      <c r="E299" s="41"/>
      <c r="F299" s="41"/>
      <c r="G299" s="41"/>
    </row>
    <row r="300" spans="5:7" s="39" customFormat="1" x14ac:dyDescent="0.3">
      <c r="E300" s="41"/>
      <c r="F300" s="41"/>
      <c r="G300" s="41"/>
    </row>
    <row r="301" spans="5:7" s="39" customFormat="1" x14ac:dyDescent="0.3">
      <c r="E301" s="41"/>
      <c r="F301" s="41"/>
      <c r="G301" s="41"/>
    </row>
    <row r="302" spans="5:7" s="39" customFormat="1" x14ac:dyDescent="0.3">
      <c r="E302" s="41"/>
      <c r="F302" s="41"/>
      <c r="G302" s="41"/>
    </row>
    <row r="303" spans="5:7" s="39" customFormat="1" x14ac:dyDescent="0.3">
      <c r="E303" s="41"/>
      <c r="F303" s="41"/>
      <c r="G303" s="41"/>
    </row>
    <row r="304" spans="5:7" s="39" customFormat="1" x14ac:dyDescent="0.3">
      <c r="E304" s="41"/>
      <c r="F304" s="41"/>
      <c r="G304" s="41"/>
    </row>
    <row r="305" spans="5:7" s="39" customFormat="1" x14ac:dyDescent="0.3">
      <c r="E305" s="41"/>
      <c r="F305" s="41"/>
      <c r="G305" s="41"/>
    </row>
    <row r="306" spans="5:7" s="39" customFormat="1" x14ac:dyDescent="0.3">
      <c r="E306" s="41"/>
      <c r="F306" s="41"/>
      <c r="G306" s="41"/>
    </row>
    <row r="307" spans="5:7" s="39" customFormat="1" x14ac:dyDescent="0.3">
      <c r="E307" s="41"/>
      <c r="F307" s="41"/>
      <c r="G307" s="41"/>
    </row>
    <row r="308" spans="5:7" s="39" customFormat="1" x14ac:dyDescent="0.3">
      <c r="E308" s="41"/>
      <c r="F308" s="41"/>
      <c r="G308" s="41"/>
    </row>
    <row r="309" spans="5:7" s="39" customFormat="1" x14ac:dyDescent="0.3">
      <c r="E309" s="41"/>
      <c r="F309" s="41"/>
      <c r="G309" s="41"/>
    </row>
    <row r="310" spans="5:7" s="39" customFormat="1" x14ac:dyDescent="0.3">
      <c r="E310" s="41"/>
      <c r="F310" s="41"/>
      <c r="G310" s="41"/>
    </row>
    <row r="311" spans="5:7" s="39" customFormat="1" x14ac:dyDescent="0.3">
      <c r="E311" s="41"/>
      <c r="F311" s="41"/>
      <c r="G311" s="41"/>
    </row>
    <row r="312" spans="5:7" s="39" customFormat="1" x14ac:dyDescent="0.3">
      <c r="E312" s="41"/>
      <c r="F312" s="41"/>
      <c r="G312" s="41"/>
    </row>
    <row r="313" spans="5:7" s="39" customFormat="1" x14ac:dyDescent="0.3">
      <c r="E313" s="41"/>
      <c r="F313" s="41"/>
      <c r="G313" s="41"/>
    </row>
    <row r="314" spans="5:7" s="39" customFormat="1" x14ac:dyDescent="0.3">
      <c r="E314" s="41"/>
      <c r="F314" s="41"/>
      <c r="G314" s="41"/>
    </row>
    <row r="315" spans="5:7" s="39" customFormat="1" x14ac:dyDescent="0.3">
      <c r="E315" s="41"/>
      <c r="F315" s="41"/>
      <c r="G315" s="41"/>
    </row>
    <row r="316" spans="5:7" s="39" customFormat="1" x14ac:dyDescent="0.3">
      <c r="E316" s="41"/>
      <c r="F316" s="41"/>
      <c r="G316" s="41"/>
    </row>
    <row r="317" spans="5:7" s="39" customFormat="1" x14ac:dyDescent="0.3">
      <c r="E317" s="41"/>
      <c r="F317" s="41"/>
      <c r="G317" s="41"/>
    </row>
    <row r="318" spans="5:7" s="39" customFormat="1" x14ac:dyDescent="0.3">
      <c r="E318" s="41"/>
      <c r="F318" s="41"/>
      <c r="G318" s="41"/>
    </row>
    <row r="319" spans="5:7" s="39" customFormat="1" x14ac:dyDescent="0.3">
      <c r="E319" s="41"/>
      <c r="F319" s="41"/>
      <c r="G319" s="41"/>
    </row>
    <row r="320" spans="5:7" s="39" customFormat="1" x14ac:dyDescent="0.3">
      <c r="E320" s="41"/>
      <c r="F320" s="41"/>
      <c r="G320" s="41"/>
    </row>
    <row r="321" spans="5:7" s="39" customFormat="1" x14ac:dyDescent="0.3">
      <c r="E321" s="41"/>
      <c r="F321" s="41"/>
      <c r="G321" s="41"/>
    </row>
    <row r="322" spans="5:7" s="39" customFormat="1" x14ac:dyDescent="0.3">
      <c r="E322" s="41"/>
      <c r="F322" s="41"/>
      <c r="G322" s="41"/>
    </row>
    <row r="323" spans="5:7" s="39" customFormat="1" x14ac:dyDescent="0.3">
      <c r="E323" s="41"/>
      <c r="F323" s="41"/>
      <c r="G323" s="41"/>
    </row>
    <row r="324" spans="5:7" s="39" customFormat="1" x14ac:dyDescent="0.3">
      <c r="E324" s="41"/>
      <c r="F324" s="41"/>
      <c r="G324" s="41"/>
    </row>
    <row r="325" spans="5:7" s="39" customFormat="1" x14ac:dyDescent="0.3">
      <c r="E325" s="41"/>
      <c r="F325" s="41"/>
      <c r="G325" s="41"/>
    </row>
    <row r="326" spans="5:7" s="39" customFormat="1" x14ac:dyDescent="0.3">
      <c r="E326" s="41"/>
      <c r="F326" s="41"/>
      <c r="G326" s="41"/>
    </row>
    <row r="327" spans="5:7" s="39" customFormat="1" x14ac:dyDescent="0.3">
      <c r="E327" s="41"/>
      <c r="F327" s="41"/>
      <c r="G327" s="41"/>
    </row>
    <row r="328" spans="5:7" s="39" customFormat="1" x14ac:dyDescent="0.3">
      <c r="E328" s="41"/>
      <c r="F328" s="41"/>
      <c r="G328" s="41"/>
    </row>
    <row r="329" spans="5:7" s="39" customFormat="1" x14ac:dyDescent="0.3">
      <c r="E329" s="41"/>
      <c r="F329" s="41"/>
      <c r="G329" s="41"/>
    </row>
    <row r="330" spans="5:7" s="39" customFormat="1" x14ac:dyDescent="0.3">
      <c r="E330" s="41"/>
      <c r="F330" s="41"/>
      <c r="G330" s="41"/>
    </row>
    <row r="331" spans="5:7" s="39" customFormat="1" x14ac:dyDescent="0.3">
      <c r="E331" s="41"/>
      <c r="F331" s="41"/>
      <c r="G331" s="41"/>
    </row>
    <row r="332" spans="5:7" s="39" customFormat="1" x14ac:dyDescent="0.3">
      <c r="E332" s="41"/>
      <c r="F332" s="41"/>
      <c r="G332" s="41"/>
    </row>
    <row r="333" spans="5:7" s="39" customFormat="1" x14ac:dyDescent="0.3">
      <c r="E333" s="41"/>
      <c r="F333" s="41"/>
      <c r="G333" s="41"/>
    </row>
    <row r="334" spans="5:7" s="39" customFormat="1" x14ac:dyDescent="0.3">
      <c r="E334" s="41"/>
      <c r="F334" s="41"/>
      <c r="G334" s="41"/>
    </row>
    <row r="335" spans="5:7" s="39" customFormat="1" x14ac:dyDescent="0.3">
      <c r="E335" s="41"/>
      <c r="F335" s="41"/>
      <c r="G335" s="41"/>
    </row>
    <row r="336" spans="5:7" s="39" customFormat="1" x14ac:dyDescent="0.3">
      <c r="E336" s="41"/>
      <c r="F336" s="41"/>
      <c r="G336" s="41"/>
    </row>
    <row r="337" spans="5:7" s="39" customFormat="1" x14ac:dyDescent="0.3">
      <c r="E337" s="41"/>
      <c r="F337" s="41"/>
      <c r="G337" s="41"/>
    </row>
    <row r="338" spans="5:7" s="39" customFormat="1" x14ac:dyDescent="0.3">
      <c r="E338" s="41"/>
      <c r="F338" s="41"/>
      <c r="G338" s="41"/>
    </row>
    <row r="339" spans="5:7" s="39" customFormat="1" x14ac:dyDescent="0.3">
      <c r="E339" s="41"/>
      <c r="F339" s="41"/>
      <c r="G339" s="41"/>
    </row>
    <row r="340" spans="5:7" s="39" customFormat="1" x14ac:dyDescent="0.3">
      <c r="E340" s="41"/>
      <c r="F340" s="41"/>
      <c r="G340" s="41"/>
    </row>
    <row r="341" spans="5:7" s="39" customFormat="1" x14ac:dyDescent="0.3">
      <c r="E341" s="41"/>
      <c r="F341" s="41"/>
      <c r="G341" s="41"/>
    </row>
    <row r="342" spans="5:7" s="39" customFormat="1" x14ac:dyDescent="0.3">
      <c r="E342" s="41"/>
      <c r="F342" s="41"/>
      <c r="G342" s="41"/>
    </row>
    <row r="343" spans="5:7" s="39" customFormat="1" x14ac:dyDescent="0.3">
      <c r="E343" s="41"/>
      <c r="F343" s="41"/>
      <c r="G343" s="41"/>
    </row>
    <row r="344" spans="5:7" s="39" customFormat="1" x14ac:dyDescent="0.3">
      <c r="E344" s="41"/>
      <c r="F344" s="41"/>
      <c r="G344" s="41"/>
    </row>
    <row r="345" spans="5:7" s="39" customFormat="1" x14ac:dyDescent="0.3">
      <c r="E345" s="41"/>
      <c r="F345" s="41"/>
      <c r="G345" s="41"/>
    </row>
    <row r="346" spans="5:7" s="39" customFormat="1" x14ac:dyDescent="0.3">
      <c r="E346" s="41"/>
      <c r="F346" s="41"/>
      <c r="G346" s="41"/>
    </row>
    <row r="347" spans="5:7" s="39" customFormat="1" x14ac:dyDescent="0.3">
      <c r="E347" s="41"/>
      <c r="F347" s="41"/>
      <c r="G347" s="41"/>
    </row>
    <row r="348" spans="5:7" s="39" customFormat="1" x14ac:dyDescent="0.3">
      <c r="E348" s="41"/>
      <c r="F348" s="41"/>
      <c r="G348" s="41"/>
    </row>
    <row r="349" spans="5:7" s="39" customFormat="1" x14ac:dyDescent="0.3">
      <c r="E349" s="41"/>
      <c r="F349" s="41"/>
      <c r="G349" s="41"/>
    </row>
    <row r="350" spans="5:7" s="39" customFormat="1" x14ac:dyDescent="0.3">
      <c r="E350" s="41"/>
      <c r="F350" s="41"/>
      <c r="G350" s="41"/>
    </row>
    <row r="351" spans="5:7" s="39" customFormat="1" x14ac:dyDescent="0.3">
      <c r="E351" s="41"/>
      <c r="F351" s="41"/>
      <c r="G351" s="41"/>
    </row>
    <row r="352" spans="5:7" s="39" customFormat="1" x14ac:dyDescent="0.3">
      <c r="E352" s="41"/>
      <c r="F352" s="41"/>
      <c r="G352" s="41"/>
    </row>
    <row r="353" spans="5:7" s="39" customFormat="1" x14ac:dyDescent="0.3">
      <c r="E353" s="41"/>
      <c r="F353" s="41"/>
      <c r="G353" s="41"/>
    </row>
    <row r="354" spans="5:7" s="39" customFormat="1" x14ac:dyDescent="0.3">
      <c r="E354" s="41"/>
      <c r="F354" s="41"/>
      <c r="G354" s="41"/>
    </row>
    <row r="355" spans="5:7" s="39" customFormat="1" x14ac:dyDescent="0.3">
      <c r="E355" s="41"/>
      <c r="F355" s="41"/>
      <c r="G355" s="41"/>
    </row>
    <row r="356" spans="5:7" s="39" customFormat="1" x14ac:dyDescent="0.3">
      <c r="E356" s="41"/>
      <c r="F356" s="41"/>
      <c r="G356" s="41"/>
    </row>
    <row r="357" spans="5:7" s="39" customFormat="1" x14ac:dyDescent="0.3">
      <c r="E357" s="41"/>
      <c r="F357" s="41"/>
      <c r="G357" s="41"/>
    </row>
    <row r="358" spans="5:7" s="39" customFormat="1" x14ac:dyDescent="0.3">
      <c r="E358" s="41"/>
      <c r="F358" s="41"/>
      <c r="G358" s="41"/>
    </row>
    <row r="359" spans="5:7" s="39" customFormat="1" x14ac:dyDescent="0.3">
      <c r="E359" s="41"/>
      <c r="F359" s="41"/>
      <c r="G359" s="41"/>
    </row>
    <row r="360" spans="5:7" s="39" customFormat="1" x14ac:dyDescent="0.3">
      <c r="E360" s="41"/>
      <c r="F360" s="41"/>
      <c r="G360" s="41"/>
    </row>
    <row r="361" spans="5:7" s="39" customFormat="1" x14ac:dyDescent="0.3">
      <c r="E361" s="41"/>
      <c r="F361" s="41"/>
      <c r="G361" s="41"/>
    </row>
    <row r="362" spans="5:7" s="39" customFormat="1" x14ac:dyDescent="0.3">
      <c r="E362" s="41"/>
      <c r="F362" s="41"/>
      <c r="G362" s="41"/>
    </row>
    <row r="363" spans="5:7" s="39" customFormat="1" x14ac:dyDescent="0.3">
      <c r="E363" s="41"/>
      <c r="F363" s="41"/>
      <c r="G363" s="41"/>
    </row>
    <row r="364" spans="5:7" s="39" customFormat="1" x14ac:dyDescent="0.3">
      <c r="E364" s="41"/>
      <c r="F364" s="41"/>
      <c r="G364" s="41"/>
    </row>
    <row r="365" spans="5:7" s="39" customFormat="1" x14ac:dyDescent="0.3">
      <c r="E365" s="41"/>
      <c r="F365" s="41"/>
      <c r="G365" s="41"/>
    </row>
    <row r="366" spans="5:7" s="39" customFormat="1" x14ac:dyDescent="0.3">
      <c r="E366" s="41"/>
      <c r="F366" s="41"/>
      <c r="G366" s="41"/>
    </row>
    <row r="367" spans="5:7" s="39" customFormat="1" x14ac:dyDescent="0.3">
      <c r="E367" s="41"/>
      <c r="F367" s="41"/>
      <c r="G367" s="41"/>
    </row>
    <row r="368" spans="5:7" s="39" customFormat="1" x14ac:dyDescent="0.3">
      <c r="E368" s="41"/>
      <c r="F368" s="41"/>
      <c r="G368" s="41"/>
    </row>
    <row r="369" spans="5:7" s="39" customFormat="1" x14ac:dyDescent="0.3">
      <c r="E369" s="41"/>
      <c r="F369" s="41"/>
      <c r="G369" s="41"/>
    </row>
    <row r="370" spans="5:7" s="39" customFormat="1" x14ac:dyDescent="0.3">
      <c r="E370" s="41"/>
      <c r="F370" s="41"/>
      <c r="G370" s="41"/>
    </row>
    <row r="371" spans="5:7" s="39" customFormat="1" x14ac:dyDescent="0.3">
      <c r="E371" s="41"/>
      <c r="F371" s="41"/>
      <c r="G371" s="41"/>
    </row>
    <row r="372" spans="5:7" s="39" customFormat="1" x14ac:dyDescent="0.3">
      <c r="E372" s="41"/>
      <c r="F372" s="41"/>
      <c r="G372" s="41"/>
    </row>
    <row r="373" spans="5:7" s="39" customFormat="1" x14ac:dyDescent="0.3">
      <c r="E373" s="41"/>
      <c r="F373" s="41"/>
      <c r="G373" s="41"/>
    </row>
    <row r="374" spans="5:7" s="39" customFormat="1" x14ac:dyDescent="0.3">
      <c r="E374" s="41"/>
      <c r="F374" s="41"/>
      <c r="G374" s="41"/>
    </row>
    <row r="375" spans="5:7" s="39" customFormat="1" x14ac:dyDescent="0.3">
      <c r="E375" s="41"/>
      <c r="F375" s="41"/>
      <c r="G375" s="41"/>
    </row>
    <row r="376" spans="5:7" s="39" customFormat="1" x14ac:dyDescent="0.3">
      <c r="E376" s="41"/>
      <c r="F376" s="41"/>
      <c r="G376" s="41"/>
    </row>
    <row r="377" spans="5:7" s="39" customFormat="1" x14ac:dyDescent="0.3">
      <c r="E377" s="41"/>
      <c r="F377" s="41"/>
      <c r="G377" s="41"/>
    </row>
    <row r="378" spans="5:7" s="39" customFormat="1" x14ac:dyDescent="0.3">
      <c r="E378" s="41"/>
      <c r="F378" s="41"/>
      <c r="G378" s="41"/>
    </row>
    <row r="379" spans="5:7" s="39" customFormat="1" x14ac:dyDescent="0.3">
      <c r="E379" s="41"/>
      <c r="F379" s="41"/>
      <c r="G379" s="41"/>
    </row>
    <row r="380" spans="5:7" s="39" customFormat="1" x14ac:dyDescent="0.3">
      <c r="E380" s="41"/>
      <c r="F380" s="41"/>
      <c r="G380" s="41"/>
    </row>
    <row r="381" spans="5:7" s="39" customFormat="1" x14ac:dyDescent="0.3">
      <c r="E381" s="41"/>
      <c r="F381" s="41"/>
      <c r="G381" s="41"/>
    </row>
    <row r="382" spans="5:7" s="39" customFormat="1" x14ac:dyDescent="0.3">
      <c r="E382" s="41"/>
      <c r="F382" s="41"/>
      <c r="G382" s="41"/>
    </row>
    <row r="383" spans="5:7" s="39" customFormat="1" x14ac:dyDescent="0.3">
      <c r="E383" s="41"/>
      <c r="F383" s="41"/>
      <c r="G383" s="41"/>
    </row>
    <row r="384" spans="5:7" s="39" customFormat="1" x14ac:dyDescent="0.3">
      <c r="E384" s="41"/>
      <c r="F384" s="41"/>
      <c r="G384" s="41"/>
    </row>
    <row r="385" spans="5:7" s="39" customFormat="1" x14ac:dyDescent="0.3">
      <c r="E385" s="41"/>
      <c r="F385" s="41"/>
      <c r="G385" s="41"/>
    </row>
    <row r="386" spans="5:7" s="39" customFormat="1" x14ac:dyDescent="0.3">
      <c r="E386" s="41"/>
      <c r="F386" s="41"/>
      <c r="G386" s="41"/>
    </row>
    <row r="387" spans="5:7" s="39" customFormat="1" x14ac:dyDescent="0.3">
      <c r="E387" s="41"/>
      <c r="F387" s="41"/>
      <c r="G387" s="41"/>
    </row>
    <row r="388" spans="5:7" s="39" customFormat="1" x14ac:dyDescent="0.3">
      <c r="E388" s="41"/>
      <c r="F388" s="41"/>
      <c r="G388" s="41"/>
    </row>
    <row r="389" spans="5:7" s="39" customFormat="1" x14ac:dyDescent="0.3">
      <c r="E389" s="41"/>
      <c r="F389" s="41"/>
      <c r="G389" s="41"/>
    </row>
    <row r="390" spans="5:7" s="39" customFormat="1" x14ac:dyDescent="0.3">
      <c r="E390" s="41"/>
      <c r="F390" s="41"/>
      <c r="G390" s="41"/>
    </row>
    <row r="391" spans="5:7" s="39" customFormat="1" x14ac:dyDescent="0.3">
      <c r="E391" s="41"/>
      <c r="F391" s="41"/>
      <c r="G391" s="41"/>
    </row>
    <row r="392" spans="5:7" s="39" customFormat="1" x14ac:dyDescent="0.3">
      <c r="E392" s="41"/>
      <c r="F392" s="41"/>
      <c r="G392" s="41"/>
    </row>
    <row r="393" spans="5:7" s="39" customFormat="1" x14ac:dyDescent="0.3">
      <c r="E393" s="41"/>
      <c r="F393" s="41"/>
      <c r="G393" s="41"/>
    </row>
    <row r="394" spans="5:7" s="39" customFormat="1" x14ac:dyDescent="0.3">
      <c r="E394" s="41"/>
      <c r="F394" s="41"/>
      <c r="G394" s="41"/>
    </row>
    <row r="395" spans="5:7" s="39" customFormat="1" x14ac:dyDescent="0.3">
      <c r="E395" s="41"/>
      <c r="F395" s="41"/>
      <c r="G395" s="41"/>
    </row>
    <row r="396" spans="5:7" s="39" customFormat="1" x14ac:dyDescent="0.3">
      <c r="E396" s="41"/>
      <c r="F396" s="41"/>
      <c r="G396" s="41"/>
    </row>
    <row r="397" spans="5:7" s="39" customFormat="1" x14ac:dyDescent="0.3">
      <c r="E397" s="41"/>
      <c r="F397" s="41"/>
      <c r="G397" s="41"/>
    </row>
    <row r="398" spans="5:7" s="39" customFormat="1" x14ac:dyDescent="0.3">
      <c r="E398" s="41"/>
      <c r="F398" s="41"/>
      <c r="G398" s="41"/>
    </row>
    <row r="399" spans="5:7" s="39" customFormat="1" x14ac:dyDescent="0.3">
      <c r="E399" s="41"/>
      <c r="F399" s="41"/>
      <c r="G399" s="41"/>
    </row>
    <row r="400" spans="5:7" s="39" customFormat="1" x14ac:dyDescent="0.3">
      <c r="E400" s="41"/>
      <c r="F400" s="41"/>
      <c r="G400" s="41"/>
    </row>
    <row r="401" spans="5:7" s="39" customFormat="1" x14ac:dyDescent="0.3">
      <c r="E401" s="41"/>
      <c r="F401" s="41"/>
      <c r="G401" s="41"/>
    </row>
    <row r="402" spans="5:7" s="39" customFormat="1" x14ac:dyDescent="0.3">
      <c r="E402" s="41"/>
      <c r="F402" s="41"/>
      <c r="G402" s="41"/>
    </row>
    <row r="403" spans="5:7" s="39" customFormat="1" x14ac:dyDescent="0.3">
      <c r="E403" s="41"/>
      <c r="F403" s="41"/>
      <c r="G403" s="41"/>
    </row>
    <row r="404" spans="5:7" s="39" customFormat="1" x14ac:dyDescent="0.3">
      <c r="E404" s="41"/>
      <c r="F404" s="41"/>
      <c r="G404" s="41"/>
    </row>
    <row r="405" spans="5:7" s="39" customFormat="1" x14ac:dyDescent="0.3">
      <c r="E405" s="41"/>
      <c r="F405" s="41"/>
      <c r="G405" s="41"/>
    </row>
    <row r="406" spans="5:7" s="39" customFormat="1" x14ac:dyDescent="0.3">
      <c r="E406" s="41"/>
      <c r="F406" s="41"/>
      <c r="G406" s="41"/>
    </row>
    <row r="407" spans="5:7" s="39" customFormat="1" x14ac:dyDescent="0.3">
      <c r="E407" s="41"/>
      <c r="F407" s="41"/>
      <c r="G407" s="41"/>
    </row>
    <row r="408" spans="5:7" s="39" customFormat="1" x14ac:dyDescent="0.3">
      <c r="E408" s="41"/>
      <c r="F408" s="41"/>
      <c r="G408" s="41"/>
    </row>
    <row r="409" spans="5:7" s="39" customFormat="1" x14ac:dyDescent="0.3">
      <c r="E409" s="41"/>
      <c r="F409" s="41"/>
      <c r="G409" s="41"/>
    </row>
    <row r="410" spans="5:7" s="39" customFormat="1" x14ac:dyDescent="0.3">
      <c r="E410" s="41"/>
      <c r="F410" s="41"/>
      <c r="G410" s="41"/>
    </row>
    <row r="411" spans="5:7" s="39" customFormat="1" x14ac:dyDescent="0.3">
      <c r="E411" s="41"/>
      <c r="F411" s="41"/>
      <c r="G411" s="41"/>
    </row>
    <row r="412" spans="5:7" s="39" customFormat="1" x14ac:dyDescent="0.3">
      <c r="E412" s="41"/>
      <c r="F412" s="41"/>
      <c r="G412" s="41"/>
    </row>
    <row r="413" spans="5:7" s="39" customFormat="1" x14ac:dyDescent="0.3">
      <c r="E413" s="41"/>
      <c r="F413" s="41"/>
      <c r="G413" s="41"/>
    </row>
    <row r="414" spans="5:7" s="39" customFormat="1" x14ac:dyDescent="0.3">
      <c r="E414" s="41"/>
      <c r="F414" s="41"/>
      <c r="G414" s="41"/>
    </row>
    <row r="415" spans="5:7" s="39" customFormat="1" x14ac:dyDescent="0.3">
      <c r="E415" s="41"/>
      <c r="F415" s="41"/>
      <c r="G415" s="41"/>
    </row>
    <row r="416" spans="5:7" s="39" customFormat="1" x14ac:dyDescent="0.3">
      <c r="E416" s="41"/>
      <c r="F416" s="41"/>
      <c r="G416" s="41"/>
    </row>
    <row r="417" spans="5:7" s="39" customFormat="1" x14ac:dyDescent="0.3">
      <c r="E417" s="41"/>
      <c r="F417" s="41"/>
      <c r="G417" s="41"/>
    </row>
    <row r="418" spans="5:7" s="39" customFormat="1" x14ac:dyDescent="0.3">
      <c r="E418" s="41"/>
      <c r="F418" s="41"/>
      <c r="G418" s="41"/>
    </row>
    <row r="419" spans="5:7" s="39" customFormat="1" x14ac:dyDescent="0.3">
      <c r="E419" s="41"/>
      <c r="F419" s="41"/>
      <c r="G419" s="41"/>
    </row>
    <row r="420" spans="5:7" s="39" customFormat="1" x14ac:dyDescent="0.3">
      <c r="E420" s="41"/>
      <c r="F420" s="41"/>
      <c r="G420" s="41"/>
    </row>
    <row r="421" spans="5:7" s="39" customFormat="1" x14ac:dyDescent="0.3">
      <c r="E421" s="41"/>
      <c r="F421" s="41"/>
      <c r="G421" s="41"/>
    </row>
    <row r="422" spans="5:7" s="39" customFormat="1" x14ac:dyDescent="0.3">
      <c r="E422" s="41"/>
      <c r="F422" s="41"/>
      <c r="G422" s="41"/>
    </row>
    <row r="423" spans="5:7" s="39" customFormat="1" x14ac:dyDescent="0.3">
      <c r="E423" s="41"/>
      <c r="F423" s="41"/>
      <c r="G423" s="41"/>
    </row>
    <row r="424" spans="5:7" s="39" customFormat="1" x14ac:dyDescent="0.3">
      <c r="E424" s="41"/>
      <c r="F424" s="41"/>
      <c r="G424" s="41"/>
    </row>
    <row r="425" spans="5:7" s="39" customFormat="1" x14ac:dyDescent="0.3">
      <c r="E425" s="41"/>
      <c r="F425" s="41"/>
      <c r="G425" s="41"/>
    </row>
    <row r="426" spans="5:7" s="39" customFormat="1" x14ac:dyDescent="0.3">
      <c r="E426" s="41"/>
      <c r="F426" s="41"/>
      <c r="G426" s="41"/>
    </row>
    <row r="427" spans="5:7" s="39" customFormat="1" x14ac:dyDescent="0.3">
      <c r="E427" s="41"/>
      <c r="F427" s="41"/>
      <c r="G427" s="41"/>
    </row>
    <row r="428" spans="5:7" s="39" customFormat="1" x14ac:dyDescent="0.3">
      <c r="E428" s="41"/>
      <c r="F428" s="41"/>
      <c r="G428" s="41"/>
    </row>
    <row r="429" spans="5:7" s="39" customFormat="1" x14ac:dyDescent="0.3">
      <c r="E429" s="41"/>
      <c r="F429" s="41"/>
      <c r="G429" s="41"/>
    </row>
    <row r="430" spans="5:7" s="39" customFormat="1" x14ac:dyDescent="0.3">
      <c r="E430" s="41"/>
      <c r="F430" s="41"/>
      <c r="G430" s="41"/>
    </row>
    <row r="431" spans="5:7" s="39" customFormat="1" x14ac:dyDescent="0.3">
      <c r="E431" s="41"/>
      <c r="F431" s="41"/>
      <c r="G431" s="41"/>
    </row>
    <row r="432" spans="5:7" s="39" customFormat="1" x14ac:dyDescent="0.3">
      <c r="E432" s="41"/>
      <c r="F432" s="41"/>
      <c r="G432" s="41"/>
    </row>
    <row r="433" spans="5:7" s="39" customFormat="1" x14ac:dyDescent="0.3">
      <c r="E433" s="41"/>
      <c r="F433" s="41"/>
      <c r="G433" s="41"/>
    </row>
    <row r="434" spans="5:7" s="39" customFormat="1" x14ac:dyDescent="0.3">
      <c r="E434" s="41"/>
      <c r="F434" s="41"/>
      <c r="G434" s="41"/>
    </row>
    <row r="435" spans="5:7" s="39" customFormat="1" x14ac:dyDescent="0.3">
      <c r="E435" s="41"/>
      <c r="F435" s="41"/>
      <c r="G435" s="41"/>
    </row>
    <row r="436" spans="5:7" s="39" customFormat="1" x14ac:dyDescent="0.3">
      <c r="E436" s="41"/>
      <c r="F436" s="41"/>
      <c r="G436" s="41"/>
    </row>
    <row r="437" spans="5:7" s="39" customFormat="1" x14ac:dyDescent="0.3">
      <c r="E437" s="41"/>
      <c r="F437" s="41"/>
      <c r="G437" s="41"/>
    </row>
    <row r="438" spans="5:7" s="39" customFormat="1" x14ac:dyDescent="0.3">
      <c r="E438" s="41"/>
      <c r="F438" s="41"/>
      <c r="G438" s="41"/>
    </row>
    <row r="439" spans="5:7" s="39" customFormat="1" x14ac:dyDescent="0.3">
      <c r="E439" s="41"/>
      <c r="F439" s="41"/>
      <c r="G439" s="41"/>
    </row>
    <row r="440" spans="5:7" s="39" customFormat="1" x14ac:dyDescent="0.3">
      <c r="E440" s="41"/>
      <c r="F440" s="41"/>
      <c r="G440" s="41"/>
    </row>
    <row r="441" spans="5:7" s="39" customFormat="1" x14ac:dyDescent="0.3">
      <c r="E441" s="41"/>
      <c r="F441" s="41"/>
      <c r="G441" s="41"/>
    </row>
    <row r="442" spans="5:7" s="39" customFormat="1" x14ac:dyDescent="0.3">
      <c r="E442" s="41"/>
      <c r="F442" s="41"/>
      <c r="G442" s="41"/>
    </row>
    <row r="443" spans="5:7" s="39" customFormat="1" x14ac:dyDescent="0.3">
      <c r="E443" s="41"/>
      <c r="F443" s="41"/>
      <c r="G443" s="41"/>
    </row>
    <row r="444" spans="5:7" s="39" customFormat="1" x14ac:dyDescent="0.3">
      <c r="E444" s="41"/>
      <c r="F444" s="41"/>
      <c r="G444" s="41"/>
    </row>
    <row r="445" spans="5:7" s="39" customFormat="1" x14ac:dyDescent="0.3">
      <c r="E445" s="41"/>
      <c r="F445" s="41"/>
      <c r="G445" s="41"/>
    </row>
    <row r="446" spans="5:7" s="39" customFormat="1" x14ac:dyDescent="0.3">
      <c r="E446" s="41"/>
      <c r="F446" s="41"/>
      <c r="G446" s="41"/>
    </row>
    <row r="447" spans="5:7" s="39" customFormat="1" x14ac:dyDescent="0.3">
      <c r="E447" s="41"/>
      <c r="F447" s="41"/>
      <c r="G447" s="41"/>
    </row>
    <row r="448" spans="5:7" s="39" customFormat="1" x14ac:dyDescent="0.3">
      <c r="E448" s="41"/>
      <c r="F448" s="41"/>
      <c r="G448" s="41"/>
    </row>
    <row r="449" spans="5:7" s="39" customFormat="1" x14ac:dyDescent="0.3">
      <c r="E449" s="41"/>
      <c r="F449" s="41"/>
      <c r="G449" s="41"/>
    </row>
    <row r="450" spans="5:7" s="39" customFormat="1" x14ac:dyDescent="0.3">
      <c r="E450" s="41"/>
      <c r="F450" s="41"/>
      <c r="G450" s="41"/>
    </row>
    <row r="451" spans="5:7" s="39" customFormat="1" x14ac:dyDescent="0.3">
      <c r="E451" s="41"/>
      <c r="F451" s="41"/>
      <c r="G451" s="41"/>
    </row>
    <row r="452" spans="5:7" s="39" customFormat="1" x14ac:dyDescent="0.3">
      <c r="E452" s="41"/>
      <c r="F452" s="41"/>
      <c r="G452" s="41"/>
    </row>
    <row r="453" spans="5:7" s="39" customFormat="1" x14ac:dyDescent="0.3">
      <c r="E453" s="41"/>
      <c r="F453" s="41"/>
      <c r="G453" s="41"/>
    </row>
    <row r="454" spans="5:7" s="39" customFormat="1" x14ac:dyDescent="0.3">
      <c r="E454" s="41"/>
      <c r="F454" s="41"/>
      <c r="G454" s="41"/>
    </row>
    <row r="455" spans="5:7" s="39" customFormat="1" x14ac:dyDescent="0.3">
      <c r="E455" s="41"/>
      <c r="F455" s="41"/>
      <c r="G455" s="41"/>
    </row>
    <row r="456" spans="5:7" s="39" customFormat="1" x14ac:dyDescent="0.3">
      <c r="E456" s="41"/>
      <c r="F456" s="41"/>
      <c r="G456" s="41"/>
    </row>
    <row r="457" spans="5:7" s="39" customFormat="1" x14ac:dyDescent="0.3">
      <c r="E457" s="41"/>
      <c r="F457" s="41"/>
      <c r="G457" s="41"/>
    </row>
    <row r="458" spans="5:7" s="39" customFormat="1" x14ac:dyDescent="0.3">
      <c r="E458" s="41"/>
      <c r="F458" s="41"/>
      <c r="G458" s="41"/>
    </row>
    <row r="459" spans="5:7" s="39" customFormat="1" x14ac:dyDescent="0.3">
      <c r="E459" s="41"/>
      <c r="F459" s="41"/>
      <c r="G459" s="41"/>
    </row>
    <row r="460" spans="5:7" s="39" customFormat="1" x14ac:dyDescent="0.3">
      <c r="E460" s="41"/>
      <c r="F460" s="41"/>
      <c r="G460" s="41"/>
    </row>
    <row r="461" spans="5:7" s="39" customFormat="1" x14ac:dyDescent="0.3">
      <c r="E461" s="41"/>
      <c r="F461" s="41"/>
      <c r="G461" s="41"/>
    </row>
    <row r="462" spans="5:7" s="39" customFormat="1" x14ac:dyDescent="0.3">
      <c r="E462" s="41"/>
      <c r="F462" s="41"/>
      <c r="G462" s="41"/>
    </row>
    <row r="463" spans="5:7" s="39" customFormat="1" x14ac:dyDescent="0.3">
      <c r="E463" s="41"/>
      <c r="F463" s="41"/>
      <c r="G463" s="41"/>
    </row>
    <row r="464" spans="5:7" s="39" customFormat="1" x14ac:dyDescent="0.3">
      <c r="E464" s="41"/>
      <c r="F464" s="41"/>
      <c r="G464" s="41"/>
    </row>
    <row r="465" spans="5:7" s="39" customFormat="1" x14ac:dyDescent="0.3">
      <c r="E465" s="41"/>
      <c r="F465" s="41"/>
      <c r="G465" s="41"/>
    </row>
    <row r="466" spans="5:7" s="39" customFormat="1" x14ac:dyDescent="0.3">
      <c r="E466" s="41"/>
      <c r="F466" s="41"/>
      <c r="G466" s="41"/>
    </row>
    <row r="467" spans="5:7" s="39" customFormat="1" x14ac:dyDescent="0.3">
      <c r="E467" s="41"/>
      <c r="F467" s="41"/>
      <c r="G467" s="41"/>
    </row>
    <row r="468" spans="5:7" s="39" customFormat="1" x14ac:dyDescent="0.3">
      <c r="E468" s="41"/>
      <c r="F468" s="41"/>
      <c r="G468" s="41"/>
    </row>
    <row r="469" spans="5:7" s="39" customFormat="1" x14ac:dyDescent="0.3">
      <c r="E469" s="41"/>
      <c r="F469" s="41"/>
      <c r="G469" s="41"/>
    </row>
    <row r="470" spans="5:7" s="39" customFormat="1" x14ac:dyDescent="0.3">
      <c r="E470" s="41"/>
      <c r="F470" s="41"/>
      <c r="G470" s="41"/>
    </row>
    <row r="471" spans="5:7" s="39" customFormat="1" x14ac:dyDescent="0.3">
      <c r="E471" s="41"/>
      <c r="F471" s="41"/>
      <c r="G471" s="41"/>
    </row>
    <row r="472" spans="5:7" s="39" customFormat="1" x14ac:dyDescent="0.3">
      <c r="E472" s="41"/>
      <c r="F472" s="41"/>
      <c r="G472" s="41"/>
    </row>
    <row r="473" spans="5:7" s="39" customFormat="1" x14ac:dyDescent="0.3">
      <c r="E473" s="41"/>
      <c r="F473" s="41"/>
      <c r="G473" s="41"/>
    </row>
    <row r="474" spans="5:7" s="39" customFormat="1" x14ac:dyDescent="0.3">
      <c r="E474" s="41"/>
      <c r="F474" s="41"/>
      <c r="G474" s="41"/>
    </row>
    <row r="475" spans="5:7" s="39" customFormat="1" x14ac:dyDescent="0.3">
      <c r="E475" s="41"/>
      <c r="F475" s="41"/>
      <c r="G475" s="41"/>
    </row>
    <row r="476" spans="5:7" s="39" customFormat="1" x14ac:dyDescent="0.3">
      <c r="E476" s="41"/>
      <c r="F476" s="41"/>
      <c r="G476" s="41"/>
    </row>
    <row r="477" spans="5:7" s="39" customFormat="1" x14ac:dyDescent="0.3">
      <c r="E477" s="41"/>
      <c r="F477" s="41"/>
      <c r="G477" s="41"/>
    </row>
    <row r="478" spans="5:7" s="39" customFormat="1" x14ac:dyDescent="0.3">
      <c r="E478" s="41"/>
      <c r="F478" s="41"/>
      <c r="G478" s="41"/>
    </row>
    <row r="479" spans="5:7" s="39" customFormat="1" x14ac:dyDescent="0.3">
      <c r="E479" s="41"/>
      <c r="F479" s="41"/>
      <c r="G479" s="41"/>
    </row>
    <row r="480" spans="5:7" s="39" customFormat="1" x14ac:dyDescent="0.3">
      <c r="E480" s="41"/>
      <c r="F480" s="41"/>
      <c r="G480" s="41"/>
    </row>
    <row r="481" spans="5:7" s="39" customFormat="1" x14ac:dyDescent="0.3">
      <c r="E481" s="41"/>
      <c r="F481" s="41"/>
      <c r="G481" s="41"/>
    </row>
    <row r="482" spans="5:7" s="39" customFormat="1" x14ac:dyDescent="0.3">
      <c r="E482" s="41"/>
      <c r="F482" s="41"/>
      <c r="G482" s="41"/>
    </row>
    <row r="483" spans="5:7" s="39" customFormat="1" x14ac:dyDescent="0.3">
      <c r="E483" s="41"/>
      <c r="F483" s="41"/>
      <c r="G483" s="41"/>
    </row>
    <row r="484" spans="5:7" s="39" customFormat="1" x14ac:dyDescent="0.3">
      <c r="E484" s="41"/>
      <c r="F484" s="41"/>
      <c r="G484" s="41"/>
    </row>
    <row r="485" spans="5:7" s="39" customFormat="1" x14ac:dyDescent="0.3">
      <c r="E485" s="41"/>
      <c r="F485" s="41"/>
      <c r="G485" s="41"/>
    </row>
    <row r="486" spans="5:7" s="39" customFormat="1" x14ac:dyDescent="0.3">
      <c r="E486" s="41"/>
      <c r="F486" s="41"/>
      <c r="G486" s="41"/>
    </row>
    <row r="487" spans="5:7" s="39" customFormat="1" x14ac:dyDescent="0.3">
      <c r="E487" s="41"/>
      <c r="F487" s="41"/>
      <c r="G487" s="41"/>
    </row>
    <row r="488" spans="5:7" s="39" customFormat="1" x14ac:dyDescent="0.3">
      <c r="E488" s="41"/>
      <c r="F488" s="41"/>
      <c r="G488" s="41"/>
    </row>
    <row r="489" spans="5:7" s="39" customFormat="1" x14ac:dyDescent="0.3">
      <c r="E489" s="41"/>
      <c r="F489" s="41"/>
      <c r="G489" s="41"/>
    </row>
    <row r="490" spans="5:7" s="39" customFormat="1" x14ac:dyDescent="0.3">
      <c r="E490" s="41"/>
      <c r="F490" s="41"/>
      <c r="G490" s="41"/>
    </row>
    <row r="491" spans="5:7" s="39" customFormat="1" x14ac:dyDescent="0.3">
      <c r="E491" s="41"/>
      <c r="F491" s="41"/>
      <c r="G491" s="41"/>
    </row>
    <row r="492" spans="5:7" s="39" customFormat="1" x14ac:dyDescent="0.3">
      <c r="E492" s="41"/>
      <c r="F492" s="41"/>
      <c r="G492" s="41"/>
    </row>
    <row r="493" spans="5:7" s="39" customFormat="1" x14ac:dyDescent="0.3">
      <c r="E493" s="41"/>
      <c r="F493" s="41"/>
      <c r="G493" s="41"/>
    </row>
    <row r="494" spans="5:7" s="39" customFormat="1" x14ac:dyDescent="0.3">
      <c r="E494" s="41"/>
      <c r="F494" s="41"/>
      <c r="G494" s="41"/>
    </row>
    <row r="495" spans="5:7" s="39" customFormat="1" x14ac:dyDescent="0.3">
      <c r="E495" s="41"/>
      <c r="F495" s="41"/>
      <c r="G495" s="41"/>
    </row>
    <row r="496" spans="5:7" s="39" customFormat="1" x14ac:dyDescent="0.3">
      <c r="E496" s="41"/>
      <c r="F496" s="41"/>
      <c r="G496" s="41"/>
    </row>
    <row r="497" spans="5:7" s="39" customFormat="1" x14ac:dyDescent="0.3">
      <c r="E497" s="41"/>
      <c r="F497" s="41"/>
      <c r="G497" s="41"/>
    </row>
    <row r="498" spans="5:7" s="39" customFormat="1" x14ac:dyDescent="0.3">
      <c r="E498" s="41"/>
      <c r="F498" s="41"/>
      <c r="G498" s="41"/>
    </row>
    <row r="499" spans="5:7" s="39" customFormat="1" x14ac:dyDescent="0.3">
      <c r="E499" s="41"/>
      <c r="F499" s="41"/>
      <c r="G499" s="41"/>
    </row>
    <row r="500" spans="5:7" s="39" customFormat="1" x14ac:dyDescent="0.3">
      <c r="E500" s="41"/>
      <c r="F500" s="41"/>
      <c r="G500" s="41"/>
    </row>
    <row r="501" spans="5:7" s="39" customFormat="1" x14ac:dyDescent="0.3">
      <c r="E501" s="41"/>
      <c r="F501" s="41"/>
      <c r="G501" s="41"/>
    </row>
    <row r="502" spans="5:7" s="39" customFormat="1" x14ac:dyDescent="0.3">
      <c r="E502" s="41"/>
      <c r="F502" s="41"/>
      <c r="G502" s="41"/>
    </row>
    <row r="503" spans="5:7" s="39" customFormat="1" x14ac:dyDescent="0.3">
      <c r="E503" s="41"/>
      <c r="F503" s="41"/>
      <c r="G503" s="41"/>
    </row>
    <row r="504" spans="5:7" s="39" customFormat="1" x14ac:dyDescent="0.3">
      <c r="E504" s="41"/>
      <c r="F504" s="41"/>
      <c r="G504" s="41"/>
    </row>
    <row r="505" spans="5:7" s="39" customFormat="1" x14ac:dyDescent="0.3">
      <c r="E505" s="41"/>
      <c r="F505" s="41"/>
      <c r="G505" s="41"/>
    </row>
    <row r="506" spans="5:7" s="39" customFormat="1" x14ac:dyDescent="0.3">
      <c r="E506" s="41"/>
      <c r="F506" s="41"/>
      <c r="G506" s="41"/>
    </row>
    <row r="507" spans="5:7" s="39" customFormat="1" x14ac:dyDescent="0.3">
      <c r="E507" s="41"/>
      <c r="F507" s="41"/>
      <c r="G507" s="41"/>
    </row>
    <row r="508" spans="5:7" s="39" customFormat="1" x14ac:dyDescent="0.3">
      <c r="E508" s="41"/>
      <c r="F508" s="41"/>
      <c r="G508" s="41"/>
    </row>
    <row r="509" spans="5:7" s="39" customFormat="1" x14ac:dyDescent="0.3">
      <c r="E509" s="41"/>
      <c r="F509" s="41"/>
      <c r="G509" s="41"/>
    </row>
    <row r="510" spans="5:7" s="39" customFormat="1" x14ac:dyDescent="0.3">
      <c r="E510" s="41"/>
      <c r="F510" s="41"/>
      <c r="G510" s="41"/>
    </row>
    <row r="511" spans="5:7" s="39" customFormat="1" x14ac:dyDescent="0.3">
      <c r="E511" s="41"/>
      <c r="F511" s="41"/>
      <c r="G511" s="41"/>
    </row>
    <row r="512" spans="5:7" s="39" customFormat="1" x14ac:dyDescent="0.3">
      <c r="E512" s="41"/>
      <c r="F512" s="41"/>
      <c r="G512" s="41"/>
    </row>
    <row r="513" spans="5:7" s="39" customFormat="1" x14ac:dyDescent="0.3">
      <c r="E513" s="41"/>
      <c r="F513" s="41"/>
      <c r="G513" s="41"/>
    </row>
    <row r="514" spans="5:7" s="39" customFormat="1" x14ac:dyDescent="0.3">
      <c r="E514" s="41"/>
      <c r="F514" s="41"/>
      <c r="G514" s="41"/>
    </row>
    <row r="515" spans="5:7" s="39" customFormat="1" x14ac:dyDescent="0.3">
      <c r="E515" s="41"/>
      <c r="F515" s="41"/>
      <c r="G515" s="41"/>
    </row>
    <row r="516" spans="5:7" s="39" customFormat="1" x14ac:dyDescent="0.3">
      <c r="E516" s="41"/>
      <c r="F516" s="41"/>
      <c r="G516" s="41"/>
    </row>
    <row r="517" spans="5:7" s="39" customFormat="1" x14ac:dyDescent="0.3">
      <c r="E517" s="41"/>
      <c r="F517" s="41"/>
      <c r="G517" s="41"/>
    </row>
    <row r="518" spans="5:7" s="39" customFormat="1" x14ac:dyDescent="0.3">
      <c r="E518" s="41"/>
      <c r="F518" s="41"/>
      <c r="G518" s="41"/>
    </row>
    <row r="519" spans="5:7" s="39" customFormat="1" x14ac:dyDescent="0.3">
      <c r="E519" s="41"/>
      <c r="F519" s="41"/>
      <c r="G519" s="41"/>
    </row>
    <row r="520" spans="5:7" s="39" customFormat="1" x14ac:dyDescent="0.3">
      <c r="E520" s="41"/>
      <c r="F520" s="41"/>
      <c r="G520" s="41"/>
    </row>
    <row r="521" spans="5:7" s="39" customFormat="1" x14ac:dyDescent="0.3">
      <c r="E521" s="41"/>
      <c r="F521" s="41"/>
      <c r="G521" s="41"/>
    </row>
    <row r="522" spans="5:7" s="39" customFormat="1" x14ac:dyDescent="0.3">
      <c r="E522" s="41"/>
      <c r="F522" s="41"/>
      <c r="G522" s="41"/>
    </row>
    <row r="523" spans="5:7" s="39" customFormat="1" x14ac:dyDescent="0.3">
      <c r="E523" s="41"/>
      <c r="F523" s="41"/>
      <c r="G523" s="41"/>
    </row>
    <row r="524" spans="5:7" s="39" customFormat="1" x14ac:dyDescent="0.3">
      <c r="E524" s="41"/>
      <c r="F524" s="41"/>
      <c r="G524" s="41"/>
    </row>
    <row r="525" spans="5:7" s="39" customFormat="1" x14ac:dyDescent="0.3">
      <c r="E525" s="41"/>
      <c r="F525" s="41"/>
      <c r="G525" s="41"/>
    </row>
    <row r="526" spans="5:7" s="39" customFormat="1" x14ac:dyDescent="0.3">
      <c r="E526" s="41"/>
      <c r="F526" s="41"/>
      <c r="G526" s="41"/>
    </row>
    <row r="527" spans="5:7" s="39" customFormat="1" x14ac:dyDescent="0.3">
      <c r="E527" s="41"/>
      <c r="F527" s="41"/>
      <c r="G527" s="41"/>
    </row>
    <row r="528" spans="5:7" s="39" customFormat="1" x14ac:dyDescent="0.3">
      <c r="E528" s="41"/>
      <c r="F528" s="41"/>
      <c r="G528" s="41"/>
    </row>
    <row r="529" spans="5:7" s="39" customFormat="1" x14ac:dyDescent="0.3">
      <c r="E529" s="41"/>
      <c r="F529" s="41"/>
      <c r="G529" s="41"/>
    </row>
    <row r="530" spans="5:7" s="39" customFormat="1" x14ac:dyDescent="0.3">
      <c r="E530" s="41"/>
      <c r="F530" s="41"/>
      <c r="G530" s="41"/>
    </row>
    <row r="531" spans="5:7" s="39" customFormat="1" x14ac:dyDescent="0.3">
      <c r="E531" s="41"/>
      <c r="F531" s="41"/>
      <c r="G531" s="41"/>
    </row>
    <row r="532" spans="5:7" s="39" customFormat="1" x14ac:dyDescent="0.3">
      <c r="E532" s="41"/>
      <c r="F532" s="41"/>
      <c r="G532" s="41"/>
    </row>
    <row r="533" spans="5:7" s="39" customFormat="1" x14ac:dyDescent="0.3">
      <c r="E533" s="41"/>
      <c r="F533" s="41"/>
      <c r="G533" s="41"/>
    </row>
    <row r="534" spans="5:7" s="39" customFormat="1" x14ac:dyDescent="0.3">
      <c r="E534" s="41"/>
      <c r="F534" s="41"/>
      <c r="G534" s="41"/>
    </row>
    <row r="535" spans="5:7" s="39" customFormat="1" x14ac:dyDescent="0.3">
      <c r="E535" s="41"/>
      <c r="F535" s="41"/>
      <c r="G535" s="41"/>
    </row>
    <row r="536" spans="5:7" s="39" customFormat="1" x14ac:dyDescent="0.3">
      <c r="E536" s="41"/>
      <c r="F536" s="41"/>
      <c r="G536" s="41"/>
    </row>
    <row r="537" spans="5:7" s="39" customFormat="1" x14ac:dyDescent="0.3">
      <c r="E537" s="41"/>
      <c r="F537" s="41"/>
      <c r="G537" s="41"/>
    </row>
    <row r="538" spans="5:7" s="39" customFormat="1" x14ac:dyDescent="0.3">
      <c r="E538" s="41"/>
      <c r="F538" s="41"/>
      <c r="G538" s="41"/>
    </row>
    <row r="539" spans="5:7" s="39" customFormat="1" x14ac:dyDescent="0.3">
      <c r="E539" s="41"/>
      <c r="F539" s="41"/>
      <c r="G539" s="41"/>
    </row>
    <row r="540" spans="5:7" s="39" customFormat="1" x14ac:dyDescent="0.3">
      <c r="E540" s="41"/>
      <c r="F540" s="41"/>
      <c r="G540" s="41"/>
    </row>
    <row r="541" spans="5:7" s="39" customFormat="1" x14ac:dyDescent="0.3">
      <c r="E541" s="41"/>
      <c r="F541" s="41"/>
      <c r="G541" s="41"/>
    </row>
    <row r="542" spans="5:7" s="39" customFormat="1" x14ac:dyDescent="0.3">
      <c r="E542" s="41"/>
      <c r="F542" s="41"/>
      <c r="G542" s="41"/>
    </row>
    <row r="543" spans="5:7" s="39" customFormat="1" x14ac:dyDescent="0.3">
      <c r="E543" s="41"/>
      <c r="F543" s="41"/>
      <c r="G543" s="41"/>
    </row>
    <row r="544" spans="5:7" s="39" customFormat="1" x14ac:dyDescent="0.3">
      <c r="E544" s="41"/>
      <c r="F544" s="41"/>
      <c r="G544" s="41"/>
    </row>
    <row r="545" spans="5:7" s="39" customFormat="1" x14ac:dyDescent="0.3">
      <c r="E545" s="41"/>
      <c r="F545" s="41"/>
      <c r="G545" s="41"/>
    </row>
    <row r="546" spans="5:7" s="39" customFormat="1" x14ac:dyDescent="0.3">
      <c r="E546" s="41"/>
      <c r="F546" s="41"/>
      <c r="G546" s="41"/>
    </row>
    <row r="547" spans="5:7" s="39" customFormat="1" x14ac:dyDescent="0.3">
      <c r="E547" s="41"/>
      <c r="F547" s="41"/>
      <c r="G547" s="41"/>
    </row>
    <row r="548" spans="5:7" s="39" customFormat="1" x14ac:dyDescent="0.3">
      <c r="E548" s="41"/>
      <c r="F548" s="41"/>
      <c r="G548" s="41"/>
    </row>
    <row r="549" spans="5:7" s="39" customFormat="1" x14ac:dyDescent="0.3">
      <c r="E549" s="41"/>
      <c r="F549" s="41"/>
      <c r="G549" s="41"/>
    </row>
    <row r="550" spans="5:7" s="39" customFormat="1" x14ac:dyDescent="0.3">
      <c r="E550" s="41"/>
      <c r="F550" s="41"/>
      <c r="G550" s="41"/>
    </row>
    <row r="551" spans="5:7" s="39" customFormat="1" x14ac:dyDescent="0.3">
      <c r="E551" s="41"/>
      <c r="F551" s="41"/>
      <c r="G551" s="41"/>
    </row>
    <row r="552" spans="5:7" s="39" customFormat="1" x14ac:dyDescent="0.3">
      <c r="E552" s="41"/>
      <c r="F552" s="41"/>
      <c r="G552" s="41"/>
    </row>
    <row r="553" spans="5:7" s="39" customFormat="1" x14ac:dyDescent="0.3">
      <c r="E553" s="41"/>
      <c r="F553" s="41"/>
      <c r="G553" s="41"/>
    </row>
    <row r="554" spans="5:7" s="39" customFormat="1" x14ac:dyDescent="0.3">
      <c r="E554" s="41"/>
      <c r="F554" s="41"/>
      <c r="G554" s="41"/>
    </row>
    <row r="555" spans="5:7" s="39" customFormat="1" x14ac:dyDescent="0.3">
      <c r="E555" s="41"/>
      <c r="F555" s="41"/>
      <c r="G555" s="41"/>
    </row>
    <row r="556" spans="5:7" s="39" customFormat="1" x14ac:dyDescent="0.3">
      <c r="E556" s="41"/>
      <c r="F556" s="41"/>
      <c r="G556" s="41"/>
    </row>
    <row r="557" spans="5:7" s="39" customFormat="1" x14ac:dyDescent="0.3">
      <c r="E557" s="41"/>
      <c r="F557" s="41"/>
      <c r="G557" s="41"/>
    </row>
    <row r="558" spans="5:7" s="39" customFormat="1" x14ac:dyDescent="0.3">
      <c r="E558" s="41"/>
      <c r="F558" s="41"/>
      <c r="G558" s="41"/>
    </row>
    <row r="559" spans="5:7" s="39" customFormat="1" x14ac:dyDescent="0.3">
      <c r="E559" s="41"/>
      <c r="F559" s="41"/>
      <c r="G559" s="41"/>
    </row>
    <row r="560" spans="5:7" s="39" customFormat="1" x14ac:dyDescent="0.3">
      <c r="E560" s="41"/>
      <c r="F560" s="41"/>
      <c r="G560" s="41"/>
    </row>
    <row r="561" spans="5:7" s="39" customFormat="1" x14ac:dyDescent="0.3">
      <c r="E561" s="41"/>
      <c r="F561" s="41"/>
      <c r="G561" s="41"/>
    </row>
    <row r="562" spans="5:7" s="39" customFormat="1" x14ac:dyDescent="0.3">
      <c r="E562" s="41"/>
      <c r="F562" s="41"/>
      <c r="G562" s="41"/>
    </row>
    <row r="563" spans="5:7" s="39" customFormat="1" x14ac:dyDescent="0.3">
      <c r="E563" s="41"/>
      <c r="F563" s="41"/>
      <c r="G563" s="41"/>
    </row>
    <row r="564" spans="5:7" s="39" customFormat="1" x14ac:dyDescent="0.3">
      <c r="E564" s="41"/>
      <c r="F564" s="41"/>
      <c r="G564" s="41"/>
    </row>
    <row r="565" spans="5:7" s="39" customFormat="1" x14ac:dyDescent="0.3">
      <c r="E565" s="41"/>
      <c r="F565" s="41"/>
      <c r="G565" s="41"/>
    </row>
    <row r="566" spans="5:7" s="39" customFormat="1" x14ac:dyDescent="0.3">
      <c r="E566" s="41"/>
      <c r="F566" s="41"/>
      <c r="G566" s="41"/>
    </row>
    <row r="567" spans="5:7" s="39" customFormat="1" x14ac:dyDescent="0.3">
      <c r="E567" s="41"/>
      <c r="F567" s="41"/>
      <c r="G567" s="41"/>
    </row>
    <row r="568" spans="5:7" s="39" customFormat="1" x14ac:dyDescent="0.3">
      <c r="E568" s="41"/>
      <c r="F568" s="41"/>
      <c r="G568" s="41"/>
    </row>
    <row r="569" spans="5:7" s="39" customFormat="1" x14ac:dyDescent="0.3">
      <c r="E569" s="41"/>
      <c r="F569" s="41"/>
      <c r="G569" s="41"/>
    </row>
    <row r="570" spans="5:7" s="39" customFormat="1" x14ac:dyDescent="0.3">
      <c r="E570" s="41"/>
      <c r="F570" s="41"/>
      <c r="G570" s="41"/>
    </row>
    <row r="571" spans="5:7" s="39" customFormat="1" x14ac:dyDescent="0.3">
      <c r="E571" s="41"/>
      <c r="F571" s="41"/>
      <c r="G571" s="41"/>
    </row>
    <row r="572" spans="5:7" s="39" customFormat="1" x14ac:dyDescent="0.3">
      <c r="E572" s="41"/>
      <c r="F572" s="41"/>
      <c r="G572" s="41"/>
    </row>
    <row r="573" spans="5:7" s="39" customFormat="1" x14ac:dyDescent="0.3">
      <c r="E573" s="41"/>
      <c r="F573" s="41"/>
      <c r="G573" s="41"/>
    </row>
    <row r="574" spans="5:7" s="39" customFormat="1" x14ac:dyDescent="0.3">
      <c r="E574" s="41"/>
      <c r="F574" s="41"/>
      <c r="G574" s="41"/>
    </row>
    <row r="575" spans="5:7" s="39" customFormat="1" x14ac:dyDescent="0.3">
      <c r="E575" s="41"/>
      <c r="F575" s="41"/>
      <c r="G575" s="41"/>
    </row>
    <row r="576" spans="5:7" s="39" customFormat="1" x14ac:dyDescent="0.3">
      <c r="E576" s="41"/>
      <c r="F576" s="41"/>
      <c r="G576" s="41"/>
    </row>
    <row r="577" spans="5:7" s="39" customFormat="1" x14ac:dyDescent="0.3">
      <c r="E577" s="41"/>
      <c r="F577" s="41"/>
      <c r="G577" s="41"/>
    </row>
    <row r="578" spans="5:7" s="39" customFormat="1" x14ac:dyDescent="0.3">
      <c r="E578" s="41"/>
      <c r="F578" s="41"/>
      <c r="G578" s="41"/>
    </row>
    <row r="579" spans="5:7" s="39" customFormat="1" x14ac:dyDescent="0.3">
      <c r="E579" s="41"/>
      <c r="F579" s="41"/>
      <c r="G579" s="41"/>
    </row>
    <row r="580" spans="5:7" s="39" customFormat="1" x14ac:dyDescent="0.3">
      <c r="E580" s="41"/>
      <c r="F580" s="41"/>
      <c r="G580" s="41"/>
    </row>
    <row r="581" spans="5:7" s="39" customFormat="1" x14ac:dyDescent="0.3">
      <c r="E581" s="41"/>
      <c r="F581" s="41"/>
      <c r="G581" s="41"/>
    </row>
    <row r="582" spans="5:7" s="39" customFormat="1" x14ac:dyDescent="0.3">
      <c r="E582" s="41"/>
      <c r="F582" s="41"/>
      <c r="G582" s="41"/>
    </row>
    <row r="583" spans="5:7" s="39" customFormat="1" x14ac:dyDescent="0.3">
      <c r="E583" s="41"/>
      <c r="F583" s="41"/>
      <c r="G583" s="41"/>
    </row>
    <row r="584" spans="5:7" s="39" customFormat="1" x14ac:dyDescent="0.3">
      <c r="E584" s="41"/>
      <c r="F584" s="41"/>
      <c r="G584" s="41"/>
    </row>
    <row r="585" spans="5:7" s="39" customFormat="1" x14ac:dyDescent="0.3">
      <c r="E585" s="41"/>
      <c r="F585" s="41"/>
      <c r="G585" s="41"/>
    </row>
    <row r="586" spans="5:7" s="39" customFormat="1" x14ac:dyDescent="0.3">
      <c r="E586" s="41"/>
      <c r="F586" s="41"/>
      <c r="G586" s="41"/>
    </row>
    <row r="587" spans="5:7" s="39" customFormat="1" x14ac:dyDescent="0.3">
      <c r="E587" s="41"/>
      <c r="F587" s="41"/>
      <c r="G587" s="41"/>
    </row>
    <row r="588" spans="5:7" s="39" customFormat="1" x14ac:dyDescent="0.3">
      <c r="E588" s="41"/>
      <c r="F588" s="41"/>
      <c r="G588" s="41"/>
    </row>
    <row r="589" spans="5:7" s="39" customFormat="1" x14ac:dyDescent="0.3">
      <c r="E589" s="41"/>
      <c r="F589" s="41"/>
      <c r="G589" s="41"/>
    </row>
    <row r="590" spans="5:7" s="39" customFormat="1" x14ac:dyDescent="0.3">
      <c r="E590" s="41"/>
      <c r="F590" s="41"/>
      <c r="G590" s="41"/>
    </row>
    <row r="591" spans="5:7" s="39" customFormat="1" x14ac:dyDescent="0.3">
      <c r="E591" s="41"/>
      <c r="F591" s="41"/>
      <c r="G591" s="41"/>
    </row>
    <row r="592" spans="5:7" s="39" customFormat="1" x14ac:dyDescent="0.3">
      <c r="E592" s="41"/>
      <c r="F592" s="41"/>
      <c r="G592" s="41"/>
    </row>
    <row r="593" spans="5:7" s="39" customFormat="1" x14ac:dyDescent="0.3">
      <c r="E593" s="41"/>
      <c r="F593" s="41"/>
      <c r="G593" s="41"/>
    </row>
    <row r="594" spans="5:7" s="39" customFormat="1" x14ac:dyDescent="0.3">
      <c r="E594" s="41"/>
      <c r="F594" s="41"/>
      <c r="G594" s="41"/>
    </row>
    <row r="595" spans="5:7" s="39" customFormat="1" x14ac:dyDescent="0.3">
      <c r="E595" s="41"/>
      <c r="F595" s="41"/>
      <c r="G595" s="41"/>
    </row>
    <row r="596" spans="5:7" s="39" customFormat="1" x14ac:dyDescent="0.3">
      <c r="E596" s="41"/>
      <c r="F596" s="41"/>
      <c r="G596" s="41"/>
    </row>
    <row r="597" spans="5:7" s="39" customFormat="1" x14ac:dyDescent="0.3">
      <c r="E597" s="41"/>
      <c r="F597" s="41"/>
      <c r="G597" s="41"/>
    </row>
    <row r="598" spans="5:7" s="39" customFormat="1" x14ac:dyDescent="0.3">
      <c r="E598" s="41"/>
      <c r="F598" s="41"/>
      <c r="G598" s="41"/>
    </row>
    <row r="599" spans="5:7" s="39" customFormat="1" x14ac:dyDescent="0.3">
      <c r="E599" s="41"/>
      <c r="F599" s="41"/>
      <c r="G599" s="41"/>
    </row>
    <row r="600" spans="5:7" s="39" customFormat="1" x14ac:dyDescent="0.3">
      <c r="E600" s="41"/>
      <c r="F600" s="41"/>
      <c r="G600" s="41"/>
    </row>
    <row r="601" spans="5:7" s="39" customFormat="1" x14ac:dyDescent="0.3">
      <c r="E601" s="41"/>
      <c r="F601" s="41"/>
      <c r="G601" s="41"/>
    </row>
    <row r="602" spans="5:7" s="39" customFormat="1" x14ac:dyDescent="0.3">
      <c r="E602" s="41"/>
      <c r="F602" s="41"/>
      <c r="G602" s="41"/>
    </row>
    <row r="603" spans="5:7" s="39" customFormat="1" x14ac:dyDescent="0.3">
      <c r="E603" s="41"/>
      <c r="F603" s="41"/>
      <c r="G603" s="41"/>
    </row>
    <row r="604" spans="5:7" s="39" customFormat="1" x14ac:dyDescent="0.3">
      <c r="E604" s="41"/>
      <c r="F604" s="41"/>
      <c r="G604" s="41"/>
    </row>
    <row r="605" spans="5:7" s="39" customFormat="1" x14ac:dyDescent="0.3">
      <c r="E605" s="41"/>
      <c r="F605" s="41"/>
      <c r="G605" s="41"/>
    </row>
    <row r="606" spans="5:7" s="39" customFormat="1" x14ac:dyDescent="0.3">
      <c r="E606" s="41"/>
      <c r="F606" s="41"/>
      <c r="G606" s="41"/>
    </row>
    <row r="607" spans="5:7" s="39" customFormat="1" x14ac:dyDescent="0.3">
      <c r="E607" s="41"/>
      <c r="F607" s="41"/>
      <c r="G607" s="41"/>
    </row>
    <row r="608" spans="5:7" s="39" customFormat="1" x14ac:dyDescent="0.3">
      <c r="E608" s="41"/>
      <c r="F608" s="41"/>
      <c r="G608" s="41"/>
    </row>
    <row r="609" spans="5:7" s="39" customFormat="1" x14ac:dyDescent="0.3">
      <c r="E609" s="41"/>
      <c r="F609" s="41"/>
      <c r="G609" s="41"/>
    </row>
    <row r="610" spans="5:7" s="39" customFormat="1" x14ac:dyDescent="0.3">
      <c r="E610" s="41"/>
      <c r="F610" s="41"/>
      <c r="G610" s="41"/>
    </row>
    <row r="611" spans="5:7" s="39" customFormat="1" x14ac:dyDescent="0.3">
      <c r="E611" s="41"/>
      <c r="F611" s="41"/>
      <c r="G611" s="41"/>
    </row>
    <row r="612" spans="5:7" s="39" customFormat="1" x14ac:dyDescent="0.3">
      <c r="E612" s="41"/>
      <c r="F612" s="41"/>
      <c r="G612" s="41"/>
    </row>
    <row r="613" spans="5:7" s="39" customFormat="1" x14ac:dyDescent="0.3">
      <c r="E613" s="41"/>
      <c r="F613" s="41"/>
      <c r="G613" s="41"/>
    </row>
    <row r="614" spans="5:7" s="39" customFormat="1" x14ac:dyDescent="0.3">
      <c r="E614" s="41"/>
      <c r="F614" s="41"/>
      <c r="G614" s="41"/>
    </row>
    <row r="615" spans="5:7" s="39" customFormat="1" x14ac:dyDescent="0.3">
      <c r="E615" s="41"/>
      <c r="F615" s="41"/>
      <c r="G615" s="41"/>
    </row>
    <row r="616" spans="5:7" s="39" customFormat="1" x14ac:dyDescent="0.3">
      <c r="E616" s="41"/>
      <c r="F616" s="41"/>
      <c r="G616" s="41"/>
    </row>
    <row r="617" spans="5:7" s="39" customFormat="1" x14ac:dyDescent="0.3">
      <c r="E617" s="41"/>
      <c r="F617" s="41"/>
      <c r="G617" s="41"/>
    </row>
    <row r="618" spans="5:7" s="39" customFormat="1" x14ac:dyDescent="0.3">
      <c r="E618" s="41"/>
      <c r="F618" s="41"/>
      <c r="G618" s="41"/>
    </row>
    <row r="619" spans="5:7" s="39" customFormat="1" x14ac:dyDescent="0.3">
      <c r="E619" s="41"/>
      <c r="F619" s="41"/>
      <c r="G619" s="41"/>
    </row>
    <row r="620" spans="5:7" s="39" customFormat="1" x14ac:dyDescent="0.3">
      <c r="E620" s="41"/>
      <c r="F620" s="41"/>
      <c r="G620" s="41"/>
    </row>
    <row r="621" spans="5:7" s="39" customFormat="1" x14ac:dyDescent="0.3">
      <c r="E621" s="41"/>
      <c r="F621" s="41"/>
      <c r="G621" s="41"/>
    </row>
    <row r="622" spans="5:7" s="39" customFormat="1" x14ac:dyDescent="0.3">
      <c r="E622" s="41"/>
      <c r="F622" s="41"/>
      <c r="G622" s="41"/>
    </row>
    <row r="623" spans="5:7" s="39" customFormat="1" x14ac:dyDescent="0.3">
      <c r="E623" s="41"/>
      <c r="F623" s="41"/>
      <c r="G623" s="41"/>
    </row>
    <row r="624" spans="5:7" s="39" customFormat="1" x14ac:dyDescent="0.3">
      <c r="E624" s="41"/>
      <c r="F624" s="41"/>
      <c r="G624" s="41"/>
    </row>
    <row r="625" spans="5:7" s="39" customFormat="1" x14ac:dyDescent="0.3">
      <c r="E625" s="41"/>
      <c r="F625" s="41"/>
      <c r="G625" s="41"/>
    </row>
    <row r="626" spans="5:7" s="39" customFormat="1" x14ac:dyDescent="0.3">
      <c r="E626" s="41"/>
      <c r="F626" s="41"/>
      <c r="G626" s="41"/>
    </row>
    <row r="627" spans="5:7" s="39" customFormat="1" x14ac:dyDescent="0.3">
      <c r="E627" s="41"/>
      <c r="F627" s="41"/>
      <c r="G627" s="41"/>
    </row>
    <row r="628" spans="5:7" s="39" customFormat="1" x14ac:dyDescent="0.3">
      <c r="E628" s="41"/>
      <c r="F628" s="41"/>
      <c r="G628" s="41"/>
    </row>
    <row r="629" spans="5:7" s="39" customFormat="1" x14ac:dyDescent="0.3">
      <c r="E629" s="41"/>
      <c r="F629" s="41"/>
      <c r="G629" s="41"/>
    </row>
    <row r="630" spans="5:7" s="39" customFormat="1" x14ac:dyDescent="0.3">
      <c r="E630" s="41"/>
      <c r="F630" s="41"/>
      <c r="G630" s="41"/>
    </row>
    <row r="631" spans="5:7" s="39" customFormat="1" x14ac:dyDescent="0.3">
      <c r="E631" s="41"/>
      <c r="F631" s="41"/>
      <c r="G631" s="41"/>
    </row>
    <row r="632" spans="5:7" s="39" customFormat="1" x14ac:dyDescent="0.3">
      <c r="E632" s="41"/>
      <c r="F632" s="41"/>
      <c r="G632" s="41"/>
    </row>
    <row r="633" spans="5:7" s="39" customFormat="1" x14ac:dyDescent="0.3">
      <c r="E633" s="41"/>
      <c r="F633" s="41"/>
      <c r="G633" s="41"/>
    </row>
    <row r="634" spans="5:7" s="39" customFormat="1" x14ac:dyDescent="0.3">
      <c r="E634" s="41"/>
      <c r="F634" s="41"/>
      <c r="G634" s="41"/>
    </row>
    <row r="635" spans="5:7" s="39" customFormat="1" x14ac:dyDescent="0.3">
      <c r="E635" s="41"/>
      <c r="F635" s="41"/>
      <c r="G635" s="41"/>
    </row>
    <row r="636" spans="5:7" s="39" customFormat="1" x14ac:dyDescent="0.3">
      <c r="E636" s="41"/>
      <c r="F636" s="41"/>
      <c r="G636" s="41"/>
    </row>
    <row r="637" spans="5:7" s="39" customFormat="1" x14ac:dyDescent="0.3">
      <c r="E637" s="41"/>
      <c r="F637" s="41"/>
      <c r="G637" s="41"/>
    </row>
    <row r="638" spans="5:7" s="39" customFormat="1" x14ac:dyDescent="0.3">
      <c r="E638" s="41"/>
      <c r="F638" s="41"/>
      <c r="G638" s="41"/>
    </row>
    <row r="639" spans="5:7" s="39" customFormat="1" x14ac:dyDescent="0.3">
      <c r="E639" s="41"/>
      <c r="F639" s="41"/>
      <c r="G639" s="41"/>
    </row>
    <row r="640" spans="5:7" s="39" customFormat="1" x14ac:dyDescent="0.3">
      <c r="E640" s="41"/>
      <c r="F640" s="41"/>
      <c r="G640" s="41"/>
    </row>
    <row r="641" spans="5:7" s="39" customFormat="1" x14ac:dyDescent="0.3">
      <c r="E641" s="41"/>
      <c r="F641" s="41"/>
      <c r="G641" s="41"/>
    </row>
    <row r="642" spans="5:7" s="39" customFormat="1" x14ac:dyDescent="0.3">
      <c r="E642" s="41"/>
      <c r="F642" s="41"/>
      <c r="G642" s="41"/>
    </row>
    <row r="643" spans="5:7" s="39" customFormat="1" x14ac:dyDescent="0.3">
      <c r="E643" s="41"/>
      <c r="F643" s="41"/>
      <c r="G643" s="41"/>
    </row>
    <row r="644" spans="5:7" s="39" customFormat="1" x14ac:dyDescent="0.3">
      <c r="E644" s="41"/>
      <c r="F644" s="41"/>
      <c r="G644" s="41"/>
    </row>
    <row r="645" spans="5:7" s="39" customFormat="1" x14ac:dyDescent="0.3">
      <c r="E645" s="41"/>
      <c r="F645" s="41"/>
      <c r="G645" s="41"/>
    </row>
    <row r="646" spans="5:7" s="39" customFormat="1" x14ac:dyDescent="0.3">
      <c r="E646" s="41"/>
      <c r="F646" s="41"/>
      <c r="G646" s="41"/>
    </row>
    <row r="647" spans="5:7" s="39" customFormat="1" x14ac:dyDescent="0.3">
      <c r="E647" s="41"/>
      <c r="F647" s="41"/>
      <c r="G647" s="41"/>
    </row>
    <row r="648" spans="5:7" s="39" customFormat="1" x14ac:dyDescent="0.3">
      <c r="E648" s="41"/>
      <c r="F648" s="41"/>
      <c r="G648" s="41"/>
    </row>
    <row r="649" spans="5:7" s="39" customFormat="1" x14ac:dyDescent="0.3">
      <c r="E649" s="41"/>
      <c r="F649" s="41"/>
      <c r="G649" s="41"/>
    </row>
    <row r="650" spans="5:7" s="39" customFormat="1" x14ac:dyDescent="0.3">
      <c r="E650" s="41"/>
      <c r="F650" s="41"/>
      <c r="G650" s="41"/>
    </row>
    <row r="651" spans="5:7" s="39" customFormat="1" x14ac:dyDescent="0.3">
      <c r="E651" s="41"/>
      <c r="F651" s="41"/>
      <c r="G651" s="41"/>
    </row>
    <row r="652" spans="5:7" s="39" customFormat="1" x14ac:dyDescent="0.3">
      <c r="E652" s="41"/>
      <c r="F652" s="41"/>
      <c r="G652" s="41"/>
    </row>
    <row r="653" spans="5:7" s="39" customFormat="1" x14ac:dyDescent="0.3">
      <c r="E653" s="41"/>
      <c r="F653" s="41"/>
      <c r="G653" s="41"/>
    </row>
    <row r="654" spans="5:7" s="39" customFormat="1" x14ac:dyDescent="0.3">
      <c r="E654" s="41"/>
      <c r="F654" s="41"/>
      <c r="G654" s="41"/>
    </row>
    <row r="655" spans="5:7" s="39" customFormat="1" x14ac:dyDescent="0.3">
      <c r="E655" s="41"/>
      <c r="F655" s="41"/>
      <c r="G655" s="41"/>
    </row>
    <row r="656" spans="5:7" s="39" customFormat="1" x14ac:dyDescent="0.3">
      <c r="E656" s="41"/>
      <c r="F656" s="41"/>
      <c r="G656" s="41"/>
    </row>
    <row r="657" spans="5:7" s="39" customFormat="1" x14ac:dyDescent="0.3">
      <c r="E657" s="41"/>
      <c r="F657" s="41"/>
      <c r="G657" s="41"/>
    </row>
    <row r="658" spans="5:7" s="39" customFormat="1" x14ac:dyDescent="0.3">
      <c r="E658" s="41"/>
      <c r="F658" s="41"/>
      <c r="G658" s="41"/>
    </row>
    <row r="659" spans="5:7" s="39" customFormat="1" x14ac:dyDescent="0.3">
      <c r="E659" s="41"/>
      <c r="F659" s="41"/>
      <c r="G659" s="41"/>
    </row>
    <row r="660" spans="5:7" s="39" customFormat="1" x14ac:dyDescent="0.3">
      <c r="E660" s="41"/>
      <c r="F660" s="41"/>
      <c r="G660" s="41"/>
    </row>
    <row r="661" spans="5:7" s="39" customFormat="1" x14ac:dyDescent="0.3">
      <c r="E661" s="41"/>
      <c r="F661" s="41"/>
      <c r="G661" s="41"/>
    </row>
    <row r="662" spans="5:7" s="39" customFormat="1" x14ac:dyDescent="0.3">
      <c r="E662" s="41"/>
      <c r="F662" s="41"/>
      <c r="G662" s="41"/>
    </row>
    <row r="663" spans="5:7" s="39" customFormat="1" x14ac:dyDescent="0.3">
      <c r="E663" s="41"/>
      <c r="F663" s="41"/>
      <c r="G663" s="41"/>
    </row>
    <row r="664" spans="5:7" s="39" customFormat="1" x14ac:dyDescent="0.3">
      <c r="E664" s="41"/>
      <c r="F664" s="41"/>
      <c r="G664" s="41"/>
    </row>
    <row r="665" spans="5:7" s="39" customFormat="1" x14ac:dyDescent="0.3">
      <c r="E665" s="41"/>
      <c r="F665" s="41"/>
      <c r="G665" s="41"/>
    </row>
    <row r="666" spans="5:7" s="39" customFormat="1" x14ac:dyDescent="0.3">
      <c r="E666" s="41"/>
      <c r="F666" s="41"/>
      <c r="G666" s="41"/>
    </row>
    <row r="667" spans="5:7" s="39" customFormat="1" x14ac:dyDescent="0.3">
      <c r="E667" s="41"/>
      <c r="F667" s="41"/>
      <c r="G667" s="41"/>
    </row>
    <row r="668" spans="5:7" s="39" customFormat="1" x14ac:dyDescent="0.3">
      <c r="E668" s="41"/>
      <c r="F668" s="41"/>
      <c r="G668" s="41"/>
    </row>
    <row r="669" spans="5:7" s="39" customFormat="1" x14ac:dyDescent="0.3">
      <c r="E669" s="41"/>
      <c r="F669" s="41"/>
      <c r="G669" s="41"/>
    </row>
    <row r="670" spans="5:7" s="39" customFormat="1" x14ac:dyDescent="0.3">
      <c r="E670" s="41"/>
      <c r="F670" s="41"/>
      <c r="G670" s="41"/>
    </row>
    <row r="671" spans="5:7" s="39" customFormat="1" x14ac:dyDescent="0.3">
      <c r="E671" s="41"/>
      <c r="F671" s="41"/>
      <c r="G671" s="41"/>
    </row>
    <row r="672" spans="5:7" s="39" customFormat="1" x14ac:dyDescent="0.3">
      <c r="E672" s="41"/>
      <c r="F672" s="41"/>
      <c r="G672" s="41"/>
    </row>
    <row r="673" spans="5:7" s="39" customFormat="1" x14ac:dyDescent="0.3">
      <c r="E673" s="41"/>
      <c r="F673" s="41"/>
      <c r="G673" s="41"/>
    </row>
    <row r="674" spans="5:7" s="39" customFormat="1" x14ac:dyDescent="0.3">
      <c r="E674" s="41"/>
      <c r="F674" s="41"/>
      <c r="G674" s="41"/>
    </row>
    <row r="675" spans="5:7" s="39" customFormat="1" x14ac:dyDescent="0.3">
      <c r="E675" s="41"/>
      <c r="F675" s="41"/>
      <c r="G675" s="41"/>
    </row>
    <row r="676" spans="5:7" s="39" customFormat="1" x14ac:dyDescent="0.3">
      <c r="E676" s="41"/>
      <c r="F676" s="41"/>
      <c r="G676" s="41"/>
    </row>
    <row r="677" spans="5:7" s="39" customFormat="1" x14ac:dyDescent="0.3">
      <c r="E677" s="41"/>
      <c r="F677" s="41"/>
      <c r="G677" s="41"/>
    </row>
    <row r="678" spans="5:7" s="39" customFormat="1" x14ac:dyDescent="0.3">
      <c r="E678" s="41"/>
      <c r="F678" s="41"/>
      <c r="G678" s="41"/>
    </row>
    <row r="679" spans="5:7" s="39" customFormat="1" x14ac:dyDescent="0.3">
      <c r="E679" s="41"/>
      <c r="F679" s="41"/>
      <c r="G679" s="41"/>
    </row>
    <row r="680" spans="5:7" s="39" customFormat="1" x14ac:dyDescent="0.3">
      <c r="E680" s="41"/>
      <c r="F680" s="41"/>
      <c r="G680" s="41"/>
    </row>
    <row r="681" spans="5:7" s="39" customFormat="1" x14ac:dyDescent="0.3">
      <c r="E681" s="41"/>
      <c r="F681" s="41"/>
      <c r="G681" s="41"/>
    </row>
    <row r="682" spans="5:7" s="39" customFormat="1" x14ac:dyDescent="0.3">
      <c r="E682" s="41"/>
      <c r="F682" s="41"/>
      <c r="G682" s="41"/>
    </row>
    <row r="683" spans="5:7" s="39" customFormat="1" x14ac:dyDescent="0.3">
      <c r="E683" s="41"/>
      <c r="F683" s="41"/>
      <c r="G683" s="41"/>
    </row>
    <row r="684" spans="5:7" s="39" customFormat="1" x14ac:dyDescent="0.3">
      <c r="E684" s="41"/>
      <c r="F684" s="41"/>
      <c r="G684" s="41"/>
    </row>
    <row r="685" spans="5:7" s="39" customFormat="1" x14ac:dyDescent="0.3">
      <c r="E685" s="41"/>
      <c r="F685" s="41"/>
      <c r="G685" s="41"/>
    </row>
    <row r="686" spans="5:7" s="39" customFormat="1" x14ac:dyDescent="0.3">
      <c r="E686" s="41"/>
      <c r="F686" s="41"/>
      <c r="G686" s="41"/>
    </row>
    <row r="687" spans="5:7" s="39" customFormat="1" x14ac:dyDescent="0.3">
      <c r="E687" s="41"/>
      <c r="F687" s="41"/>
      <c r="G687" s="41"/>
    </row>
    <row r="688" spans="5:7" s="39" customFormat="1" x14ac:dyDescent="0.3">
      <c r="E688" s="41"/>
      <c r="F688" s="41"/>
      <c r="G688" s="41"/>
    </row>
    <row r="689" spans="5:7" s="39" customFormat="1" x14ac:dyDescent="0.3">
      <c r="E689" s="41"/>
      <c r="F689" s="41"/>
      <c r="G689" s="41"/>
    </row>
    <row r="690" spans="5:7" s="39" customFormat="1" x14ac:dyDescent="0.3">
      <c r="E690" s="41"/>
      <c r="F690" s="41"/>
      <c r="G690" s="41"/>
    </row>
    <row r="691" spans="5:7" s="39" customFormat="1" x14ac:dyDescent="0.3">
      <c r="E691" s="41"/>
      <c r="F691" s="41"/>
      <c r="G691" s="41"/>
    </row>
    <row r="692" spans="5:7" s="39" customFormat="1" x14ac:dyDescent="0.3">
      <c r="E692" s="41"/>
      <c r="F692" s="41"/>
      <c r="G692" s="41"/>
    </row>
    <row r="693" spans="5:7" s="39" customFormat="1" x14ac:dyDescent="0.3">
      <c r="E693" s="41"/>
      <c r="F693" s="41"/>
      <c r="G693" s="41"/>
    </row>
    <row r="694" spans="5:7" s="39" customFormat="1" x14ac:dyDescent="0.3">
      <c r="E694" s="41"/>
      <c r="F694" s="41"/>
      <c r="G694" s="41"/>
    </row>
    <row r="695" spans="5:7" s="39" customFormat="1" x14ac:dyDescent="0.3">
      <c r="E695" s="41"/>
      <c r="F695" s="41"/>
      <c r="G695" s="41"/>
    </row>
    <row r="696" spans="5:7" s="39" customFormat="1" x14ac:dyDescent="0.3">
      <c r="E696" s="41"/>
      <c r="F696" s="41"/>
      <c r="G696" s="41"/>
    </row>
    <row r="697" spans="5:7" s="39" customFormat="1" x14ac:dyDescent="0.3">
      <c r="E697" s="41"/>
      <c r="F697" s="41"/>
      <c r="G697" s="41"/>
    </row>
    <row r="698" spans="5:7" s="39" customFormat="1" x14ac:dyDescent="0.3">
      <c r="E698" s="41"/>
      <c r="F698" s="41"/>
      <c r="G698" s="41"/>
    </row>
    <row r="699" spans="5:7" s="39" customFormat="1" x14ac:dyDescent="0.3">
      <c r="E699" s="41"/>
      <c r="F699" s="41"/>
      <c r="G699" s="41"/>
    </row>
    <row r="700" spans="5:7" s="39" customFormat="1" x14ac:dyDescent="0.3">
      <c r="E700" s="41"/>
      <c r="F700" s="41"/>
      <c r="G700" s="41"/>
    </row>
    <row r="701" spans="5:7" s="39" customFormat="1" x14ac:dyDescent="0.3">
      <c r="E701" s="41"/>
      <c r="F701" s="41"/>
      <c r="G701" s="41"/>
    </row>
    <row r="702" spans="5:7" s="39" customFormat="1" x14ac:dyDescent="0.3">
      <c r="E702" s="41"/>
      <c r="F702" s="41"/>
      <c r="G702" s="41"/>
    </row>
    <row r="703" spans="5:7" s="39" customFormat="1" x14ac:dyDescent="0.3">
      <c r="E703" s="41"/>
      <c r="F703" s="41"/>
      <c r="G703" s="41"/>
    </row>
    <row r="704" spans="5:7" s="39" customFormat="1" x14ac:dyDescent="0.3">
      <c r="E704" s="41"/>
      <c r="F704" s="41"/>
      <c r="G704" s="41"/>
    </row>
    <row r="705" spans="5:7" s="39" customFormat="1" x14ac:dyDescent="0.3">
      <c r="E705" s="41"/>
      <c r="F705" s="41"/>
      <c r="G705" s="41"/>
    </row>
    <row r="706" spans="5:7" s="39" customFormat="1" x14ac:dyDescent="0.3">
      <c r="E706" s="41"/>
      <c r="F706" s="41"/>
      <c r="G706" s="41"/>
    </row>
    <row r="707" spans="5:7" s="39" customFormat="1" x14ac:dyDescent="0.3">
      <c r="E707" s="41"/>
      <c r="F707" s="41"/>
      <c r="G707" s="41"/>
    </row>
    <row r="708" spans="5:7" s="39" customFormat="1" x14ac:dyDescent="0.3">
      <c r="E708" s="41"/>
      <c r="F708" s="41"/>
      <c r="G708" s="41"/>
    </row>
    <row r="709" spans="5:7" s="39" customFormat="1" x14ac:dyDescent="0.3">
      <c r="E709" s="41"/>
      <c r="F709" s="41"/>
      <c r="G709" s="41"/>
    </row>
    <row r="710" spans="5:7" s="39" customFormat="1" x14ac:dyDescent="0.3">
      <c r="E710" s="41"/>
      <c r="F710" s="41"/>
      <c r="G710" s="41"/>
    </row>
    <row r="711" spans="5:7" s="39" customFormat="1" x14ac:dyDescent="0.3">
      <c r="E711" s="41"/>
      <c r="F711" s="41"/>
      <c r="G711" s="41"/>
    </row>
    <row r="712" spans="5:7" s="39" customFormat="1" x14ac:dyDescent="0.3">
      <c r="E712" s="41"/>
      <c r="F712" s="41"/>
      <c r="G712" s="41"/>
    </row>
    <row r="713" spans="5:7" s="39" customFormat="1" x14ac:dyDescent="0.3">
      <c r="E713" s="41"/>
      <c r="F713" s="41"/>
      <c r="G713" s="41"/>
    </row>
    <row r="714" spans="5:7" s="39" customFormat="1" x14ac:dyDescent="0.3">
      <c r="E714" s="41"/>
      <c r="F714" s="41"/>
      <c r="G714" s="41"/>
    </row>
    <row r="715" spans="5:7" s="39" customFormat="1" x14ac:dyDescent="0.3">
      <c r="E715" s="41"/>
      <c r="F715" s="41"/>
      <c r="G715" s="41"/>
    </row>
    <row r="716" spans="5:7" s="39" customFormat="1" x14ac:dyDescent="0.3">
      <c r="E716" s="41"/>
      <c r="F716" s="41"/>
      <c r="G716" s="41"/>
    </row>
    <row r="717" spans="5:7" s="39" customFormat="1" x14ac:dyDescent="0.3">
      <c r="E717" s="41"/>
      <c r="F717" s="41"/>
      <c r="G717" s="41"/>
    </row>
    <row r="718" spans="5:7" s="39" customFormat="1" x14ac:dyDescent="0.3">
      <c r="E718" s="41"/>
      <c r="F718" s="41"/>
      <c r="G718" s="41"/>
    </row>
    <row r="719" spans="5:7" s="39" customFormat="1" x14ac:dyDescent="0.3">
      <c r="E719" s="41"/>
      <c r="F719" s="41"/>
      <c r="G719" s="41"/>
    </row>
    <row r="720" spans="5:7" s="39" customFormat="1" x14ac:dyDescent="0.3">
      <c r="E720" s="41"/>
      <c r="F720" s="41"/>
      <c r="G720" s="41"/>
    </row>
    <row r="721" spans="5:7" s="39" customFormat="1" x14ac:dyDescent="0.3">
      <c r="E721" s="41"/>
      <c r="F721" s="41"/>
      <c r="G721" s="41"/>
    </row>
    <row r="722" spans="5:7" s="39" customFormat="1" x14ac:dyDescent="0.3">
      <c r="E722" s="41"/>
      <c r="F722" s="41"/>
      <c r="G722" s="41"/>
    </row>
    <row r="723" spans="5:7" s="39" customFormat="1" x14ac:dyDescent="0.3">
      <c r="E723" s="41"/>
      <c r="F723" s="41"/>
      <c r="G723" s="41"/>
    </row>
    <row r="724" spans="5:7" s="39" customFormat="1" x14ac:dyDescent="0.3">
      <c r="E724" s="41"/>
      <c r="F724" s="41"/>
      <c r="G724" s="41"/>
    </row>
    <row r="725" spans="5:7" s="39" customFormat="1" x14ac:dyDescent="0.3">
      <c r="E725" s="41"/>
      <c r="F725" s="41"/>
      <c r="G725" s="41"/>
    </row>
    <row r="726" spans="5:7" s="39" customFormat="1" x14ac:dyDescent="0.3">
      <c r="E726" s="41"/>
      <c r="F726" s="41"/>
      <c r="G726" s="41"/>
    </row>
    <row r="727" spans="5:7" s="39" customFormat="1" x14ac:dyDescent="0.3">
      <c r="E727" s="41"/>
      <c r="F727" s="41"/>
      <c r="G727" s="41"/>
    </row>
    <row r="728" spans="5:7" s="39" customFormat="1" x14ac:dyDescent="0.3">
      <c r="E728" s="41"/>
      <c r="F728" s="41"/>
      <c r="G728" s="41"/>
    </row>
    <row r="729" spans="5:7" s="39" customFormat="1" x14ac:dyDescent="0.3">
      <c r="E729" s="41"/>
      <c r="F729" s="41"/>
      <c r="G729" s="41"/>
    </row>
    <row r="730" spans="5:7" s="39" customFormat="1" x14ac:dyDescent="0.3">
      <c r="E730" s="41"/>
      <c r="F730" s="41"/>
      <c r="G730" s="41"/>
    </row>
    <row r="731" spans="5:7" s="39" customFormat="1" x14ac:dyDescent="0.3">
      <c r="E731" s="41"/>
      <c r="F731" s="41"/>
      <c r="G731" s="41"/>
    </row>
    <row r="732" spans="5:7" s="39" customFormat="1" x14ac:dyDescent="0.3">
      <c r="E732" s="41"/>
      <c r="F732" s="41"/>
      <c r="G732" s="41"/>
    </row>
    <row r="733" spans="5:7" s="39" customFormat="1" x14ac:dyDescent="0.3">
      <c r="E733" s="41"/>
      <c r="F733" s="41"/>
      <c r="G733" s="41"/>
    </row>
    <row r="734" spans="5:7" s="39" customFormat="1" x14ac:dyDescent="0.3">
      <c r="E734" s="41"/>
      <c r="F734" s="41"/>
      <c r="G734" s="41"/>
    </row>
    <row r="735" spans="5:7" s="39" customFormat="1" x14ac:dyDescent="0.3">
      <c r="E735" s="41"/>
      <c r="F735" s="41"/>
      <c r="G735" s="41"/>
    </row>
    <row r="736" spans="5:7" s="39" customFormat="1" x14ac:dyDescent="0.3">
      <c r="E736" s="41"/>
      <c r="F736" s="41"/>
      <c r="G736" s="41"/>
    </row>
    <row r="737" spans="5:7" s="39" customFormat="1" x14ac:dyDescent="0.3">
      <c r="E737" s="41"/>
      <c r="F737" s="41"/>
      <c r="G737" s="41"/>
    </row>
    <row r="738" spans="5:7" s="39" customFormat="1" x14ac:dyDescent="0.3">
      <c r="E738" s="41"/>
      <c r="F738" s="41"/>
      <c r="G738" s="41"/>
    </row>
    <row r="739" spans="5:7" s="39" customFormat="1" x14ac:dyDescent="0.3">
      <c r="E739" s="41"/>
      <c r="F739" s="41"/>
      <c r="G739" s="41"/>
    </row>
    <row r="740" spans="5:7" s="39" customFormat="1" x14ac:dyDescent="0.3">
      <c r="E740" s="41"/>
      <c r="F740" s="41"/>
      <c r="G740" s="41"/>
    </row>
    <row r="741" spans="5:7" s="39" customFormat="1" x14ac:dyDescent="0.3">
      <c r="E741" s="41"/>
      <c r="F741" s="41"/>
      <c r="G741" s="41"/>
    </row>
    <row r="742" spans="5:7" s="39" customFormat="1" x14ac:dyDescent="0.3">
      <c r="E742" s="41"/>
      <c r="F742" s="41"/>
      <c r="G742" s="41"/>
    </row>
    <row r="743" spans="5:7" s="39" customFormat="1" x14ac:dyDescent="0.3">
      <c r="E743" s="41"/>
      <c r="F743" s="41"/>
      <c r="G743" s="41"/>
    </row>
    <row r="744" spans="5:7" s="39" customFormat="1" x14ac:dyDescent="0.3">
      <c r="E744" s="41"/>
      <c r="F744" s="41"/>
      <c r="G744" s="41"/>
    </row>
    <row r="745" spans="5:7" s="39" customFormat="1" x14ac:dyDescent="0.3">
      <c r="E745" s="41"/>
      <c r="F745" s="41"/>
      <c r="G745" s="41"/>
    </row>
    <row r="746" spans="5:7" s="39" customFormat="1" x14ac:dyDescent="0.3">
      <c r="E746" s="41"/>
      <c r="F746" s="41"/>
      <c r="G746" s="41"/>
    </row>
    <row r="747" spans="5:7" s="39" customFormat="1" x14ac:dyDescent="0.3">
      <c r="E747" s="41"/>
      <c r="F747" s="41"/>
      <c r="G747" s="41"/>
    </row>
    <row r="748" spans="5:7" s="39" customFormat="1" x14ac:dyDescent="0.3">
      <c r="E748" s="41"/>
      <c r="F748" s="41"/>
      <c r="G748" s="41"/>
    </row>
    <row r="749" spans="5:7" s="39" customFormat="1" x14ac:dyDescent="0.3">
      <c r="E749" s="41"/>
      <c r="F749" s="41"/>
      <c r="G749" s="41"/>
    </row>
    <row r="750" spans="5:7" s="39" customFormat="1" x14ac:dyDescent="0.3">
      <c r="E750" s="41"/>
      <c r="F750" s="41"/>
      <c r="G750" s="41"/>
    </row>
    <row r="751" spans="5:7" s="39" customFormat="1" x14ac:dyDescent="0.3">
      <c r="E751" s="41"/>
      <c r="F751" s="41"/>
      <c r="G751" s="41"/>
    </row>
    <row r="752" spans="5:7" s="39" customFormat="1" x14ac:dyDescent="0.3">
      <c r="E752" s="41"/>
      <c r="F752" s="41"/>
      <c r="G752" s="41"/>
    </row>
    <row r="753" spans="5:7" s="39" customFormat="1" x14ac:dyDescent="0.3">
      <c r="E753" s="41"/>
      <c r="F753" s="41"/>
      <c r="G753" s="41"/>
    </row>
    <row r="754" spans="5:7" s="39" customFormat="1" x14ac:dyDescent="0.3">
      <c r="E754" s="41"/>
      <c r="F754" s="41"/>
      <c r="G754" s="41"/>
    </row>
    <row r="755" spans="5:7" s="39" customFormat="1" x14ac:dyDescent="0.3">
      <c r="E755" s="41"/>
      <c r="F755" s="41"/>
      <c r="G755" s="41"/>
    </row>
    <row r="756" spans="5:7" s="39" customFormat="1" x14ac:dyDescent="0.3">
      <c r="E756" s="41"/>
      <c r="F756" s="41"/>
      <c r="G756" s="41"/>
    </row>
    <row r="757" spans="5:7" s="39" customFormat="1" x14ac:dyDescent="0.3">
      <c r="E757" s="41"/>
      <c r="F757" s="41"/>
      <c r="G757" s="41"/>
    </row>
    <row r="758" spans="5:7" s="39" customFormat="1" x14ac:dyDescent="0.3">
      <c r="E758" s="41"/>
      <c r="F758" s="41"/>
      <c r="G758" s="41"/>
    </row>
    <row r="759" spans="5:7" s="39" customFormat="1" x14ac:dyDescent="0.3">
      <c r="E759" s="41"/>
      <c r="F759" s="41"/>
      <c r="G759" s="41"/>
    </row>
    <row r="760" spans="5:7" s="39" customFormat="1" x14ac:dyDescent="0.3">
      <c r="E760" s="41"/>
      <c r="F760" s="41"/>
      <c r="G760" s="41"/>
    </row>
    <row r="761" spans="5:7" s="39" customFormat="1" x14ac:dyDescent="0.3">
      <c r="E761" s="41"/>
      <c r="F761" s="41"/>
      <c r="G761" s="41"/>
    </row>
    <row r="762" spans="5:7" s="39" customFormat="1" x14ac:dyDescent="0.3">
      <c r="E762" s="41"/>
      <c r="F762" s="41"/>
      <c r="G762" s="41"/>
    </row>
    <row r="763" spans="5:7" s="39" customFormat="1" x14ac:dyDescent="0.3">
      <c r="E763" s="41"/>
      <c r="F763" s="41"/>
      <c r="G763" s="41"/>
    </row>
    <row r="764" spans="5:7" s="39" customFormat="1" x14ac:dyDescent="0.3">
      <c r="E764" s="41"/>
      <c r="F764" s="41"/>
      <c r="G764" s="41"/>
    </row>
    <row r="765" spans="5:7" s="39" customFormat="1" x14ac:dyDescent="0.3">
      <c r="E765" s="41"/>
      <c r="F765" s="41"/>
      <c r="G765" s="41"/>
    </row>
    <row r="766" spans="5:7" s="39" customFormat="1" x14ac:dyDescent="0.3">
      <c r="E766" s="41"/>
      <c r="F766" s="41"/>
      <c r="G766" s="41"/>
    </row>
    <row r="767" spans="5:7" s="39" customFormat="1" x14ac:dyDescent="0.3">
      <c r="E767" s="41"/>
      <c r="F767" s="41"/>
      <c r="G767" s="41"/>
    </row>
    <row r="768" spans="5:7" s="39" customFormat="1" x14ac:dyDescent="0.3">
      <c r="E768" s="41"/>
      <c r="F768" s="41"/>
      <c r="G768" s="41"/>
    </row>
    <row r="769" spans="5:7" s="39" customFormat="1" x14ac:dyDescent="0.3">
      <c r="E769" s="41"/>
      <c r="F769" s="41"/>
      <c r="G769" s="41"/>
    </row>
    <row r="770" spans="5:7" s="39" customFormat="1" x14ac:dyDescent="0.3">
      <c r="E770" s="41"/>
      <c r="F770" s="41"/>
      <c r="G770" s="41"/>
    </row>
    <row r="771" spans="5:7" s="39" customFormat="1" x14ac:dyDescent="0.3">
      <c r="E771" s="41"/>
      <c r="F771" s="41"/>
      <c r="G771" s="41"/>
    </row>
    <row r="772" spans="5:7" s="39" customFormat="1" x14ac:dyDescent="0.3">
      <c r="E772" s="41"/>
      <c r="F772" s="41"/>
      <c r="G772" s="41"/>
    </row>
    <row r="773" spans="5:7" s="39" customFormat="1" x14ac:dyDescent="0.3">
      <c r="E773" s="41"/>
      <c r="F773" s="41"/>
      <c r="G773" s="41"/>
    </row>
    <row r="774" spans="5:7" s="39" customFormat="1" x14ac:dyDescent="0.3">
      <c r="E774" s="41"/>
      <c r="F774" s="41"/>
      <c r="G774" s="41"/>
    </row>
    <row r="775" spans="5:7" s="39" customFormat="1" x14ac:dyDescent="0.3">
      <c r="E775" s="41"/>
      <c r="F775" s="41"/>
      <c r="G775" s="41"/>
    </row>
    <row r="776" spans="5:7" s="39" customFormat="1" x14ac:dyDescent="0.3">
      <c r="E776" s="41"/>
      <c r="F776" s="41"/>
      <c r="G776" s="41"/>
    </row>
    <row r="777" spans="5:7" s="39" customFormat="1" x14ac:dyDescent="0.3">
      <c r="E777" s="41"/>
      <c r="F777" s="41"/>
      <c r="G777" s="41"/>
    </row>
    <row r="778" spans="5:7" s="39" customFormat="1" x14ac:dyDescent="0.3">
      <c r="E778" s="41"/>
      <c r="F778" s="41"/>
      <c r="G778" s="41"/>
    </row>
    <row r="779" spans="5:7" s="39" customFormat="1" x14ac:dyDescent="0.3">
      <c r="E779" s="41"/>
      <c r="F779" s="41"/>
      <c r="G779" s="41"/>
    </row>
    <row r="780" spans="5:7" s="39" customFormat="1" x14ac:dyDescent="0.3">
      <c r="E780" s="41"/>
      <c r="F780" s="41"/>
      <c r="G780" s="41"/>
    </row>
    <row r="781" spans="5:7" s="39" customFormat="1" x14ac:dyDescent="0.3">
      <c r="E781" s="41"/>
      <c r="F781" s="41"/>
      <c r="G781" s="41"/>
    </row>
    <row r="782" spans="5:7" s="39" customFormat="1" x14ac:dyDescent="0.3">
      <c r="E782" s="41"/>
      <c r="F782" s="41"/>
      <c r="G782" s="41"/>
    </row>
    <row r="783" spans="5:7" s="39" customFormat="1" x14ac:dyDescent="0.3">
      <c r="E783" s="41"/>
      <c r="F783" s="41"/>
      <c r="G783" s="41"/>
    </row>
    <row r="784" spans="5:7" s="39" customFormat="1" x14ac:dyDescent="0.3">
      <c r="E784" s="41"/>
      <c r="F784" s="41"/>
      <c r="G784" s="41"/>
    </row>
    <row r="785" spans="5:7" s="39" customFormat="1" x14ac:dyDescent="0.3">
      <c r="E785" s="41"/>
      <c r="F785" s="41"/>
      <c r="G785" s="41"/>
    </row>
    <row r="786" spans="5:7" s="39" customFormat="1" x14ac:dyDescent="0.3">
      <c r="E786" s="41"/>
      <c r="F786" s="41"/>
      <c r="G786" s="41"/>
    </row>
    <row r="787" spans="5:7" s="39" customFormat="1" x14ac:dyDescent="0.3">
      <c r="E787" s="41"/>
      <c r="F787" s="41"/>
      <c r="G787" s="41"/>
    </row>
    <row r="788" spans="5:7" s="39" customFormat="1" x14ac:dyDescent="0.3">
      <c r="E788" s="41"/>
      <c r="F788" s="41"/>
      <c r="G788" s="41"/>
    </row>
    <row r="789" spans="5:7" s="39" customFormat="1" x14ac:dyDescent="0.3">
      <c r="E789" s="41"/>
      <c r="F789" s="41"/>
      <c r="G789" s="41"/>
    </row>
    <row r="790" spans="5:7" s="39" customFormat="1" x14ac:dyDescent="0.3">
      <c r="E790" s="41"/>
      <c r="F790" s="41"/>
      <c r="G790" s="41"/>
    </row>
    <row r="791" spans="5:7" s="39" customFormat="1" x14ac:dyDescent="0.3">
      <c r="E791" s="41"/>
      <c r="F791" s="41"/>
      <c r="G791" s="41"/>
    </row>
    <row r="792" spans="5:7" s="39" customFormat="1" x14ac:dyDescent="0.3">
      <c r="E792" s="41"/>
      <c r="F792" s="41"/>
      <c r="G792" s="41"/>
    </row>
    <row r="793" spans="5:7" s="39" customFormat="1" x14ac:dyDescent="0.3">
      <c r="E793" s="41"/>
      <c r="F793" s="41"/>
      <c r="G793" s="41"/>
    </row>
    <row r="794" spans="5:7" s="39" customFormat="1" x14ac:dyDescent="0.3">
      <c r="E794" s="41"/>
      <c r="F794" s="41"/>
      <c r="G794" s="41"/>
    </row>
    <row r="795" spans="5:7" s="39" customFormat="1" x14ac:dyDescent="0.3">
      <c r="E795" s="41"/>
      <c r="F795" s="41"/>
      <c r="G795" s="41"/>
    </row>
    <row r="796" spans="5:7" s="39" customFormat="1" x14ac:dyDescent="0.3">
      <c r="E796" s="41"/>
      <c r="F796" s="41"/>
      <c r="G796" s="41"/>
    </row>
    <row r="797" spans="5:7" s="39" customFormat="1" x14ac:dyDescent="0.3">
      <c r="E797" s="41"/>
      <c r="F797" s="41"/>
      <c r="G797" s="41"/>
    </row>
    <row r="798" spans="5:7" s="39" customFormat="1" x14ac:dyDescent="0.3">
      <c r="E798" s="41"/>
      <c r="F798" s="41"/>
      <c r="G798" s="41"/>
    </row>
    <row r="799" spans="5:7" s="39" customFormat="1" x14ac:dyDescent="0.3">
      <c r="E799" s="41"/>
      <c r="F799" s="41"/>
      <c r="G799" s="41"/>
    </row>
    <row r="800" spans="5:7" s="39" customFormat="1" x14ac:dyDescent="0.3">
      <c r="E800" s="41"/>
      <c r="F800" s="41"/>
      <c r="G800" s="41"/>
    </row>
    <row r="801" spans="5:7" s="39" customFormat="1" x14ac:dyDescent="0.3">
      <c r="E801" s="41"/>
      <c r="F801" s="41"/>
      <c r="G801" s="41"/>
    </row>
    <row r="802" spans="5:7" s="39" customFormat="1" x14ac:dyDescent="0.3">
      <c r="E802" s="41"/>
      <c r="F802" s="41"/>
      <c r="G802" s="41"/>
    </row>
    <row r="803" spans="5:7" s="39" customFormat="1" x14ac:dyDescent="0.3">
      <c r="E803" s="41"/>
      <c r="F803" s="41"/>
      <c r="G803" s="41"/>
    </row>
    <row r="804" spans="5:7" s="39" customFormat="1" x14ac:dyDescent="0.3">
      <c r="E804" s="41"/>
      <c r="F804" s="41"/>
      <c r="G804" s="41"/>
    </row>
    <row r="805" spans="5:7" s="39" customFormat="1" x14ac:dyDescent="0.3">
      <c r="E805" s="41"/>
      <c r="F805" s="41"/>
      <c r="G805" s="41"/>
    </row>
    <row r="806" spans="5:7" s="39" customFormat="1" x14ac:dyDescent="0.3">
      <c r="E806" s="41"/>
      <c r="F806" s="41"/>
      <c r="G806" s="41"/>
    </row>
    <row r="807" spans="5:7" s="39" customFormat="1" x14ac:dyDescent="0.3">
      <c r="E807" s="41"/>
      <c r="F807" s="41"/>
      <c r="G807" s="41"/>
    </row>
    <row r="808" spans="5:7" s="39" customFormat="1" x14ac:dyDescent="0.3">
      <c r="E808" s="41"/>
      <c r="F808" s="41"/>
      <c r="G808" s="41"/>
    </row>
    <row r="809" spans="5:7" s="39" customFormat="1" x14ac:dyDescent="0.3">
      <c r="E809" s="41"/>
      <c r="F809" s="41"/>
      <c r="G809" s="41"/>
    </row>
    <row r="810" spans="5:7" s="39" customFormat="1" x14ac:dyDescent="0.3">
      <c r="E810" s="41"/>
      <c r="F810" s="41"/>
      <c r="G810" s="41"/>
    </row>
    <row r="811" spans="5:7" s="39" customFormat="1" x14ac:dyDescent="0.3">
      <c r="E811" s="41"/>
      <c r="F811" s="41"/>
      <c r="G811" s="41"/>
    </row>
    <row r="812" spans="5:7" s="39" customFormat="1" x14ac:dyDescent="0.3">
      <c r="E812" s="41"/>
      <c r="F812" s="41"/>
      <c r="G812" s="41"/>
    </row>
    <row r="813" spans="5:7" s="39" customFormat="1" x14ac:dyDescent="0.3">
      <c r="E813" s="41"/>
      <c r="F813" s="41"/>
      <c r="G813" s="41"/>
    </row>
    <row r="814" spans="5:7" s="39" customFormat="1" x14ac:dyDescent="0.3">
      <c r="E814" s="41"/>
      <c r="F814" s="41"/>
      <c r="G814" s="41"/>
    </row>
    <row r="815" spans="5:7" s="39" customFormat="1" x14ac:dyDescent="0.3">
      <c r="E815" s="41"/>
      <c r="F815" s="41"/>
      <c r="G815" s="41"/>
    </row>
    <row r="816" spans="5:7" s="39" customFormat="1" x14ac:dyDescent="0.3">
      <c r="E816" s="41"/>
      <c r="F816" s="41"/>
      <c r="G816" s="41"/>
    </row>
    <row r="817" spans="5:7" s="39" customFormat="1" x14ac:dyDescent="0.3">
      <c r="E817" s="41"/>
      <c r="F817" s="41"/>
      <c r="G817" s="41"/>
    </row>
    <row r="818" spans="5:7" s="39" customFormat="1" x14ac:dyDescent="0.3">
      <c r="E818" s="41"/>
      <c r="F818" s="41"/>
      <c r="G818" s="41"/>
    </row>
    <row r="819" spans="5:7" s="39" customFormat="1" x14ac:dyDescent="0.3">
      <c r="E819" s="41"/>
      <c r="F819" s="41"/>
      <c r="G819" s="41"/>
    </row>
    <row r="820" spans="5:7" s="39" customFormat="1" x14ac:dyDescent="0.3">
      <c r="E820" s="41"/>
      <c r="F820" s="41"/>
      <c r="G820" s="41"/>
    </row>
    <row r="821" spans="5:7" s="39" customFormat="1" x14ac:dyDescent="0.3">
      <c r="E821" s="41"/>
      <c r="F821" s="41"/>
      <c r="G821" s="41"/>
    </row>
    <row r="822" spans="5:7" s="39" customFormat="1" x14ac:dyDescent="0.3">
      <c r="E822" s="41"/>
      <c r="F822" s="41"/>
      <c r="G822" s="41"/>
    </row>
    <row r="823" spans="5:7" s="39" customFormat="1" x14ac:dyDescent="0.3">
      <c r="E823" s="41"/>
      <c r="F823" s="41"/>
      <c r="G823" s="41"/>
    </row>
    <row r="824" spans="5:7" s="39" customFormat="1" x14ac:dyDescent="0.3">
      <c r="E824" s="41"/>
      <c r="F824" s="41"/>
      <c r="G824" s="41"/>
    </row>
    <row r="825" spans="5:7" s="39" customFormat="1" x14ac:dyDescent="0.3">
      <c r="E825" s="41"/>
      <c r="F825" s="41"/>
      <c r="G825" s="41"/>
    </row>
    <row r="826" spans="5:7" s="39" customFormat="1" x14ac:dyDescent="0.3">
      <c r="E826" s="41"/>
      <c r="F826" s="41"/>
      <c r="G826" s="41"/>
    </row>
    <row r="827" spans="5:7" s="39" customFormat="1" x14ac:dyDescent="0.3">
      <c r="E827" s="41"/>
      <c r="F827" s="41"/>
      <c r="G827" s="41"/>
    </row>
    <row r="828" spans="5:7" s="39" customFormat="1" x14ac:dyDescent="0.3">
      <c r="E828" s="41"/>
      <c r="F828" s="41"/>
      <c r="G828" s="41"/>
    </row>
    <row r="829" spans="5:7" s="39" customFormat="1" x14ac:dyDescent="0.3">
      <c r="E829" s="41"/>
      <c r="F829" s="41"/>
      <c r="G829" s="41"/>
    </row>
    <row r="830" spans="5:7" s="39" customFormat="1" x14ac:dyDescent="0.3">
      <c r="E830" s="41"/>
      <c r="F830" s="41"/>
      <c r="G830" s="41"/>
    </row>
    <row r="831" spans="5:7" s="39" customFormat="1" x14ac:dyDescent="0.3">
      <c r="E831" s="41"/>
      <c r="F831" s="41"/>
      <c r="G831" s="41"/>
    </row>
    <row r="832" spans="5:7" s="39" customFormat="1" x14ac:dyDescent="0.3">
      <c r="E832" s="41"/>
      <c r="F832" s="41"/>
      <c r="G832" s="41"/>
    </row>
    <row r="833" spans="5:7" s="39" customFormat="1" x14ac:dyDescent="0.3">
      <c r="E833" s="41"/>
      <c r="F833" s="41"/>
      <c r="G833" s="41"/>
    </row>
    <row r="834" spans="5:7" s="39" customFormat="1" x14ac:dyDescent="0.3">
      <c r="E834" s="41"/>
      <c r="F834" s="41"/>
      <c r="G834" s="41"/>
    </row>
    <row r="835" spans="5:7" s="39" customFormat="1" x14ac:dyDescent="0.3">
      <c r="E835" s="41"/>
      <c r="F835" s="41"/>
      <c r="G835" s="41"/>
    </row>
    <row r="836" spans="5:7" s="39" customFormat="1" x14ac:dyDescent="0.3">
      <c r="E836" s="41"/>
      <c r="F836" s="41"/>
      <c r="G836" s="41"/>
    </row>
    <row r="837" spans="5:7" s="39" customFormat="1" x14ac:dyDescent="0.3">
      <c r="E837" s="41"/>
      <c r="F837" s="41"/>
      <c r="G837" s="41"/>
    </row>
    <row r="838" spans="5:7" s="39" customFormat="1" x14ac:dyDescent="0.3">
      <c r="E838" s="41"/>
      <c r="F838" s="41"/>
      <c r="G838" s="41"/>
    </row>
    <row r="839" spans="5:7" s="39" customFormat="1" x14ac:dyDescent="0.3">
      <c r="E839" s="41"/>
      <c r="F839" s="41"/>
      <c r="G839" s="41"/>
    </row>
    <row r="840" spans="5:7" s="39" customFormat="1" x14ac:dyDescent="0.3">
      <c r="E840" s="41"/>
      <c r="F840" s="41"/>
      <c r="G840" s="41"/>
    </row>
    <row r="841" spans="5:7" s="39" customFormat="1" x14ac:dyDescent="0.3">
      <c r="E841" s="41"/>
      <c r="F841" s="41"/>
      <c r="G841" s="41"/>
    </row>
    <row r="842" spans="5:7" s="39" customFormat="1" x14ac:dyDescent="0.3">
      <c r="E842" s="41"/>
      <c r="F842" s="41"/>
      <c r="G842" s="41"/>
    </row>
    <row r="843" spans="5:7" s="39" customFormat="1" x14ac:dyDescent="0.3">
      <c r="E843" s="41"/>
      <c r="F843" s="41"/>
      <c r="G843" s="41"/>
    </row>
    <row r="844" spans="5:7" s="39" customFormat="1" x14ac:dyDescent="0.3">
      <c r="E844" s="41"/>
      <c r="F844" s="41"/>
      <c r="G844" s="41"/>
    </row>
    <row r="845" spans="5:7" s="39" customFormat="1" x14ac:dyDescent="0.3">
      <c r="E845" s="41"/>
      <c r="F845" s="41"/>
      <c r="G845" s="41"/>
    </row>
    <row r="846" spans="5:7" s="39" customFormat="1" x14ac:dyDescent="0.3">
      <c r="E846" s="41"/>
      <c r="F846" s="41"/>
      <c r="G846" s="41"/>
    </row>
    <row r="847" spans="5:7" s="39" customFormat="1" x14ac:dyDescent="0.3">
      <c r="E847" s="41"/>
      <c r="F847" s="41"/>
      <c r="G847" s="41"/>
    </row>
    <row r="848" spans="5:7" s="39" customFormat="1" x14ac:dyDescent="0.3">
      <c r="E848" s="41"/>
      <c r="F848" s="41"/>
      <c r="G848" s="41"/>
    </row>
    <row r="849" spans="5:7" s="39" customFormat="1" x14ac:dyDescent="0.3">
      <c r="E849" s="41"/>
      <c r="F849" s="41"/>
      <c r="G849" s="41"/>
    </row>
    <row r="850" spans="5:7" s="39" customFormat="1" x14ac:dyDescent="0.3">
      <c r="E850" s="41"/>
      <c r="F850" s="41"/>
      <c r="G850" s="41"/>
    </row>
    <row r="851" spans="5:7" s="39" customFormat="1" x14ac:dyDescent="0.3">
      <c r="E851" s="41"/>
      <c r="F851" s="41"/>
      <c r="G851" s="41"/>
    </row>
    <row r="852" spans="5:7" s="39" customFormat="1" x14ac:dyDescent="0.3">
      <c r="E852" s="41"/>
      <c r="F852" s="41"/>
      <c r="G852" s="41"/>
    </row>
    <row r="853" spans="5:7" s="39" customFormat="1" x14ac:dyDescent="0.3">
      <c r="E853" s="41"/>
      <c r="F853" s="41"/>
      <c r="G853" s="41"/>
    </row>
    <row r="854" spans="5:7" s="39" customFormat="1" x14ac:dyDescent="0.3">
      <c r="E854" s="41"/>
      <c r="F854" s="41"/>
      <c r="G854" s="41"/>
    </row>
    <row r="855" spans="5:7" s="39" customFormat="1" x14ac:dyDescent="0.3">
      <c r="E855" s="41"/>
      <c r="F855" s="41"/>
      <c r="G855" s="41"/>
    </row>
    <row r="856" spans="5:7" s="39" customFormat="1" x14ac:dyDescent="0.3">
      <c r="E856" s="41"/>
      <c r="F856" s="41"/>
      <c r="G856" s="41"/>
    </row>
    <row r="857" spans="5:7" s="39" customFormat="1" x14ac:dyDescent="0.3">
      <c r="E857" s="41"/>
      <c r="F857" s="41"/>
      <c r="G857" s="41"/>
    </row>
    <row r="858" spans="5:7" s="39" customFormat="1" x14ac:dyDescent="0.3">
      <c r="E858" s="41"/>
      <c r="F858" s="41"/>
      <c r="G858" s="41"/>
    </row>
    <row r="859" spans="5:7" s="39" customFormat="1" x14ac:dyDescent="0.3">
      <c r="E859" s="41"/>
      <c r="F859" s="41"/>
      <c r="G859" s="41"/>
    </row>
    <row r="860" spans="5:7" s="39" customFormat="1" x14ac:dyDescent="0.3">
      <c r="E860" s="41"/>
      <c r="F860" s="41"/>
      <c r="G860" s="41"/>
    </row>
    <row r="861" spans="5:7" s="39" customFormat="1" x14ac:dyDescent="0.3">
      <c r="E861" s="41"/>
      <c r="F861" s="41"/>
      <c r="G861" s="41"/>
    </row>
    <row r="862" spans="5:7" s="39" customFormat="1" x14ac:dyDescent="0.3">
      <c r="E862" s="41"/>
      <c r="F862" s="41"/>
      <c r="G862" s="41"/>
    </row>
    <row r="863" spans="5:7" s="39" customFormat="1" x14ac:dyDescent="0.3">
      <c r="E863" s="41"/>
      <c r="F863" s="41"/>
      <c r="G863" s="41"/>
    </row>
    <row r="864" spans="5:7" s="39" customFormat="1" x14ac:dyDescent="0.3">
      <c r="E864" s="41"/>
      <c r="F864" s="41"/>
      <c r="G864" s="41"/>
    </row>
    <row r="865" spans="5:7" s="39" customFormat="1" x14ac:dyDescent="0.3">
      <c r="E865" s="41"/>
      <c r="F865" s="41"/>
      <c r="G865" s="41"/>
    </row>
    <row r="866" spans="5:7" s="39" customFormat="1" x14ac:dyDescent="0.3">
      <c r="E866" s="41"/>
      <c r="F866" s="41"/>
      <c r="G866" s="41"/>
    </row>
    <row r="867" spans="5:7" s="39" customFormat="1" x14ac:dyDescent="0.3">
      <c r="E867" s="41"/>
      <c r="F867" s="41"/>
      <c r="G867" s="41"/>
    </row>
    <row r="868" spans="5:7" s="39" customFormat="1" x14ac:dyDescent="0.3">
      <c r="E868" s="41"/>
      <c r="F868" s="41"/>
      <c r="G868" s="41"/>
    </row>
    <row r="869" spans="5:7" s="39" customFormat="1" x14ac:dyDescent="0.3">
      <c r="E869" s="41"/>
      <c r="F869" s="41"/>
      <c r="G869" s="41"/>
    </row>
    <row r="870" spans="5:7" s="39" customFormat="1" x14ac:dyDescent="0.3">
      <c r="E870" s="41"/>
      <c r="F870" s="41"/>
      <c r="G870" s="41"/>
    </row>
    <row r="871" spans="5:7" s="39" customFormat="1" x14ac:dyDescent="0.3">
      <c r="E871" s="41"/>
      <c r="F871" s="41"/>
      <c r="G871" s="41"/>
    </row>
    <row r="872" spans="5:7" s="39" customFormat="1" x14ac:dyDescent="0.3">
      <c r="E872" s="41"/>
      <c r="F872" s="41"/>
      <c r="G872" s="41"/>
    </row>
    <row r="873" spans="5:7" s="39" customFormat="1" x14ac:dyDescent="0.3">
      <c r="E873" s="41"/>
      <c r="F873" s="41"/>
      <c r="G873" s="41"/>
    </row>
    <row r="874" spans="5:7" s="39" customFormat="1" x14ac:dyDescent="0.3">
      <c r="E874" s="41"/>
      <c r="F874" s="41"/>
      <c r="G874" s="41"/>
    </row>
    <row r="875" spans="5:7" s="39" customFormat="1" x14ac:dyDescent="0.3">
      <c r="E875" s="41"/>
      <c r="F875" s="41"/>
      <c r="G875" s="41"/>
    </row>
    <row r="876" spans="5:7" s="39" customFormat="1" x14ac:dyDescent="0.3">
      <c r="E876" s="41"/>
      <c r="F876" s="41"/>
      <c r="G876" s="41"/>
    </row>
    <row r="877" spans="5:7" s="39" customFormat="1" x14ac:dyDescent="0.3">
      <c r="E877" s="41"/>
      <c r="F877" s="41"/>
      <c r="G877" s="41"/>
    </row>
    <row r="878" spans="5:7" s="39" customFormat="1" x14ac:dyDescent="0.3">
      <c r="E878" s="41"/>
      <c r="F878" s="41"/>
      <c r="G878" s="41"/>
    </row>
    <row r="879" spans="5:7" s="39" customFormat="1" x14ac:dyDescent="0.3">
      <c r="E879" s="41"/>
      <c r="F879" s="41"/>
      <c r="G879" s="41"/>
    </row>
    <row r="880" spans="5:7" s="39" customFormat="1" x14ac:dyDescent="0.3">
      <c r="E880" s="41"/>
      <c r="F880" s="41"/>
      <c r="G880" s="41"/>
    </row>
    <row r="881" spans="5:7" s="39" customFormat="1" x14ac:dyDescent="0.3">
      <c r="E881" s="41"/>
      <c r="F881" s="41"/>
      <c r="G881" s="41"/>
    </row>
    <row r="882" spans="5:7" s="39" customFormat="1" x14ac:dyDescent="0.3">
      <c r="E882" s="41"/>
      <c r="F882" s="41"/>
      <c r="G882" s="41"/>
    </row>
    <row r="883" spans="5:7" s="39" customFormat="1" x14ac:dyDescent="0.3">
      <c r="E883" s="41"/>
      <c r="F883" s="41"/>
      <c r="G883" s="41"/>
    </row>
    <row r="884" spans="5:7" s="39" customFormat="1" x14ac:dyDescent="0.3">
      <c r="E884" s="41"/>
      <c r="F884" s="41"/>
      <c r="G884" s="41"/>
    </row>
    <row r="885" spans="5:7" s="39" customFormat="1" x14ac:dyDescent="0.3">
      <c r="E885" s="41"/>
      <c r="F885" s="41"/>
      <c r="G885" s="41"/>
    </row>
    <row r="886" spans="5:7" s="39" customFormat="1" x14ac:dyDescent="0.3">
      <c r="E886" s="41"/>
      <c r="F886" s="41"/>
      <c r="G886" s="41"/>
    </row>
    <row r="887" spans="5:7" s="39" customFormat="1" x14ac:dyDescent="0.3">
      <c r="E887" s="41"/>
      <c r="F887" s="41"/>
      <c r="G887" s="41"/>
    </row>
    <row r="888" spans="5:7" s="39" customFormat="1" x14ac:dyDescent="0.3">
      <c r="E888" s="41"/>
      <c r="F888" s="41"/>
      <c r="G888" s="41"/>
    </row>
    <row r="889" spans="5:7" s="39" customFormat="1" x14ac:dyDescent="0.3">
      <c r="E889" s="41"/>
      <c r="F889" s="41"/>
      <c r="G889" s="41"/>
    </row>
    <row r="890" spans="5:7" s="39" customFormat="1" x14ac:dyDescent="0.3">
      <c r="E890" s="41"/>
      <c r="F890" s="41"/>
      <c r="G890" s="41"/>
    </row>
    <row r="891" spans="5:7" s="39" customFormat="1" x14ac:dyDescent="0.3">
      <c r="E891" s="41"/>
      <c r="F891" s="41"/>
      <c r="G891" s="41"/>
    </row>
    <row r="892" spans="5:7" s="39" customFormat="1" x14ac:dyDescent="0.3">
      <c r="E892" s="41"/>
      <c r="F892" s="41"/>
      <c r="G892" s="41"/>
    </row>
    <row r="893" spans="5:7" s="39" customFormat="1" x14ac:dyDescent="0.3">
      <c r="E893" s="41"/>
      <c r="F893" s="41"/>
      <c r="G893" s="41"/>
    </row>
    <row r="894" spans="5:7" s="39" customFormat="1" x14ac:dyDescent="0.3">
      <c r="E894" s="41"/>
      <c r="F894" s="41"/>
      <c r="G894" s="41"/>
    </row>
    <row r="895" spans="5:7" s="39" customFormat="1" x14ac:dyDescent="0.3">
      <c r="E895" s="41"/>
      <c r="F895" s="41"/>
      <c r="G895" s="41"/>
    </row>
    <row r="896" spans="5:7" s="39" customFormat="1" x14ac:dyDescent="0.3">
      <c r="E896" s="41"/>
      <c r="F896" s="41"/>
      <c r="G896" s="41"/>
    </row>
    <row r="897" spans="5:7" s="39" customFormat="1" x14ac:dyDescent="0.3">
      <c r="E897" s="41"/>
      <c r="F897" s="41"/>
      <c r="G897" s="41"/>
    </row>
    <row r="898" spans="5:7" s="39" customFormat="1" x14ac:dyDescent="0.3">
      <c r="E898" s="41"/>
      <c r="F898" s="41"/>
      <c r="G898" s="41"/>
    </row>
    <row r="899" spans="5:7" s="39" customFormat="1" x14ac:dyDescent="0.3">
      <c r="E899" s="41"/>
      <c r="F899" s="41"/>
      <c r="G899" s="41"/>
    </row>
    <row r="900" spans="5:7" s="39" customFormat="1" x14ac:dyDescent="0.3">
      <c r="E900" s="41"/>
      <c r="F900" s="41"/>
      <c r="G900" s="41"/>
    </row>
    <row r="901" spans="5:7" s="39" customFormat="1" x14ac:dyDescent="0.3">
      <c r="E901" s="41"/>
      <c r="F901" s="41"/>
      <c r="G901" s="41"/>
    </row>
    <row r="902" spans="5:7" s="39" customFormat="1" x14ac:dyDescent="0.3">
      <c r="E902" s="41"/>
      <c r="F902" s="41"/>
      <c r="G902" s="41"/>
    </row>
    <row r="903" spans="5:7" s="39" customFormat="1" x14ac:dyDescent="0.3">
      <c r="E903" s="41"/>
      <c r="F903" s="41"/>
      <c r="G903" s="41"/>
    </row>
    <row r="904" spans="5:7" s="39" customFormat="1" x14ac:dyDescent="0.3">
      <c r="E904" s="41"/>
      <c r="F904" s="41"/>
      <c r="G904" s="41"/>
    </row>
    <row r="905" spans="5:7" s="39" customFormat="1" x14ac:dyDescent="0.3">
      <c r="E905" s="41"/>
      <c r="F905" s="41"/>
      <c r="G905" s="41"/>
    </row>
    <row r="906" spans="5:7" s="39" customFormat="1" x14ac:dyDescent="0.3">
      <c r="E906" s="41"/>
      <c r="F906" s="41"/>
      <c r="G906" s="41"/>
    </row>
    <row r="907" spans="5:7" s="39" customFormat="1" x14ac:dyDescent="0.3">
      <c r="E907" s="41"/>
      <c r="F907" s="41"/>
      <c r="G907" s="41"/>
    </row>
    <row r="908" spans="5:7" s="39" customFormat="1" x14ac:dyDescent="0.3">
      <c r="E908" s="41"/>
      <c r="F908" s="41"/>
      <c r="G908" s="41"/>
    </row>
    <row r="909" spans="5:7" s="39" customFormat="1" x14ac:dyDescent="0.3">
      <c r="E909" s="41"/>
      <c r="F909" s="41"/>
      <c r="G909" s="41"/>
    </row>
    <row r="910" spans="5:7" s="39" customFormat="1" x14ac:dyDescent="0.3">
      <c r="E910" s="41"/>
      <c r="F910" s="41"/>
      <c r="G910" s="41"/>
    </row>
    <row r="911" spans="5:7" s="39" customFormat="1" x14ac:dyDescent="0.3">
      <c r="E911" s="41"/>
      <c r="F911" s="41"/>
      <c r="G911" s="41"/>
    </row>
    <row r="912" spans="5:7" s="39" customFormat="1" x14ac:dyDescent="0.3">
      <c r="E912" s="41"/>
      <c r="F912" s="41"/>
      <c r="G912" s="41"/>
    </row>
    <row r="913" spans="5:7" s="39" customFormat="1" x14ac:dyDescent="0.3">
      <c r="E913" s="41"/>
      <c r="F913" s="41"/>
      <c r="G913" s="41"/>
    </row>
    <row r="914" spans="5:7" s="39" customFormat="1" x14ac:dyDescent="0.3">
      <c r="E914" s="41"/>
      <c r="F914" s="41"/>
      <c r="G914" s="41"/>
    </row>
    <row r="915" spans="5:7" s="39" customFormat="1" x14ac:dyDescent="0.3">
      <c r="E915" s="41"/>
      <c r="F915" s="41"/>
      <c r="G915" s="41"/>
    </row>
    <row r="916" spans="5:7" s="39" customFormat="1" x14ac:dyDescent="0.3">
      <c r="E916" s="41"/>
      <c r="F916" s="41"/>
      <c r="G916" s="41"/>
    </row>
    <row r="917" spans="5:7" s="39" customFormat="1" x14ac:dyDescent="0.3">
      <c r="E917" s="41"/>
      <c r="F917" s="41"/>
      <c r="G917" s="41"/>
    </row>
    <row r="918" spans="5:7" s="39" customFormat="1" x14ac:dyDescent="0.3">
      <c r="E918" s="41"/>
      <c r="F918" s="41"/>
      <c r="G918" s="41"/>
    </row>
    <row r="919" spans="5:7" s="39" customFormat="1" x14ac:dyDescent="0.3">
      <c r="E919" s="41"/>
      <c r="F919" s="41"/>
      <c r="G919" s="41"/>
    </row>
    <row r="920" spans="5:7" s="39" customFormat="1" x14ac:dyDescent="0.3">
      <c r="E920" s="41"/>
      <c r="F920" s="41"/>
      <c r="G920" s="41"/>
    </row>
    <row r="921" spans="5:7" s="39" customFormat="1" x14ac:dyDescent="0.3">
      <c r="E921" s="41"/>
      <c r="F921" s="41"/>
      <c r="G921" s="41"/>
    </row>
    <row r="922" spans="5:7" s="39" customFormat="1" x14ac:dyDescent="0.3">
      <c r="E922" s="41"/>
      <c r="F922" s="41"/>
      <c r="G922" s="41"/>
    </row>
    <row r="923" spans="5:7" s="39" customFormat="1" x14ac:dyDescent="0.3">
      <c r="E923" s="41"/>
      <c r="F923" s="41"/>
      <c r="G923" s="41"/>
    </row>
    <row r="924" spans="5:7" s="39" customFormat="1" x14ac:dyDescent="0.3">
      <c r="E924" s="41"/>
      <c r="F924" s="41"/>
      <c r="G924" s="41"/>
    </row>
    <row r="925" spans="5:7" s="39" customFormat="1" x14ac:dyDescent="0.3">
      <c r="E925" s="41"/>
      <c r="F925" s="41"/>
      <c r="G925" s="41"/>
    </row>
    <row r="926" spans="5:7" s="39" customFormat="1" x14ac:dyDescent="0.3">
      <c r="E926" s="41"/>
      <c r="F926" s="41"/>
      <c r="G926" s="41"/>
    </row>
    <row r="927" spans="5:7" s="39" customFormat="1" x14ac:dyDescent="0.3">
      <c r="E927" s="41"/>
      <c r="F927" s="41"/>
      <c r="G927" s="41"/>
    </row>
    <row r="928" spans="5:7" s="39" customFormat="1" x14ac:dyDescent="0.3">
      <c r="E928" s="41"/>
      <c r="F928" s="41"/>
      <c r="G928" s="41"/>
    </row>
    <row r="929" spans="5:7" s="39" customFormat="1" x14ac:dyDescent="0.3">
      <c r="E929" s="41"/>
      <c r="F929" s="41"/>
      <c r="G929" s="41"/>
    </row>
    <row r="930" spans="5:7" s="39" customFormat="1" x14ac:dyDescent="0.3">
      <c r="E930" s="41"/>
      <c r="F930" s="41"/>
      <c r="G930" s="41"/>
    </row>
    <row r="931" spans="5:7" s="39" customFormat="1" x14ac:dyDescent="0.3">
      <c r="E931" s="41"/>
      <c r="F931" s="41"/>
      <c r="G931" s="41"/>
    </row>
    <row r="932" spans="5:7" s="39" customFormat="1" x14ac:dyDescent="0.3">
      <c r="E932" s="41"/>
      <c r="F932" s="41"/>
      <c r="G932" s="41"/>
    </row>
    <row r="933" spans="5:7" s="39" customFormat="1" x14ac:dyDescent="0.3">
      <c r="E933" s="41"/>
      <c r="F933" s="41"/>
      <c r="G933" s="41"/>
    </row>
    <row r="934" spans="5:7" s="39" customFormat="1" x14ac:dyDescent="0.3">
      <c r="E934" s="41"/>
      <c r="F934" s="41"/>
      <c r="G934" s="41"/>
    </row>
    <row r="935" spans="5:7" s="39" customFormat="1" x14ac:dyDescent="0.3">
      <c r="E935" s="41"/>
      <c r="F935" s="41"/>
      <c r="G935" s="41"/>
    </row>
    <row r="936" spans="5:7" s="39" customFormat="1" x14ac:dyDescent="0.3">
      <c r="E936" s="41"/>
      <c r="F936" s="41"/>
      <c r="G936" s="41"/>
    </row>
    <row r="937" spans="5:7" s="39" customFormat="1" x14ac:dyDescent="0.3">
      <c r="E937" s="41"/>
      <c r="F937" s="41"/>
      <c r="G937" s="41"/>
    </row>
    <row r="938" spans="5:7" s="39" customFormat="1" x14ac:dyDescent="0.3">
      <c r="E938" s="41"/>
      <c r="F938" s="41"/>
      <c r="G938" s="41"/>
    </row>
    <row r="939" spans="5:7" s="39" customFormat="1" x14ac:dyDescent="0.3">
      <c r="E939" s="41"/>
      <c r="F939" s="41"/>
      <c r="G939" s="41"/>
    </row>
    <row r="940" spans="5:7" s="39" customFormat="1" x14ac:dyDescent="0.3">
      <c r="E940" s="41"/>
      <c r="F940" s="41"/>
      <c r="G940" s="41"/>
    </row>
    <row r="941" spans="5:7" s="39" customFormat="1" x14ac:dyDescent="0.3">
      <c r="E941" s="41"/>
      <c r="F941" s="41"/>
      <c r="G941" s="41"/>
    </row>
    <row r="942" spans="5:7" s="39" customFormat="1" x14ac:dyDescent="0.3">
      <c r="E942" s="41"/>
      <c r="F942" s="41"/>
      <c r="G942" s="41"/>
    </row>
    <row r="943" spans="5:7" s="39" customFormat="1" x14ac:dyDescent="0.3">
      <c r="E943" s="41"/>
      <c r="F943" s="41"/>
      <c r="G943" s="41"/>
    </row>
    <row r="944" spans="5:7" s="39" customFormat="1" x14ac:dyDescent="0.3">
      <c r="E944" s="41"/>
      <c r="F944" s="41"/>
      <c r="G944" s="41"/>
    </row>
    <row r="945" spans="5:7" s="39" customFormat="1" x14ac:dyDescent="0.3">
      <c r="E945" s="41"/>
      <c r="F945" s="41"/>
      <c r="G945" s="41"/>
    </row>
    <row r="946" spans="5:7" s="39" customFormat="1" x14ac:dyDescent="0.3">
      <c r="E946" s="41"/>
      <c r="F946" s="41"/>
      <c r="G946" s="41"/>
    </row>
    <row r="947" spans="5:7" s="39" customFormat="1" x14ac:dyDescent="0.3">
      <c r="E947" s="41"/>
      <c r="F947" s="41"/>
      <c r="G947" s="41"/>
    </row>
    <row r="948" spans="5:7" s="39" customFormat="1" x14ac:dyDescent="0.3">
      <c r="E948" s="41"/>
      <c r="F948" s="41"/>
      <c r="G948" s="41"/>
    </row>
    <row r="949" spans="5:7" s="39" customFormat="1" x14ac:dyDescent="0.3">
      <c r="E949" s="41"/>
      <c r="F949" s="41"/>
      <c r="G949" s="41"/>
    </row>
    <row r="950" spans="5:7" s="39" customFormat="1" x14ac:dyDescent="0.3">
      <c r="E950" s="41"/>
      <c r="F950" s="41"/>
      <c r="G950" s="41"/>
    </row>
    <row r="951" spans="5:7" s="39" customFormat="1" x14ac:dyDescent="0.3">
      <c r="E951" s="41"/>
      <c r="F951" s="41"/>
      <c r="G951" s="41"/>
    </row>
    <row r="952" spans="5:7" s="39" customFormat="1" x14ac:dyDescent="0.3">
      <c r="E952" s="41"/>
      <c r="F952" s="41"/>
      <c r="G952" s="41"/>
    </row>
    <row r="953" spans="5:7" s="39" customFormat="1" x14ac:dyDescent="0.3">
      <c r="E953" s="41"/>
      <c r="F953" s="41"/>
      <c r="G953" s="41"/>
    </row>
    <row r="954" spans="5:7" s="39" customFormat="1" x14ac:dyDescent="0.3">
      <c r="E954" s="41"/>
      <c r="F954" s="41"/>
      <c r="G954" s="41"/>
    </row>
    <row r="955" spans="5:7" s="39" customFormat="1" x14ac:dyDescent="0.3">
      <c r="E955" s="41"/>
      <c r="F955" s="41"/>
      <c r="G955" s="41"/>
    </row>
    <row r="956" spans="5:7" s="39" customFormat="1" x14ac:dyDescent="0.3">
      <c r="E956" s="41"/>
      <c r="F956" s="41"/>
      <c r="G956" s="41"/>
    </row>
    <row r="957" spans="5:7" s="39" customFormat="1" x14ac:dyDescent="0.3">
      <c r="E957" s="41"/>
      <c r="F957" s="41"/>
      <c r="G957" s="41"/>
    </row>
    <row r="958" spans="5:7" s="39" customFormat="1" x14ac:dyDescent="0.3">
      <c r="E958" s="41"/>
      <c r="F958" s="41"/>
      <c r="G958" s="41"/>
    </row>
    <row r="959" spans="5:7" s="39" customFormat="1" x14ac:dyDescent="0.3">
      <c r="E959" s="41"/>
      <c r="F959" s="41"/>
      <c r="G959" s="41"/>
    </row>
    <row r="960" spans="5:7" s="39" customFormat="1" x14ac:dyDescent="0.3">
      <c r="E960" s="41"/>
      <c r="F960" s="41"/>
      <c r="G960" s="41"/>
    </row>
    <row r="961" spans="5:7" s="39" customFormat="1" x14ac:dyDescent="0.3">
      <c r="E961" s="41"/>
      <c r="F961" s="41"/>
      <c r="G961" s="41"/>
    </row>
    <row r="962" spans="5:7" s="39" customFormat="1" x14ac:dyDescent="0.3">
      <c r="E962" s="41"/>
      <c r="F962" s="41"/>
      <c r="G962" s="41"/>
    </row>
    <row r="963" spans="5:7" s="39" customFormat="1" x14ac:dyDescent="0.3">
      <c r="E963" s="41"/>
      <c r="F963" s="41"/>
      <c r="G963" s="41"/>
    </row>
    <row r="964" spans="5:7" s="39" customFormat="1" x14ac:dyDescent="0.3">
      <c r="E964" s="41"/>
      <c r="F964" s="41"/>
      <c r="G964" s="41"/>
    </row>
    <row r="965" spans="5:7" s="39" customFormat="1" x14ac:dyDescent="0.3">
      <c r="E965" s="41"/>
      <c r="F965" s="41"/>
      <c r="G965" s="41"/>
    </row>
    <row r="966" spans="5:7" s="39" customFormat="1" x14ac:dyDescent="0.3">
      <c r="E966" s="41"/>
      <c r="F966" s="41"/>
      <c r="G966" s="41"/>
    </row>
    <row r="967" spans="5:7" s="39" customFormat="1" x14ac:dyDescent="0.3">
      <c r="E967" s="41"/>
      <c r="F967" s="41"/>
      <c r="G967" s="41"/>
    </row>
    <row r="968" spans="5:7" s="39" customFormat="1" x14ac:dyDescent="0.3">
      <c r="E968" s="41"/>
      <c r="F968" s="41"/>
      <c r="G968" s="41"/>
    </row>
    <row r="969" spans="5:7" s="39" customFormat="1" x14ac:dyDescent="0.3">
      <c r="E969" s="41"/>
      <c r="F969" s="41"/>
      <c r="G969" s="41"/>
    </row>
    <row r="970" spans="5:7" s="39" customFormat="1" x14ac:dyDescent="0.3">
      <c r="E970" s="41"/>
      <c r="F970" s="41"/>
      <c r="G970" s="41"/>
    </row>
    <row r="971" spans="5:7" s="39" customFormat="1" x14ac:dyDescent="0.3">
      <c r="E971" s="41"/>
      <c r="F971" s="41"/>
      <c r="G971" s="41"/>
    </row>
    <row r="972" spans="5:7" s="39" customFormat="1" x14ac:dyDescent="0.3">
      <c r="E972" s="41"/>
      <c r="F972" s="41"/>
      <c r="G972" s="41"/>
    </row>
    <row r="973" spans="5:7" s="39" customFormat="1" x14ac:dyDescent="0.3">
      <c r="E973" s="41"/>
      <c r="F973" s="41"/>
      <c r="G973" s="41"/>
    </row>
    <row r="974" spans="5:7" s="39" customFormat="1" x14ac:dyDescent="0.3">
      <c r="E974" s="41"/>
      <c r="F974" s="41"/>
      <c r="G974" s="41"/>
    </row>
    <row r="975" spans="5:7" s="39" customFormat="1" x14ac:dyDescent="0.3">
      <c r="E975" s="41"/>
      <c r="F975" s="41"/>
      <c r="G975" s="41"/>
    </row>
    <row r="976" spans="5:7" s="39" customFormat="1" x14ac:dyDescent="0.3">
      <c r="E976" s="41"/>
      <c r="F976" s="41"/>
      <c r="G976" s="41"/>
    </row>
    <row r="977" spans="5:7" s="39" customFormat="1" x14ac:dyDescent="0.3">
      <c r="E977" s="41"/>
      <c r="F977" s="41"/>
      <c r="G977" s="41"/>
    </row>
    <row r="978" spans="5:7" s="39" customFormat="1" x14ac:dyDescent="0.3">
      <c r="E978" s="41"/>
      <c r="F978" s="41"/>
      <c r="G978" s="41"/>
    </row>
    <row r="979" spans="5:7" s="39" customFormat="1" x14ac:dyDescent="0.3">
      <c r="E979" s="41"/>
      <c r="F979" s="41"/>
      <c r="G979" s="41"/>
    </row>
    <row r="980" spans="5:7" s="39" customFormat="1" x14ac:dyDescent="0.3">
      <c r="E980" s="41"/>
      <c r="F980" s="41"/>
      <c r="G980" s="41"/>
    </row>
    <row r="981" spans="5:7" s="39" customFormat="1" x14ac:dyDescent="0.3">
      <c r="E981" s="41"/>
      <c r="F981" s="41"/>
      <c r="G981" s="41"/>
    </row>
    <row r="982" spans="5:7" s="39" customFormat="1" x14ac:dyDescent="0.3">
      <c r="E982" s="41"/>
      <c r="F982" s="41"/>
      <c r="G982" s="41"/>
    </row>
    <row r="983" spans="5:7" s="39" customFormat="1" x14ac:dyDescent="0.3">
      <c r="E983" s="41"/>
      <c r="F983" s="41"/>
      <c r="G983" s="41"/>
    </row>
    <row r="984" spans="5:7" s="39" customFormat="1" x14ac:dyDescent="0.3">
      <c r="E984" s="41"/>
      <c r="F984" s="41"/>
      <c r="G984" s="41"/>
    </row>
    <row r="985" spans="5:7" s="39" customFormat="1" x14ac:dyDescent="0.3">
      <c r="E985" s="41"/>
      <c r="F985" s="41"/>
      <c r="G985" s="41"/>
    </row>
    <row r="986" spans="5:7" s="39" customFormat="1" x14ac:dyDescent="0.3">
      <c r="E986" s="41"/>
      <c r="F986" s="41"/>
      <c r="G986" s="41"/>
    </row>
    <row r="987" spans="5:7" s="39" customFormat="1" x14ac:dyDescent="0.3">
      <c r="E987" s="41"/>
      <c r="F987" s="41"/>
      <c r="G987" s="41"/>
    </row>
    <row r="988" spans="5:7" s="39" customFormat="1" x14ac:dyDescent="0.3">
      <c r="E988" s="41"/>
      <c r="F988" s="41"/>
      <c r="G988" s="41"/>
    </row>
    <row r="989" spans="5:7" s="39" customFormat="1" x14ac:dyDescent="0.3">
      <c r="E989" s="41"/>
      <c r="F989" s="41"/>
      <c r="G989" s="41"/>
    </row>
    <row r="990" spans="5:7" s="39" customFormat="1" x14ac:dyDescent="0.3">
      <c r="E990" s="41"/>
      <c r="F990" s="41"/>
      <c r="G990" s="41"/>
    </row>
    <row r="991" spans="5:7" s="39" customFormat="1" x14ac:dyDescent="0.3">
      <c r="E991" s="41"/>
      <c r="F991" s="41"/>
      <c r="G991" s="41"/>
    </row>
    <row r="992" spans="5:7" s="39" customFormat="1" x14ac:dyDescent="0.3">
      <c r="E992" s="41"/>
      <c r="F992" s="41"/>
      <c r="G992" s="41"/>
    </row>
    <row r="993" spans="5:7" s="39" customFormat="1" x14ac:dyDescent="0.3">
      <c r="E993" s="41"/>
      <c r="F993" s="41"/>
      <c r="G993" s="41"/>
    </row>
    <row r="994" spans="5:7" s="39" customFormat="1" x14ac:dyDescent="0.3">
      <c r="E994" s="41"/>
      <c r="F994" s="41"/>
      <c r="G994" s="41"/>
    </row>
    <row r="995" spans="5:7" s="39" customFormat="1" x14ac:dyDescent="0.3">
      <c r="E995" s="41"/>
      <c r="F995" s="41"/>
      <c r="G995" s="41"/>
    </row>
    <row r="996" spans="5:7" s="39" customFormat="1" x14ac:dyDescent="0.3">
      <c r="E996" s="41"/>
      <c r="F996" s="41"/>
      <c r="G996" s="41"/>
    </row>
    <row r="997" spans="5:7" s="39" customFormat="1" x14ac:dyDescent="0.3">
      <c r="E997" s="41"/>
      <c r="F997" s="41"/>
      <c r="G997" s="41"/>
    </row>
    <row r="998" spans="5:7" s="39" customFormat="1" x14ac:dyDescent="0.3">
      <c r="E998" s="41"/>
      <c r="F998" s="41"/>
      <c r="G998" s="41"/>
    </row>
    <row r="999" spans="5:7" s="39" customFormat="1" x14ac:dyDescent="0.3">
      <c r="E999" s="41"/>
      <c r="F999" s="41"/>
      <c r="G999" s="41"/>
    </row>
    <row r="1000" spans="5:7" s="39" customFormat="1" x14ac:dyDescent="0.3">
      <c r="E1000" s="41"/>
      <c r="F1000" s="41"/>
      <c r="G1000" s="41"/>
    </row>
    <row r="1001" spans="5:7" s="39" customFormat="1" x14ac:dyDescent="0.3">
      <c r="E1001" s="41"/>
      <c r="F1001" s="41"/>
      <c r="G1001" s="41"/>
    </row>
    <row r="1002" spans="5:7" s="39" customFormat="1" x14ac:dyDescent="0.3">
      <c r="E1002" s="41"/>
      <c r="F1002" s="41"/>
      <c r="G1002" s="41"/>
    </row>
    <row r="1003" spans="5:7" s="39" customFormat="1" x14ac:dyDescent="0.3">
      <c r="E1003" s="41"/>
      <c r="F1003" s="41"/>
      <c r="G1003" s="41"/>
    </row>
    <row r="1004" spans="5:7" s="39" customFormat="1" x14ac:dyDescent="0.3">
      <c r="E1004" s="41"/>
      <c r="F1004" s="41"/>
      <c r="G1004" s="41"/>
    </row>
    <row r="1005" spans="5:7" s="39" customFormat="1" x14ac:dyDescent="0.3">
      <c r="E1005" s="41"/>
      <c r="F1005" s="41"/>
      <c r="G1005" s="41"/>
    </row>
    <row r="1006" spans="5:7" s="39" customFormat="1" x14ac:dyDescent="0.3">
      <c r="E1006" s="41"/>
      <c r="F1006" s="41"/>
      <c r="G1006" s="41"/>
    </row>
    <row r="1007" spans="5:7" s="39" customFormat="1" x14ac:dyDescent="0.3">
      <c r="E1007" s="41"/>
      <c r="F1007" s="41"/>
      <c r="G1007" s="41"/>
    </row>
    <row r="1008" spans="5:7" s="39" customFormat="1" x14ac:dyDescent="0.3">
      <c r="E1008" s="41"/>
      <c r="F1008" s="41"/>
      <c r="G1008" s="41"/>
    </row>
    <row r="1009" spans="5:7" s="39" customFormat="1" x14ac:dyDescent="0.3">
      <c r="E1009" s="41"/>
      <c r="F1009" s="41"/>
      <c r="G1009" s="41"/>
    </row>
    <row r="1010" spans="5:7" s="39" customFormat="1" x14ac:dyDescent="0.3">
      <c r="E1010" s="41"/>
      <c r="F1010" s="41"/>
      <c r="G1010" s="41"/>
    </row>
    <row r="1011" spans="5:7" s="39" customFormat="1" x14ac:dyDescent="0.3">
      <c r="E1011" s="41"/>
      <c r="F1011" s="41"/>
      <c r="G1011" s="41"/>
    </row>
    <row r="1012" spans="5:7" s="39" customFormat="1" x14ac:dyDescent="0.3">
      <c r="E1012" s="41"/>
      <c r="F1012" s="41"/>
      <c r="G1012" s="41"/>
    </row>
    <row r="1013" spans="5:7" s="39" customFormat="1" x14ac:dyDescent="0.3">
      <c r="E1013" s="41"/>
      <c r="F1013" s="41"/>
      <c r="G1013" s="41"/>
    </row>
    <row r="1014" spans="5:7" s="39" customFormat="1" x14ac:dyDescent="0.3">
      <c r="E1014" s="41"/>
      <c r="F1014" s="41"/>
      <c r="G1014" s="41"/>
    </row>
    <row r="1015" spans="5:7" s="39" customFormat="1" x14ac:dyDescent="0.3">
      <c r="E1015" s="41"/>
      <c r="F1015" s="41"/>
      <c r="G1015" s="41"/>
    </row>
    <row r="1016" spans="5:7" s="39" customFormat="1" x14ac:dyDescent="0.3">
      <c r="E1016" s="41"/>
      <c r="F1016" s="41"/>
      <c r="G1016" s="41"/>
    </row>
    <row r="1017" spans="5:7" s="39" customFormat="1" x14ac:dyDescent="0.3">
      <c r="E1017" s="41"/>
      <c r="F1017" s="41"/>
      <c r="G1017" s="41"/>
    </row>
    <row r="1018" spans="5:7" s="39" customFormat="1" x14ac:dyDescent="0.3">
      <c r="E1018" s="41"/>
      <c r="F1018" s="41"/>
      <c r="G1018" s="41"/>
    </row>
    <row r="1019" spans="5:7" s="39" customFormat="1" x14ac:dyDescent="0.3">
      <c r="E1019" s="41"/>
      <c r="F1019" s="41"/>
      <c r="G1019" s="41"/>
    </row>
    <row r="1020" spans="5:7" s="39" customFormat="1" x14ac:dyDescent="0.3">
      <c r="E1020" s="41"/>
      <c r="F1020" s="41"/>
      <c r="G1020" s="41"/>
    </row>
    <row r="1021" spans="5:7" s="39" customFormat="1" x14ac:dyDescent="0.3">
      <c r="E1021" s="41"/>
      <c r="F1021" s="41"/>
      <c r="G1021" s="41"/>
    </row>
    <row r="1022" spans="5:7" s="39" customFormat="1" x14ac:dyDescent="0.3">
      <c r="E1022" s="41"/>
      <c r="F1022" s="41"/>
      <c r="G1022" s="41"/>
    </row>
    <row r="1023" spans="5:7" s="39" customFormat="1" x14ac:dyDescent="0.3">
      <c r="E1023" s="41"/>
      <c r="F1023" s="41"/>
      <c r="G1023" s="41"/>
    </row>
    <row r="1024" spans="5:7" s="39" customFormat="1" x14ac:dyDescent="0.3">
      <c r="E1024" s="41"/>
      <c r="F1024" s="41"/>
      <c r="G1024" s="41"/>
    </row>
    <row r="1025" spans="5:7" s="39" customFormat="1" x14ac:dyDescent="0.3">
      <c r="E1025" s="41"/>
      <c r="F1025" s="41"/>
      <c r="G1025" s="41"/>
    </row>
    <row r="1026" spans="5:7" s="39" customFormat="1" x14ac:dyDescent="0.3">
      <c r="E1026" s="41"/>
      <c r="F1026" s="41"/>
      <c r="G1026" s="41"/>
    </row>
    <row r="1027" spans="5:7" s="39" customFormat="1" x14ac:dyDescent="0.3">
      <c r="E1027" s="41"/>
      <c r="F1027" s="41"/>
      <c r="G1027" s="41"/>
    </row>
    <row r="1028" spans="5:7" s="39" customFormat="1" x14ac:dyDescent="0.3">
      <c r="E1028" s="41"/>
      <c r="F1028" s="41"/>
      <c r="G1028" s="41"/>
    </row>
    <row r="1029" spans="5:7" s="39" customFormat="1" x14ac:dyDescent="0.3">
      <c r="E1029" s="41"/>
      <c r="F1029" s="41"/>
      <c r="G1029" s="41"/>
    </row>
    <row r="1030" spans="5:7" s="39" customFormat="1" x14ac:dyDescent="0.3">
      <c r="E1030" s="41"/>
      <c r="F1030" s="41"/>
      <c r="G1030" s="41"/>
    </row>
    <row r="1031" spans="5:7" s="39" customFormat="1" x14ac:dyDescent="0.3">
      <c r="E1031" s="41"/>
      <c r="F1031" s="41"/>
      <c r="G1031" s="41"/>
    </row>
    <row r="1032" spans="5:7" s="39" customFormat="1" x14ac:dyDescent="0.3">
      <c r="E1032" s="41"/>
      <c r="F1032" s="41"/>
      <c r="G1032" s="41"/>
    </row>
    <row r="1033" spans="5:7" s="39" customFormat="1" x14ac:dyDescent="0.3">
      <c r="E1033" s="41"/>
      <c r="F1033" s="41"/>
      <c r="G1033" s="41"/>
    </row>
    <row r="1034" spans="5:7" s="39" customFormat="1" x14ac:dyDescent="0.3">
      <c r="E1034" s="41"/>
      <c r="F1034" s="41"/>
      <c r="G1034" s="41"/>
    </row>
    <row r="1035" spans="5:7" s="39" customFormat="1" x14ac:dyDescent="0.3">
      <c r="E1035" s="41"/>
      <c r="F1035" s="41"/>
      <c r="G1035" s="41"/>
    </row>
    <row r="1036" spans="5:7" s="39" customFormat="1" x14ac:dyDescent="0.3">
      <c r="E1036" s="41"/>
      <c r="F1036" s="41"/>
      <c r="G1036" s="41"/>
    </row>
    <row r="1037" spans="5:7" s="39" customFormat="1" x14ac:dyDescent="0.3">
      <c r="E1037" s="41"/>
      <c r="F1037" s="41"/>
      <c r="G1037" s="41"/>
    </row>
    <row r="1038" spans="5:7" s="39" customFormat="1" x14ac:dyDescent="0.3">
      <c r="E1038" s="41"/>
      <c r="F1038" s="41"/>
      <c r="G1038" s="41"/>
    </row>
    <row r="1039" spans="5:7" s="39" customFormat="1" x14ac:dyDescent="0.3">
      <c r="E1039" s="41"/>
      <c r="F1039" s="41"/>
      <c r="G1039" s="41"/>
    </row>
    <row r="1040" spans="5:7" s="39" customFormat="1" x14ac:dyDescent="0.3">
      <c r="E1040" s="41"/>
      <c r="F1040" s="41"/>
      <c r="G1040" s="41"/>
    </row>
    <row r="1041" spans="5:7" s="39" customFormat="1" x14ac:dyDescent="0.3">
      <c r="E1041" s="41"/>
      <c r="F1041" s="41"/>
      <c r="G1041" s="41"/>
    </row>
    <row r="1042" spans="5:7" s="39" customFormat="1" x14ac:dyDescent="0.3">
      <c r="E1042" s="41"/>
      <c r="F1042" s="41"/>
      <c r="G1042" s="41"/>
    </row>
    <row r="1043" spans="5:7" s="39" customFormat="1" x14ac:dyDescent="0.3">
      <c r="E1043" s="41"/>
      <c r="F1043" s="41"/>
      <c r="G1043" s="41"/>
    </row>
    <row r="1044" spans="5:7" s="39" customFormat="1" x14ac:dyDescent="0.3">
      <c r="E1044" s="41"/>
      <c r="F1044" s="41"/>
      <c r="G1044" s="41"/>
    </row>
    <row r="1045" spans="5:7" s="39" customFormat="1" x14ac:dyDescent="0.3">
      <c r="E1045" s="41"/>
      <c r="F1045" s="41"/>
      <c r="G1045" s="41"/>
    </row>
    <row r="1046" spans="5:7" s="39" customFormat="1" x14ac:dyDescent="0.3">
      <c r="E1046" s="41"/>
      <c r="F1046" s="41"/>
      <c r="G1046" s="41"/>
    </row>
    <row r="1047" spans="5:7" s="39" customFormat="1" x14ac:dyDescent="0.3">
      <c r="E1047" s="41"/>
      <c r="F1047" s="41"/>
      <c r="G1047" s="41"/>
    </row>
    <row r="1048" spans="5:7" s="39" customFormat="1" x14ac:dyDescent="0.3">
      <c r="E1048" s="41"/>
      <c r="F1048" s="41"/>
      <c r="G1048" s="41"/>
    </row>
    <row r="1049" spans="5:7" s="39" customFormat="1" x14ac:dyDescent="0.3">
      <c r="E1049" s="41"/>
      <c r="F1049" s="41"/>
      <c r="G1049" s="41"/>
    </row>
    <row r="1050" spans="5:7" s="39" customFormat="1" x14ac:dyDescent="0.3">
      <c r="E1050" s="41"/>
      <c r="F1050" s="41"/>
      <c r="G1050" s="41"/>
    </row>
    <row r="1051" spans="5:7" s="39" customFormat="1" x14ac:dyDescent="0.3">
      <c r="E1051" s="41"/>
      <c r="F1051" s="41"/>
      <c r="G1051" s="41"/>
    </row>
    <row r="1052" spans="5:7" s="39" customFormat="1" x14ac:dyDescent="0.3">
      <c r="E1052" s="41"/>
      <c r="F1052" s="41"/>
      <c r="G1052" s="41"/>
    </row>
    <row r="1053" spans="5:7" s="39" customFormat="1" x14ac:dyDescent="0.3">
      <c r="E1053" s="41"/>
      <c r="F1053" s="41"/>
      <c r="G1053" s="41"/>
    </row>
    <row r="1054" spans="5:7" s="39" customFormat="1" x14ac:dyDescent="0.3">
      <c r="E1054" s="41"/>
      <c r="F1054" s="41"/>
      <c r="G1054" s="41"/>
    </row>
    <row r="1055" spans="5:7" s="39" customFormat="1" x14ac:dyDescent="0.3">
      <c r="E1055" s="41"/>
      <c r="F1055" s="41"/>
      <c r="G1055" s="41"/>
    </row>
    <row r="1056" spans="5:7" s="39" customFormat="1" x14ac:dyDescent="0.3">
      <c r="E1056" s="41"/>
      <c r="F1056" s="41"/>
      <c r="G1056" s="41"/>
    </row>
    <row r="1057" spans="5:7" s="39" customFormat="1" x14ac:dyDescent="0.3">
      <c r="E1057" s="41"/>
      <c r="F1057" s="41"/>
      <c r="G1057" s="41"/>
    </row>
    <row r="1058" spans="5:7" s="39" customFormat="1" x14ac:dyDescent="0.3">
      <c r="E1058" s="41"/>
      <c r="F1058" s="41"/>
      <c r="G1058" s="41"/>
    </row>
    <row r="1059" spans="5:7" s="39" customFormat="1" x14ac:dyDescent="0.3">
      <c r="E1059" s="41"/>
      <c r="F1059" s="41"/>
      <c r="G1059" s="41"/>
    </row>
    <row r="1060" spans="5:7" s="39" customFormat="1" x14ac:dyDescent="0.3">
      <c r="E1060" s="41"/>
      <c r="F1060" s="41"/>
      <c r="G1060" s="41"/>
    </row>
    <row r="1061" spans="5:7" s="39" customFormat="1" x14ac:dyDescent="0.3">
      <c r="E1061" s="41"/>
      <c r="F1061" s="41"/>
      <c r="G1061" s="41"/>
    </row>
    <row r="1062" spans="5:7" s="39" customFormat="1" x14ac:dyDescent="0.3">
      <c r="E1062" s="41"/>
      <c r="F1062" s="41"/>
      <c r="G1062" s="41"/>
    </row>
    <row r="1063" spans="5:7" s="39" customFormat="1" x14ac:dyDescent="0.3">
      <c r="E1063" s="41"/>
      <c r="F1063" s="41"/>
      <c r="G1063" s="41"/>
    </row>
    <row r="1064" spans="5:7" s="39" customFormat="1" x14ac:dyDescent="0.3">
      <c r="E1064" s="41"/>
      <c r="F1064" s="41"/>
      <c r="G1064" s="41"/>
    </row>
    <row r="1065" spans="5:7" s="39" customFormat="1" x14ac:dyDescent="0.3">
      <c r="E1065" s="41"/>
      <c r="F1065" s="41"/>
      <c r="G1065" s="41"/>
    </row>
    <row r="1066" spans="5:7" s="39" customFormat="1" x14ac:dyDescent="0.3">
      <c r="E1066" s="41"/>
      <c r="F1066" s="41"/>
      <c r="G1066" s="41"/>
    </row>
    <row r="1067" spans="5:7" s="39" customFormat="1" x14ac:dyDescent="0.3">
      <c r="E1067" s="41"/>
      <c r="F1067" s="41"/>
      <c r="G1067" s="41"/>
    </row>
    <row r="1068" spans="5:7" s="39" customFormat="1" x14ac:dyDescent="0.3">
      <c r="E1068" s="41"/>
      <c r="F1068" s="41"/>
      <c r="G1068" s="41"/>
    </row>
    <row r="1069" spans="5:7" s="39" customFormat="1" x14ac:dyDescent="0.3">
      <c r="E1069" s="41"/>
      <c r="F1069" s="41"/>
      <c r="G1069" s="41"/>
    </row>
    <row r="1070" spans="5:7" s="39" customFormat="1" x14ac:dyDescent="0.3">
      <c r="E1070" s="41"/>
      <c r="F1070" s="41"/>
      <c r="G1070" s="41"/>
    </row>
    <row r="1071" spans="5:7" s="39" customFormat="1" x14ac:dyDescent="0.3">
      <c r="E1071" s="41"/>
      <c r="F1071" s="41"/>
      <c r="G1071" s="41"/>
    </row>
    <row r="1072" spans="5:7" s="39" customFormat="1" x14ac:dyDescent="0.3">
      <c r="E1072" s="41"/>
      <c r="F1072" s="41"/>
      <c r="G1072" s="41"/>
    </row>
    <row r="1073" spans="5:7" s="39" customFormat="1" x14ac:dyDescent="0.3">
      <c r="E1073" s="41"/>
      <c r="F1073" s="41"/>
      <c r="G1073" s="41"/>
    </row>
    <row r="1074" spans="5:7" s="39" customFormat="1" x14ac:dyDescent="0.3">
      <c r="E1074" s="41"/>
      <c r="F1074" s="41"/>
      <c r="G1074" s="41"/>
    </row>
    <row r="1075" spans="5:7" s="39" customFormat="1" x14ac:dyDescent="0.3">
      <c r="E1075" s="41"/>
      <c r="F1075" s="41"/>
      <c r="G1075" s="41"/>
    </row>
    <row r="1076" spans="5:7" s="39" customFormat="1" x14ac:dyDescent="0.3">
      <c r="E1076" s="41"/>
      <c r="F1076" s="41"/>
      <c r="G1076" s="41"/>
    </row>
    <row r="1077" spans="5:7" s="39" customFormat="1" x14ac:dyDescent="0.3">
      <c r="E1077" s="41"/>
      <c r="F1077" s="41"/>
      <c r="G1077" s="41"/>
    </row>
    <row r="1078" spans="5:7" s="39" customFormat="1" x14ac:dyDescent="0.3">
      <c r="E1078" s="41"/>
      <c r="F1078" s="41"/>
      <c r="G1078" s="41"/>
    </row>
    <row r="1079" spans="5:7" s="39" customFormat="1" x14ac:dyDescent="0.3">
      <c r="E1079" s="41"/>
      <c r="F1079" s="41"/>
      <c r="G1079" s="41"/>
    </row>
    <row r="1080" spans="5:7" s="39" customFormat="1" x14ac:dyDescent="0.3">
      <c r="E1080" s="41"/>
      <c r="F1080" s="41"/>
      <c r="G1080" s="41"/>
    </row>
    <row r="1081" spans="5:7" s="39" customFormat="1" x14ac:dyDescent="0.3">
      <c r="E1081" s="41"/>
      <c r="F1081" s="41"/>
      <c r="G1081" s="41"/>
    </row>
    <row r="1082" spans="5:7" s="39" customFormat="1" x14ac:dyDescent="0.3">
      <c r="E1082" s="41"/>
      <c r="F1082" s="41"/>
      <c r="G1082" s="41"/>
    </row>
    <row r="1083" spans="5:7" s="39" customFormat="1" x14ac:dyDescent="0.3">
      <c r="E1083" s="41"/>
      <c r="F1083" s="41"/>
      <c r="G1083" s="41"/>
    </row>
    <row r="1084" spans="5:7" s="39" customFormat="1" x14ac:dyDescent="0.3">
      <c r="E1084" s="41"/>
      <c r="F1084" s="41"/>
      <c r="G1084" s="41"/>
    </row>
    <row r="1085" spans="5:7" s="39" customFormat="1" x14ac:dyDescent="0.3">
      <c r="E1085" s="41"/>
      <c r="F1085" s="41"/>
      <c r="G1085" s="41"/>
    </row>
    <row r="1086" spans="5:7" s="39" customFormat="1" x14ac:dyDescent="0.3">
      <c r="E1086" s="41"/>
      <c r="F1086" s="41"/>
      <c r="G1086" s="41"/>
    </row>
    <row r="1087" spans="5:7" s="39" customFormat="1" x14ac:dyDescent="0.3">
      <c r="E1087" s="41"/>
      <c r="F1087" s="41"/>
      <c r="G1087" s="41"/>
    </row>
    <row r="1088" spans="5:7" s="39" customFormat="1" x14ac:dyDescent="0.3">
      <c r="E1088" s="41"/>
      <c r="F1088" s="41"/>
      <c r="G1088" s="41"/>
    </row>
    <row r="1089" spans="5:7" s="39" customFormat="1" x14ac:dyDescent="0.3">
      <c r="E1089" s="41"/>
      <c r="F1089" s="41"/>
      <c r="G1089" s="41"/>
    </row>
    <row r="1090" spans="5:7" s="39" customFormat="1" x14ac:dyDescent="0.3">
      <c r="E1090" s="41"/>
      <c r="F1090" s="41"/>
      <c r="G1090" s="41"/>
    </row>
    <row r="1091" spans="5:7" s="39" customFormat="1" x14ac:dyDescent="0.3">
      <c r="E1091" s="41"/>
      <c r="F1091" s="41"/>
      <c r="G1091" s="41"/>
    </row>
    <row r="1092" spans="5:7" s="39" customFormat="1" x14ac:dyDescent="0.3">
      <c r="E1092" s="41"/>
      <c r="F1092" s="41"/>
      <c r="G1092" s="41"/>
    </row>
    <row r="1093" spans="5:7" s="39" customFormat="1" x14ac:dyDescent="0.3">
      <c r="E1093" s="41"/>
      <c r="F1093" s="41"/>
      <c r="G1093" s="41"/>
    </row>
    <row r="1094" spans="5:7" s="39" customFormat="1" x14ac:dyDescent="0.3">
      <c r="E1094" s="41"/>
      <c r="F1094" s="41"/>
      <c r="G1094" s="41"/>
    </row>
    <row r="1095" spans="5:7" s="39" customFormat="1" x14ac:dyDescent="0.3">
      <c r="E1095" s="41"/>
      <c r="F1095" s="41"/>
      <c r="G1095" s="41"/>
    </row>
    <row r="1096" spans="5:7" s="39" customFormat="1" x14ac:dyDescent="0.3">
      <c r="E1096" s="41"/>
      <c r="F1096" s="41"/>
      <c r="G1096" s="41"/>
    </row>
    <row r="1097" spans="5:7" s="39" customFormat="1" x14ac:dyDescent="0.3">
      <c r="E1097" s="41"/>
      <c r="F1097" s="41"/>
      <c r="G1097" s="41"/>
    </row>
    <row r="1098" spans="5:7" s="39" customFormat="1" x14ac:dyDescent="0.3">
      <c r="E1098" s="41"/>
      <c r="F1098" s="41"/>
      <c r="G1098" s="41"/>
    </row>
    <row r="1099" spans="5:7" s="39" customFormat="1" x14ac:dyDescent="0.3">
      <c r="E1099" s="41"/>
      <c r="F1099" s="41"/>
      <c r="G1099" s="41"/>
    </row>
    <row r="1100" spans="5:7" s="39" customFormat="1" x14ac:dyDescent="0.3">
      <c r="E1100" s="41"/>
      <c r="F1100" s="41"/>
      <c r="G1100" s="41"/>
    </row>
    <row r="1101" spans="5:7" s="39" customFormat="1" x14ac:dyDescent="0.3">
      <c r="E1101" s="41"/>
      <c r="F1101" s="41"/>
      <c r="G1101" s="41"/>
    </row>
    <row r="1102" spans="5:7" s="39" customFormat="1" x14ac:dyDescent="0.3">
      <c r="E1102" s="41"/>
      <c r="F1102" s="41"/>
      <c r="G1102" s="41"/>
    </row>
    <row r="1103" spans="5:7" s="39" customFormat="1" x14ac:dyDescent="0.3">
      <c r="E1103" s="41"/>
      <c r="F1103" s="41"/>
      <c r="G1103" s="41"/>
    </row>
    <row r="1104" spans="5:7" s="39" customFormat="1" x14ac:dyDescent="0.3">
      <c r="E1104" s="41"/>
      <c r="F1104" s="41"/>
      <c r="G1104" s="41"/>
    </row>
    <row r="1105" spans="5:7" s="39" customFormat="1" x14ac:dyDescent="0.3">
      <c r="E1105" s="41"/>
      <c r="F1105" s="41"/>
      <c r="G1105" s="41"/>
    </row>
    <row r="1106" spans="5:7" s="39" customFormat="1" x14ac:dyDescent="0.3">
      <c r="E1106" s="41"/>
      <c r="F1106" s="41"/>
      <c r="G1106" s="41"/>
    </row>
    <row r="1107" spans="5:7" s="39" customFormat="1" x14ac:dyDescent="0.3">
      <c r="E1107" s="41"/>
      <c r="F1107" s="41"/>
      <c r="G1107" s="41"/>
    </row>
    <row r="1108" spans="5:7" s="39" customFormat="1" x14ac:dyDescent="0.3">
      <c r="E1108" s="41"/>
      <c r="F1108" s="41"/>
      <c r="G1108" s="41"/>
    </row>
    <row r="1109" spans="5:7" s="39" customFormat="1" x14ac:dyDescent="0.3">
      <c r="E1109" s="41"/>
      <c r="F1109" s="41"/>
      <c r="G1109" s="41"/>
    </row>
    <row r="1110" spans="5:7" s="39" customFormat="1" x14ac:dyDescent="0.3">
      <c r="E1110" s="41"/>
      <c r="F1110" s="41"/>
      <c r="G1110" s="41"/>
    </row>
    <row r="1111" spans="5:7" s="39" customFormat="1" x14ac:dyDescent="0.3">
      <c r="E1111" s="41"/>
      <c r="F1111" s="41"/>
      <c r="G1111" s="41"/>
    </row>
    <row r="1112" spans="5:7" s="39" customFormat="1" x14ac:dyDescent="0.3">
      <c r="E1112" s="41"/>
      <c r="F1112" s="41"/>
      <c r="G1112" s="41"/>
    </row>
    <row r="1113" spans="5:7" s="39" customFormat="1" x14ac:dyDescent="0.3">
      <c r="E1113" s="41"/>
      <c r="F1113" s="41"/>
      <c r="G1113" s="41"/>
    </row>
    <row r="1114" spans="5:7" s="39" customFormat="1" x14ac:dyDescent="0.3">
      <c r="E1114" s="41"/>
      <c r="F1114" s="41"/>
      <c r="G1114" s="41"/>
    </row>
    <row r="1115" spans="5:7" s="39" customFormat="1" x14ac:dyDescent="0.3">
      <c r="E1115" s="41"/>
      <c r="F1115" s="41"/>
      <c r="G1115" s="41"/>
    </row>
    <row r="1116" spans="5:7" s="39" customFormat="1" x14ac:dyDescent="0.3">
      <c r="E1116" s="41"/>
      <c r="F1116" s="41"/>
      <c r="G1116" s="41"/>
    </row>
    <row r="1117" spans="5:7" s="39" customFormat="1" x14ac:dyDescent="0.3">
      <c r="E1117" s="41"/>
      <c r="F1117" s="41"/>
      <c r="G1117" s="41"/>
    </row>
    <row r="1118" spans="5:7" s="39" customFormat="1" x14ac:dyDescent="0.3">
      <c r="E1118" s="41"/>
      <c r="F1118" s="41"/>
      <c r="G1118" s="41"/>
    </row>
    <row r="1119" spans="5:7" s="39" customFormat="1" x14ac:dyDescent="0.3">
      <c r="E1119" s="41"/>
      <c r="F1119" s="41"/>
      <c r="G1119" s="41"/>
    </row>
    <row r="1120" spans="5:7" s="39" customFormat="1" x14ac:dyDescent="0.3">
      <c r="E1120" s="41"/>
      <c r="F1120" s="41"/>
      <c r="G1120" s="41"/>
    </row>
    <row r="1121" spans="5:7" s="39" customFormat="1" x14ac:dyDescent="0.3">
      <c r="E1121" s="41"/>
      <c r="F1121" s="41"/>
      <c r="G1121" s="41"/>
    </row>
    <row r="1122" spans="5:7" s="39" customFormat="1" x14ac:dyDescent="0.3">
      <c r="E1122" s="41"/>
      <c r="F1122" s="41"/>
      <c r="G1122" s="41"/>
    </row>
    <row r="1123" spans="5:7" s="39" customFormat="1" x14ac:dyDescent="0.3">
      <c r="E1123" s="41"/>
      <c r="F1123" s="41"/>
      <c r="G1123" s="41"/>
    </row>
    <row r="1124" spans="5:7" s="39" customFormat="1" x14ac:dyDescent="0.3">
      <c r="E1124" s="41"/>
      <c r="F1124" s="41"/>
      <c r="G1124" s="41"/>
    </row>
    <row r="1125" spans="5:7" s="39" customFormat="1" x14ac:dyDescent="0.3">
      <c r="E1125" s="41"/>
      <c r="F1125" s="41"/>
      <c r="G1125" s="41"/>
    </row>
    <row r="1126" spans="5:7" s="39" customFormat="1" x14ac:dyDescent="0.3">
      <c r="E1126" s="41"/>
      <c r="F1126" s="41"/>
      <c r="G1126" s="41"/>
    </row>
    <row r="1127" spans="5:7" s="39" customFormat="1" x14ac:dyDescent="0.3">
      <c r="E1127" s="41"/>
      <c r="F1127" s="41"/>
      <c r="G1127" s="41"/>
    </row>
    <row r="1128" spans="5:7" s="39" customFormat="1" x14ac:dyDescent="0.3">
      <c r="E1128" s="41"/>
      <c r="F1128" s="41"/>
      <c r="G1128" s="41"/>
    </row>
    <row r="1129" spans="5:7" s="39" customFormat="1" x14ac:dyDescent="0.3">
      <c r="E1129" s="41"/>
      <c r="F1129" s="41"/>
      <c r="G1129" s="41"/>
    </row>
    <row r="1130" spans="5:7" s="39" customFormat="1" x14ac:dyDescent="0.3">
      <c r="E1130" s="41"/>
      <c r="F1130" s="41"/>
      <c r="G1130" s="41"/>
    </row>
    <row r="1131" spans="5:7" s="39" customFormat="1" x14ac:dyDescent="0.3">
      <c r="E1131" s="41"/>
      <c r="F1131" s="41"/>
      <c r="G1131" s="41"/>
    </row>
    <row r="1132" spans="5:7" s="39" customFormat="1" x14ac:dyDescent="0.3">
      <c r="E1132" s="41"/>
      <c r="F1132" s="41"/>
      <c r="G1132" s="41"/>
    </row>
    <row r="1133" spans="5:7" s="39" customFormat="1" x14ac:dyDescent="0.3">
      <c r="E1133" s="41"/>
      <c r="F1133" s="41"/>
      <c r="G1133" s="41"/>
    </row>
    <row r="1134" spans="5:7" s="39" customFormat="1" x14ac:dyDescent="0.3">
      <c r="E1134" s="41"/>
      <c r="F1134" s="41"/>
      <c r="G1134" s="41"/>
    </row>
    <row r="1135" spans="5:7" s="39" customFormat="1" x14ac:dyDescent="0.3">
      <c r="E1135" s="41"/>
      <c r="F1135" s="41"/>
      <c r="G1135" s="41"/>
    </row>
    <row r="1136" spans="5:7" s="39" customFormat="1" x14ac:dyDescent="0.3">
      <c r="E1136" s="41"/>
      <c r="F1136" s="41"/>
      <c r="G1136" s="41"/>
    </row>
    <row r="1137" spans="5:7" s="39" customFormat="1" x14ac:dyDescent="0.3">
      <c r="E1137" s="41"/>
      <c r="F1137" s="41"/>
      <c r="G1137" s="41"/>
    </row>
    <row r="1138" spans="5:7" s="39" customFormat="1" x14ac:dyDescent="0.3">
      <c r="E1138" s="41"/>
      <c r="F1138" s="41"/>
      <c r="G1138" s="41"/>
    </row>
    <row r="1139" spans="5:7" s="39" customFormat="1" x14ac:dyDescent="0.3">
      <c r="E1139" s="41"/>
      <c r="F1139" s="41"/>
      <c r="G1139" s="41"/>
    </row>
    <row r="1140" spans="5:7" s="39" customFormat="1" x14ac:dyDescent="0.3">
      <c r="E1140" s="41"/>
      <c r="F1140" s="41"/>
      <c r="G1140" s="41"/>
    </row>
    <row r="1141" spans="5:7" s="39" customFormat="1" x14ac:dyDescent="0.3">
      <c r="E1141" s="41"/>
      <c r="F1141" s="41"/>
      <c r="G1141" s="41"/>
    </row>
    <row r="1142" spans="5:7" s="39" customFormat="1" x14ac:dyDescent="0.3">
      <c r="E1142" s="41"/>
      <c r="F1142" s="41"/>
      <c r="G1142" s="41"/>
    </row>
    <row r="1143" spans="5:7" s="39" customFormat="1" x14ac:dyDescent="0.3">
      <c r="E1143" s="41"/>
      <c r="F1143" s="41"/>
      <c r="G1143" s="41"/>
    </row>
    <row r="1144" spans="5:7" s="39" customFormat="1" x14ac:dyDescent="0.3">
      <c r="E1144" s="41"/>
      <c r="F1144" s="41"/>
      <c r="G1144" s="41"/>
    </row>
    <row r="1145" spans="5:7" s="39" customFormat="1" x14ac:dyDescent="0.3">
      <c r="E1145" s="41"/>
      <c r="F1145" s="41"/>
      <c r="G1145" s="41"/>
    </row>
    <row r="1146" spans="5:7" s="39" customFormat="1" x14ac:dyDescent="0.3">
      <c r="E1146" s="41"/>
      <c r="F1146" s="41"/>
      <c r="G1146" s="41"/>
    </row>
    <row r="1147" spans="5:7" s="39" customFormat="1" x14ac:dyDescent="0.3">
      <c r="E1147" s="41"/>
      <c r="F1147" s="41"/>
      <c r="G1147" s="41"/>
    </row>
    <row r="1148" spans="5:7" s="39" customFormat="1" x14ac:dyDescent="0.3">
      <c r="E1148" s="41"/>
      <c r="F1148" s="41"/>
      <c r="G1148" s="41"/>
    </row>
    <row r="1149" spans="5:7" s="39" customFormat="1" x14ac:dyDescent="0.3">
      <c r="E1149" s="41"/>
      <c r="F1149" s="41"/>
      <c r="G1149" s="41"/>
    </row>
    <row r="1150" spans="5:7" s="39" customFormat="1" x14ac:dyDescent="0.3">
      <c r="E1150" s="41"/>
      <c r="F1150" s="41"/>
      <c r="G1150" s="41"/>
    </row>
    <row r="1151" spans="5:7" s="39" customFormat="1" x14ac:dyDescent="0.3">
      <c r="E1151" s="41"/>
      <c r="F1151" s="41"/>
      <c r="G1151" s="41"/>
    </row>
    <row r="1152" spans="5:7" s="39" customFormat="1" x14ac:dyDescent="0.3">
      <c r="E1152" s="41"/>
      <c r="F1152" s="41"/>
      <c r="G1152" s="41"/>
    </row>
    <row r="1153" spans="5:7" s="39" customFormat="1" x14ac:dyDescent="0.3">
      <c r="E1153" s="41"/>
      <c r="F1153" s="41"/>
      <c r="G1153" s="41"/>
    </row>
    <row r="1154" spans="5:7" s="39" customFormat="1" x14ac:dyDescent="0.3">
      <c r="E1154" s="41"/>
      <c r="F1154" s="41"/>
      <c r="G1154" s="41"/>
    </row>
    <row r="1155" spans="5:7" s="39" customFormat="1" x14ac:dyDescent="0.3">
      <c r="E1155" s="41"/>
      <c r="F1155" s="41"/>
      <c r="G1155" s="41"/>
    </row>
    <row r="1156" spans="5:7" s="39" customFormat="1" x14ac:dyDescent="0.3">
      <c r="E1156" s="41"/>
      <c r="F1156" s="41"/>
      <c r="G1156" s="41"/>
    </row>
    <row r="1157" spans="5:7" s="39" customFormat="1" x14ac:dyDescent="0.3">
      <c r="E1157" s="41"/>
      <c r="F1157" s="41"/>
      <c r="G1157" s="41"/>
    </row>
    <row r="1158" spans="5:7" s="39" customFormat="1" x14ac:dyDescent="0.3">
      <c r="E1158" s="41"/>
      <c r="F1158" s="41"/>
      <c r="G1158" s="41"/>
    </row>
    <row r="1159" spans="5:7" s="39" customFormat="1" x14ac:dyDescent="0.3">
      <c r="E1159" s="41"/>
      <c r="F1159" s="41"/>
      <c r="G1159" s="41"/>
    </row>
    <row r="1160" spans="5:7" s="39" customFormat="1" x14ac:dyDescent="0.3">
      <c r="E1160" s="41"/>
      <c r="F1160" s="41"/>
      <c r="G1160" s="41"/>
    </row>
    <row r="1161" spans="5:7" s="39" customFormat="1" x14ac:dyDescent="0.3">
      <c r="E1161" s="41"/>
      <c r="F1161" s="41"/>
      <c r="G1161" s="41"/>
    </row>
    <row r="1162" spans="5:7" s="39" customFormat="1" x14ac:dyDescent="0.3">
      <c r="E1162" s="41"/>
      <c r="F1162" s="41"/>
      <c r="G1162" s="41"/>
    </row>
    <row r="1163" spans="5:7" s="39" customFormat="1" x14ac:dyDescent="0.3">
      <c r="E1163" s="41"/>
      <c r="F1163" s="41"/>
      <c r="G1163" s="41"/>
    </row>
    <row r="1164" spans="5:7" s="39" customFormat="1" x14ac:dyDescent="0.3">
      <c r="E1164" s="41"/>
      <c r="F1164" s="41"/>
      <c r="G1164" s="41"/>
    </row>
    <row r="1165" spans="5:7" s="39" customFormat="1" x14ac:dyDescent="0.3">
      <c r="E1165" s="41"/>
      <c r="F1165" s="41"/>
      <c r="G1165" s="41"/>
    </row>
    <row r="1166" spans="5:7" s="39" customFormat="1" x14ac:dyDescent="0.3">
      <c r="E1166" s="41"/>
      <c r="F1166" s="41"/>
      <c r="G1166" s="41"/>
    </row>
    <row r="1167" spans="5:7" s="39" customFormat="1" x14ac:dyDescent="0.3">
      <c r="E1167" s="41"/>
      <c r="F1167" s="41"/>
      <c r="G1167" s="41"/>
    </row>
    <row r="1168" spans="5:7" s="39" customFormat="1" x14ac:dyDescent="0.3">
      <c r="E1168" s="41"/>
      <c r="F1168" s="41"/>
      <c r="G1168" s="41"/>
    </row>
    <row r="1169" spans="5:7" s="39" customFormat="1" x14ac:dyDescent="0.3">
      <c r="E1169" s="41"/>
      <c r="F1169" s="41"/>
      <c r="G1169" s="41"/>
    </row>
    <row r="1170" spans="5:7" s="39" customFormat="1" x14ac:dyDescent="0.3">
      <c r="E1170" s="41"/>
      <c r="F1170" s="41"/>
      <c r="G1170" s="41"/>
    </row>
    <row r="1171" spans="5:7" s="39" customFormat="1" x14ac:dyDescent="0.3">
      <c r="E1171" s="41"/>
      <c r="F1171" s="41"/>
      <c r="G1171" s="41"/>
    </row>
    <row r="1172" spans="5:7" s="39" customFormat="1" x14ac:dyDescent="0.3">
      <c r="E1172" s="41"/>
      <c r="F1172" s="41"/>
      <c r="G1172" s="41"/>
    </row>
    <row r="1173" spans="5:7" s="39" customFormat="1" x14ac:dyDescent="0.3">
      <c r="E1173" s="41"/>
      <c r="F1173" s="41"/>
      <c r="G1173" s="41"/>
    </row>
    <row r="1174" spans="5:7" s="39" customFormat="1" x14ac:dyDescent="0.3">
      <c r="E1174" s="41"/>
      <c r="F1174" s="41"/>
      <c r="G1174" s="41"/>
    </row>
    <row r="1175" spans="5:7" s="39" customFormat="1" x14ac:dyDescent="0.3">
      <c r="E1175" s="41"/>
      <c r="F1175" s="41"/>
      <c r="G1175" s="41"/>
    </row>
    <row r="1176" spans="5:7" s="39" customFormat="1" x14ac:dyDescent="0.3">
      <c r="E1176" s="41"/>
      <c r="F1176" s="41"/>
      <c r="G1176" s="41"/>
    </row>
    <row r="1177" spans="5:7" s="39" customFormat="1" x14ac:dyDescent="0.3">
      <c r="E1177" s="41"/>
      <c r="F1177" s="41"/>
      <c r="G1177" s="41"/>
    </row>
    <row r="1178" spans="5:7" s="39" customFormat="1" x14ac:dyDescent="0.3">
      <c r="E1178" s="41"/>
      <c r="F1178" s="41"/>
      <c r="G1178" s="41"/>
    </row>
    <row r="1179" spans="5:7" s="39" customFormat="1" x14ac:dyDescent="0.3">
      <c r="E1179" s="41"/>
      <c r="F1179" s="41"/>
      <c r="G1179" s="41"/>
    </row>
    <row r="1180" spans="5:7" s="39" customFormat="1" x14ac:dyDescent="0.3">
      <c r="E1180" s="41"/>
      <c r="F1180" s="41"/>
      <c r="G1180" s="41"/>
    </row>
    <row r="1181" spans="5:7" s="39" customFormat="1" x14ac:dyDescent="0.3">
      <c r="E1181" s="41"/>
      <c r="F1181" s="41"/>
      <c r="G1181" s="41"/>
    </row>
    <row r="1182" spans="5:7" s="39" customFormat="1" x14ac:dyDescent="0.3">
      <c r="E1182" s="41"/>
      <c r="F1182" s="41"/>
      <c r="G1182" s="41"/>
    </row>
    <row r="1183" spans="5:7" s="39" customFormat="1" x14ac:dyDescent="0.3">
      <c r="E1183" s="41"/>
      <c r="F1183" s="41"/>
      <c r="G1183" s="41"/>
    </row>
    <row r="1184" spans="5:7" s="39" customFormat="1" x14ac:dyDescent="0.3">
      <c r="E1184" s="41"/>
      <c r="F1184" s="41"/>
      <c r="G1184" s="41"/>
    </row>
    <row r="1185" spans="5:7" s="39" customFormat="1" x14ac:dyDescent="0.3">
      <c r="E1185" s="41"/>
      <c r="F1185" s="41"/>
      <c r="G1185" s="41"/>
    </row>
    <row r="1186" spans="5:7" s="39" customFormat="1" x14ac:dyDescent="0.3">
      <c r="E1186" s="41"/>
      <c r="F1186" s="41"/>
      <c r="G1186" s="41"/>
    </row>
    <row r="1187" spans="5:7" s="39" customFormat="1" x14ac:dyDescent="0.3">
      <c r="E1187" s="41"/>
      <c r="F1187" s="41"/>
      <c r="G1187" s="41"/>
    </row>
    <row r="1188" spans="5:7" s="39" customFormat="1" x14ac:dyDescent="0.3">
      <c r="E1188" s="41"/>
      <c r="F1188" s="41"/>
      <c r="G1188" s="41"/>
    </row>
    <row r="1189" spans="5:7" s="39" customFormat="1" x14ac:dyDescent="0.3">
      <c r="E1189" s="41"/>
      <c r="F1189" s="41"/>
      <c r="G1189" s="41"/>
    </row>
    <row r="1190" spans="5:7" s="39" customFormat="1" x14ac:dyDescent="0.3">
      <c r="E1190" s="41"/>
      <c r="F1190" s="41"/>
      <c r="G1190" s="41"/>
    </row>
    <row r="1191" spans="5:7" s="39" customFormat="1" x14ac:dyDescent="0.3">
      <c r="E1191" s="41"/>
      <c r="F1191" s="41"/>
      <c r="G1191" s="41"/>
    </row>
    <row r="1192" spans="5:7" s="39" customFormat="1" x14ac:dyDescent="0.3">
      <c r="E1192" s="41"/>
      <c r="F1192" s="41"/>
      <c r="G1192" s="41"/>
    </row>
    <row r="1193" spans="5:7" s="39" customFormat="1" x14ac:dyDescent="0.3">
      <c r="E1193" s="41"/>
      <c r="F1193" s="41"/>
      <c r="G1193" s="41"/>
    </row>
    <row r="1194" spans="5:7" s="39" customFormat="1" x14ac:dyDescent="0.3">
      <c r="E1194" s="41"/>
      <c r="F1194" s="41"/>
      <c r="G1194" s="41"/>
    </row>
    <row r="1195" spans="5:7" s="39" customFormat="1" x14ac:dyDescent="0.3">
      <c r="E1195" s="41"/>
      <c r="F1195" s="41"/>
      <c r="G1195" s="41"/>
    </row>
    <row r="1196" spans="5:7" s="39" customFormat="1" x14ac:dyDescent="0.3">
      <c r="E1196" s="41"/>
      <c r="F1196" s="41"/>
      <c r="G1196" s="41"/>
    </row>
    <row r="1197" spans="5:7" s="39" customFormat="1" x14ac:dyDescent="0.3">
      <c r="E1197" s="41"/>
      <c r="F1197" s="41"/>
      <c r="G1197" s="41"/>
    </row>
    <row r="1198" spans="5:7" s="39" customFormat="1" x14ac:dyDescent="0.3">
      <c r="E1198" s="41"/>
      <c r="F1198" s="41"/>
      <c r="G1198" s="41"/>
    </row>
    <row r="1199" spans="5:7" s="39" customFormat="1" x14ac:dyDescent="0.3">
      <c r="E1199" s="41"/>
      <c r="F1199" s="41"/>
      <c r="G1199" s="41"/>
    </row>
    <row r="1200" spans="5:7" s="39" customFormat="1" x14ac:dyDescent="0.3">
      <c r="E1200" s="41"/>
      <c r="F1200" s="41"/>
      <c r="G1200" s="41"/>
    </row>
    <row r="1201" spans="5:7" s="39" customFormat="1" x14ac:dyDescent="0.3">
      <c r="E1201" s="41"/>
      <c r="F1201" s="41"/>
      <c r="G1201" s="41"/>
    </row>
    <row r="1202" spans="5:7" s="39" customFormat="1" x14ac:dyDescent="0.3">
      <c r="E1202" s="41"/>
      <c r="F1202" s="41"/>
      <c r="G1202" s="41"/>
    </row>
    <row r="1203" spans="5:7" s="39" customFormat="1" x14ac:dyDescent="0.3">
      <c r="E1203" s="41"/>
      <c r="F1203" s="41"/>
      <c r="G1203" s="41"/>
    </row>
    <row r="1204" spans="5:7" s="39" customFormat="1" x14ac:dyDescent="0.3">
      <c r="E1204" s="41"/>
      <c r="F1204" s="41"/>
      <c r="G1204" s="41"/>
    </row>
    <row r="1205" spans="5:7" s="39" customFormat="1" x14ac:dyDescent="0.3">
      <c r="E1205" s="41"/>
      <c r="F1205" s="41"/>
      <c r="G1205" s="41"/>
    </row>
    <row r="1206" spans="5:7" s="39" customFormat="1" x14ac:dyDescent="0.3">
      <c r="E1206" s="41"/>
      <c r="F1206" s="41"/>
      <c r="G1206" s="41"/>
    </row>
    <row r="1207" spans="5:7" s="39" customFormat="1" x14ac:dyDescent="0.3">
      <c r="E1207" s="41"/>
      <c r="F1207" s="41"/>
      <c r="G1207" s="41"/>
    </row>
    <row r="1208" spans="5:7" s="39" customFormat="1" x14ac:dyDescent="0.3">
      <c r="E1208" s="41"/>
      <c r="F1208" s="41"/>
      <c r="G1208" s="41"/>
    </row>
    <row r="1209" spans="5:7" s="39" customFormat="1" x14ac:dyDescent="0.3">
      <c r="E1209" s="41"/>
      <c r="F1209" s="41"/>
      <c r="G1209" s="41"/>
    </row>
    <row r="1210" spans="5:7" s="39" customFormat="1" x14ac:dyDescent="0.3">
      <c r="E1210" s="41"/>
      <c r="F1210" s="41"/>
      <c r="G1210" s="41"/>
    </row>
    <row r="1211" spans="5:7" s="39" customFormat="1" x14ac:dyDescent="0.3">
      <c r="E1211" s="41"/>
      <c r="F1211" s="41"/>
      <c r="G1211" s="41"/>
    </row>
    <row r="1212" spans="5:7" s="39" customFormat="1" x14ac:dyDescent="0.3">
      <c r="E1212" s="41"/>
      <c r="F1212" s="41"/>
      <c r="G1212" s="41"/>
    </row>
    <row r="1213" spans="5:7" s="39" customFormat="1" x14ac:dyDescent="0.3">
      <c r="E1213" s="41"/>
      <c r="F1213" s="41"/>
      <c r="G1213" s="41"/>
    </row>
    <row r="1214" spans="5:7" s="39" customFormat="1" x14ac:dyDescent="0.3">
      <c r="E1214" s="41"/>
      <c r="F1214" s="41"/>
      <c r="G1214" s="41"/>
    </row>
    <row r="1215" spans="5:7" s="39" customFormat="1" x14ac:dyDescent="0.3">
      <c r="E1215" s="41"/>
      <c r="F1215" s="41"/>
      <c r="G1215" s="41"/>
    </row>
    <row r="1216" spans="5:7" s="39" customFormat="1" x14ac:dyDescent="0.3">
      <c r="E1216" s="41"/>
      <c r="F1216" s="41"/>
      <c r="G1216" s="41"/>
    </row>
    <row r="1217" spans="5:7" s="39" customFormat="1" x14ac:dyDescent="0.3">
      <c r="E1217" s="41"/>
      <c r="F1217" s="41"/>
      <c r="G1217" s="41"/>
    </row>
    <row r="1218" spans="5:7" s="39" customFormat="1" x14ac:dyDescent="0.3">
      <c r="E1218" s="41"/>
      <c r="F1218" s="41"/>
      <c r="G1218" s="41"/>
    </row>
    <row r="1219" spans="5:7" s="39" customFormat="1" x14ac:dyDescent="0.3">
      <c r="E1219" s="41"/>
      <c r="F1219" s="41"/>
      <c r="G1219" s="41"/>
    </row>
    <row r="1220" spans="5:7" s="39" customFormat="1" x14ac:dyDescent="0.3">
      <c r="E1220" s="41"/>
      <c r="F1220" s="41"/>
      <c r="G1220" s="41"/>
    </row>
    <row r="1221" spans="5:7" s="39" customFormat="1" x14ac:dyDescent="0.3">
      <c r="E1221" s="41"/>
      <c r="F1221" s="41"/>
      <c r="G1221" s="41"/>
    </row>
    <row r="1222" spans="5:7" s="39" customFormat="1" x14ac:dyDescent="0.3">
      <c r="E1222" s="41"/>
      <c r="F1222" s="41"/>
      <c r="G1222" s="41"/>
    </row>
    <row r="1223" spans="5:7" s="39" customFormat="1" x14ac:dyDescent="0.3">
      <c r="E1223" s="41"/>
      <c r="F1223" s="41"/>
      <c r="G1223" s="41"/>
    </row>
    <row r="1224" spans="5:7" s="39" customFormat="1" x14ac:dyDescent="0.3">
      <c r="E1224" s="41"/>
      <c r="F1224" s="41"/>
      <c r="G1224" s="41"/>
    </row>
    <row r="1225" spans="5:7" s="39" customFormat="1" x14ac:dyDescent="0.3">
      <c r="E1225" s="41"/>
      <c r="F1225" s="41"/>
      <c r="G1225" s="41"/>
    </row>
    <row r="1226" spans="5:7" s="39" customFormat="1" x14ac:dyDescent="0.3">
      <c r="E1226" s="41"/>
      <c r="F1226" s="41"/>
      <c r="G1226" s="41"/>
    </row>
    <row r="1227" spans="5:7" s="39" customFormat="1" x14ac:dyDescent="0.3">
      <c r="E1227" s="41"/>
      <c r="F1227" s="41"/>
      <c r="G1227" s="41"/>
    </row>
    <row r="1228" spans="5:7" s="39" customFormat="1" x14ac:dyDescent="0.3">
      <c r="E1228" s="41"/>
      <c r="F1228" s="41"/>
      <c r="G1228" s="41"/>
    </row>
    <row r="1229" spans="5:7" s="39" customFormat="1" x14ac:dyDescent="0.3">
      <c r="E1229" s="41"/>
      <c r="F1229" s="41"/>
      <c r="G1229" s="41"/>
    </row>
    <row r="1230" spans="5:7" s="39" customFormat="1" x14ac:dyDescent="0.3">
      <c r="E1230" s="41"/>
      <c r="F1230" s="41"/>
      <c r="G1230" s="41"/>
    </row>
    <row r="1231" spans="5:7" s="39" customFormat="1" x14ac:dyDescent="0.3">
      <c r="E1231" s="41"/>
      <c r="F1231" s="41"/>
      <c r="G1231" s="41"/>
    </row>
    <row r="1232" spans="5:7" s="39" customFormat="1" x14ac:dyDescent="0.3">
      <c r="E1232" s="41"/>
      <c r="F1232" s="41"/>
      <c r="G1232" s="41"/>
    </row>
    <row r="1233" spans="5:7" s="39" customFormat="1" x14ac:dyDescent="0.3">
      <c r="E1233" s="41"/>
      <c r="F1233" s="41"/>
      <c r="G1233" s="41"/>
    </row>
    <row r="1234" spans="5:7" s="39" customFormat="1" x14ac:dyDescent="0.3">
      <c r="E1234" s="41"/>
      <c r="F1234" s="41"/>
      <c r="G1234" s="41"/>
    </row>
    <row r="1235" spans="5:7" s="39" customFormat="1" x14ac:dyDescent="0.3">
      <c r="E1235" s="41"/>
      <c r="F1235" s="41"/>
      <c r="G1235" s="41"/>
    </row>
    <row r="1236" spans="5:7" s="39" customFormat="1" x14ac:dyDescent="0.3">
      <c r="E1236" s="41"/>
      <c r="F1236" s="41"/>
      <c r="G1236" s="41"/>
    </row>
    <row r="1237" spans="5:7" s="39" customFormat="1" x14ac:dyDescent="0.3">
      <c r="E1237" s="41"/>
      <c r="F1237" s="41"/>
      <c r="G1237" s="41"/>
    </row>
    <row r="1238" spans="5:7" s="39" customFormat="1" x14ac:dyDescent="0.3">
      <c r="E1238" s="41"/>
      <c r="F1238" s="41"/>
      <c r="G1238" s="41"/>
    </row>
    <row r="1239" spans="5:7" s="39" customFormat="1" x14ac:dyDescent="0.3">
      <c r="E1239" s="41"/>
      <c r="F1239" s="41"/>
      <c r="G1239" s="41"/>
    </row>
    <row r="1240" spans="5:7" s="39" customFormat="1" x14ac:dyDescent="0.3">
      <c r="E1240" s="41"/>
      <c r="F1240" s="41"/>
      <c r="G1240" s="41"/>
    </row>
    <row r="1241" spans="5:7" s="39" customFormat="1" x14ac:dyDescent="0.3">
      <c r="E1241" s="41"/>
      <c r="F1241" s="41"/>
      <c r="G1241" s="41"/>
    </row>
    <row r="1242" spans="5:7" s="39" customFormat="1" x14ac:dyDescent="0.3">
      <c r="E1242" s="41"/>
      <c r="F1242" s="41"/>
      <c r="G1242" s="41"/>
    </row>
    <row r="1243" spans="5:7" s="39" customFormat="1" x14ac:dyDescent="0.3">
      <c r="E1243" s="41"/>
      <c r="F1243" s="41"/>
      <c r="G1243" s="41"/>
    </row>
    <row r="1244" spans="5:7" s="39" customFormat="1" x14ac:dyDescent="0.3">
      <c r="E1244" s="41"/>
      <c r="F1244" s="41"/>
      <c r="G1244" s="41"/>
    </row>
    <row r="1245" spans="5:7" s="39" customFormat="1" x14ac:dyDescent="0.3">
      <c r="E1245" s="41"/>
      <c r="F1245" s="41"/>
      <c r="G1245" s="41"/>
    </row>
    <row r="1246" spans="5:7" s="39" customFormat="1" x14ac:dyDescent="0.3">
      <c r="E1246" s="41"/>
      <c r="F1246" s="41"/>
      <c r="G1246" s="41"/>
    </row>
    <row r="1247" spans="5:7" s="39" customFormat="1" x14ac:dyDescent="0.3">
      <c r="E1247" s="41"/>
      <c r="F1247" s="41"/>
      <c r="G1247" s="41"/>
    </row>
    <row r="1248" spans="5:7" s="39" customFormat="1" x14ac:dyDescent="0.3">
      <c r="E1248" s="41"/>
      <c r="F1248" s="41"/>
      <c r="G1248" s="41"/>
    </row>
    <row r="1249" spans="5:7" s="39" customFormat="1" x14ac:dyDescent="0.3">
      <c r="E1249" s="41"/>
      <c r="F1249" s="41"/>
      <c r="G1249" s="41"/>
    </row>
    <row r="1250" spans="5:7" s="39" customFormat="1" x14ac:dyDescent="0.3">
      <c r="E1250" s="41"/>
      <c r="F1250" s="41"/>
      <c r="G1250" s="41"/>
    </row>
    <row r="1251" spans="5:7" s="39" customFormat="1" x14ac:dyDescent="0.3">
      <c r="E1251" s="41"/>
      <c r="F1251" s="41"/>
      <c r="G1251" s="41"/>
    </row>
    <row r="1252" spans="5:7" s="39" customFormat="1" x14ac:dyDescent="0.3">
      <c r="E1252" s="41"/>
      <c r="F1252" s="41"/>
      <c r="G1252" s="41"/>
    </row>
    <row r="1253" spans="5:7" s="39" customFormat="1" x14ac:dyDescent="0.3">
      <c r="E1253" s="41"/>
      <c r="F1253" s="41"/>
      <c r="G1253" s="41"/>
    </row>
    <row r="1254" spans="5:7" s="39" customFormat="1" x14ac:dyDescent="0.3">
      <c r="E1254" s="41"/>
      <c r="F1254" s="41"/>
      <c r="G1254" s="41"/>
    </row>
    <row r="1255" spans="5:7" s="39" customFormat="1" x14ac:dyDescent="0.3">
      <c r="E1255" s="41"/>
      <c r="F1255" s="41"/>
      <c r="G1255" s="41"/>
    </row>
    <row r="1256" spans="5:7" s="39" customFormat="1" x14ac:dyDescent="0.3">
      <c r="E1256" s="41"/>
      <c r="F1256" s="41"/>
      <c r="G1256" s="41"/>
    </row>
    <row r="1257" spans="5:7" s="39" customFormat="1" x14ac:dyDescent="0.3">
      <c r="E1257" s="41"/>
      <c r="F1257" s="41"/>
      <c r="G1257" s="41"/>
    </row>
    <row r="1258" spans="5:7" s="39" customFormat="1" x14ac:dyDescent="0.3">
      <c r="E1258" s="41"/>
      <c r="F1258" s="41"/>
      <c r="G1258" s="41"/>
    </row>
    <row r="1259" spans="5:7" s="39" customFormat="1" x14ac:dyDescent="0.3">
      <c r="E1259" s="41"/>
      <c r="F1259" s="41"/>
      <c r="G1259" s="41"/>
    </row>
    <row r="1260" spans="5:7" s="39" customFormat="1" x14ac:dyDescent="0.3">
      <c r="E1260" s="41"/>
      <c r="F1260" s="41"/>
      <c r="G1260" s="41"/>
    </row>
    <row r="1261" spans="5:7" s="39" customFormat="1" x14ac:dyDescent="0.3">
      <c r="E1261" s="41"/>
      <c r="F1261" s="41"/>
      <c r="G1261" s="41"/>
    </row>
    <row r="1262" spans="5:7" s="39" customFormat="1" x14ac:dyDescent="0.3">
      <c r="E1262" s="41"/>
      <c r="F1262" s="41"/>
      <c r="G1262" s="41"/>
    </row>
    <row r="1263" spans="5:7" s="39" customFormat="1" x14ac:dyDescent="0.3">
      <c r="E1263" s="41"/>
      <c r="F1263" s="41"/>
      <c r="G1263" s="41"/>
    </row>
    <row r="1264" spans="5:7" s="39" customFormat="1" x14ac:dyDescent="0.3">
      <c r="E1264" s="41"/>
      <c r="F1264" s="41"/>
      <c r="G1264" s="41"/>
    </row>
    <row r="1265" spans="5:7" s="39" customFormat="1" x14ac:dyDescent="0.3">
      <c r="E1265" s="41"/>
      <c r="F1265" s="41"/>
      <c r="G1265" s="41"/>
    </row>
    <row r="1266" spans="5:7" s="39" customFormat="1" x14ac:dyDescent="0.3">
      <c r="E1266" s="41"/>
      <c r="F1266" s="41"/>
      <c r="G1266" s="41"/>
    </row>
    <row r="1267" spans="5:7" s="39" customFormat="1" x14ac:dyDescent="0.3">
      <c r="E1267" s="41"/>
      <c r="F1267" s="41"/>
      <c r="G1267" s="41"/>
    </row>
    <row r="1268" spans="5:7" s="39" customFormat="1" x14ac:dyDescent="0.3">
      <c r="E1268" s="41"/>
      <c r="F1268" s="41"/>
      <c r="G1268" s="41"/>
    </row>
    <row r="1269" spans="5:7" s="39" customFormat="1" x14ac:dyDescent="0.3">
      <c r="E1269" s="41"/>
      <c r="F1269" s="41"/>
      <c r="G1269" s="41"/>
    </row>
    <row r="1270" spans="5:7" s="39" customFormat="1" x14ac:dyDescent="0.3">
      <c r="E1270" s="41"/>
      <c r="F1270" s="41"/>
      <c r="G1270" s="41"/>
    </row>
    <row r="1271" spans="5:7" s="39" customFormat="1" x14ac:dyDescent="0.3">
      <c r="E1271" s="41"/>
      <c r="F1271" s="41"/>
      <c r="G1271" s="41"/>
    </row>
    <row r="1272" spans="5:7" s="39" customFormat="1" x14ac:dyDescent="0.3">
      <c r="E1272" s="41"/>
      <c r="F1272" s="41"/>
      <c r="G1272" s="41"/>
    </row>
    <row r="1273" spans="5:7" s="39" customFormat="1" x14ac:dyDescent="0.3">
      <c r="E1273" s="41"/>
      <c r="F1273" s="41"/>
      <c r="G1273" s="41"/>
    </row>
    <row r="1274" spans="5:7" s="39" customFormat="1" x14ac:dyDescent="0.3">
      <c r="E1274" s="41"/>
      <c r="F1274" s="41"/>
      <c r="G1274" s="41"/>
    </row>
    <row r="1275" spans="5:7" s="39" customFormat="1" x14ac:dyDescent="0.3">
      <c r="E1275" s="41"/>
      <c r="F1275" s="41"/>
      <c r="G1275" s="41"/>
    </row>
    <row r="1276" spans="5:7" s="39" customFormat="1" x14ac:dyDescent="0.3">
      <c r="E1276" s="41"/>
      <c r="F1276" s="41"/>
      <c r="G1276" s="41"/>
    </row>
    <row r="1277" spans="5:7" s="39" customFormat="1" x14ac:dyDescent="0.3">
      <c r="E1277" s="41"/>
      <c r="F1277" s="41"/>
      <c r="G1277" s="41"/>
    </row>
    <row r="1278" spans="5:7" s="39" customFormat="1" x14ac:dyDescent="0.3">
      <c r="E1278" s="41"/>
      <c r="F1278" s="41"/>
      <c r="G1278" s="41"/>
    </row>
    <row r="1279" spans="5:7" s="39" customFormat="1" x14ac:dyDescent="0.3">
      <c r="E1279" s="41"/>
      <c r="F1279" s="41"/>
      <c r="G1279" s="41"/>
    </row>
    <row r="1280" spans="5:7" s="39" customFormat="1" x14ac:dyDescent="0.3">
      <c r="E1280" s="41"/>
      <c r="F1280" s="41"/>
      <c r="G1280" s="41"/>
    </row>
    <row r="1281" spans="5:7" s="39" customFormat="1" x14ac:dyDescent="0.3">
      <c r="E1281" s="41"/>
      <c r="F1281" s="41"/>
      <c r="G1281" s="41"/>
    </row>
    <row r="1282" spans="5:7" s="39" customFormat="1" x14ac:dyDescent="0.3">
      <c r="E1282" s="41"/>
      <c r="F1282" s="41"/>
      <c r="G1282" s="41"/>
    </row>
    <row r="1283" spans="5:7" s="39" customFormat="1" x14ac:dyDescent="0.3">
      <c r="E1283" s="41"/>
      <c r="F1283" s="41"/>
      <c r="G1283" s="41"/>
    </row>
    <row r="1284" spans="5:7" s="39" customFormat="1" x14ac:dyDescent="0.3">
      <c r="E1284" s="41"/>
      <c r="F1284" s="41"/>
      <c r="G1284" s="41"/>
    </row>
    <row r="1285" spans="5:7" s="39" customFormat="1" x14ac:dyDescent="0.3">
      <c r="E1285" s="41"/>
      <c r="F1285" s="41"/>
      <c r="G1285" s="41"/>
    </row>
    <row r="1286" spans="5:7" s="39" customFormat="1" x14ac:dyDescent="0.3">
      <c r="E1286" s="41"/>
      <c r="F1286" s="41"/>
      <c r="G1286" s="41"/>
    </row>
    <row r="1287" spans="5:7" s="39" customFormat="1" x14ac:dyDescent="0.3">
      <c r="E1287" s="41"/>
      <c r="F1287" s="41"/>
      <c r="G1287" s="41"/>
    </row>
    <row r="1288" spans="5:7" s="39" customFormat="1" x14ac:dyDescent="0.3">
      <c r="E1288" s="41"/>
      <c r="F1288" s="41"/>
      <c r="G1288" s="41"/>
    </row>
    <row r="1289" spans="5:7" s="39" customFormat="1" x14ac:dyDescent="0.3">
      <c r="E1289" s="41"/>
      <c r="F1289" s="41"/>
      <c r="G1289" s="41"/>
    </row>
    <row r="1290" spans="5:7" s="39" customFormat="1" x14ac:dyDescent="0.3">
      <c r="E1290" s="41"/>
      <c r="F1290" s="41"/>
      <c r="G1290" s="41"/>
    </row>
    <row r="1291" spans="5:7" s="39" customFormat="1" x14ac:dyDescent="0.3">
      <c r="E1291" s="41"/>
      <c r="F1291" s="41"/>
      <c r="G1291" s="41"/>
    </row>
    <row r="1292" spans="5:7" s="39" customFormat="1" x14ac:dyDescent="0.3">
      <c r="E1292" s="41"/>
      <c r="F1292" s="41"/>
      <c r="G1292" s="41"/>
    </row>
    <row r="1293" spans="5:7" s="39" customFormat="1" x14ac:dyDescent="0.3">
      <c r="E1293" s="41"/>
      <c r="F1293" s="41"/>
      <c r="G1293" s="41"/>
    </row>
    <row r="1294" spans="5:7" s="39" customFormat="1" x14ac:dyDescent="0.3">
      <c r="E1294" s="41"/>
      <c r="F1294" s="41"/>
      <c r="G1294" s="41"/>
    </row>
    <row r="1295" spans="5:7" s="39" customFormat="1" x14ac:dyDescent="0.3">
      <c r="E1295" s="41"/>
      <c r="F1295" s="41"/>
      <c r="G1295" s="41"/>
    </row>
    <row r="1296" spans="5:7" s="39" customFormat="1" x14ac:dyDescent="0.3">
      <c r="E1296" s="41"/>
      <c r="F1296" s="41"/>
      <c r="G1296" s="41"/>
    </row>
    <row r="1297" spans="5:7" s="39" customFormat="1" x14ac:dyDescent="0.3">
      <c r="E1297" s="41"/>
      <c r="F1297" s="41"/>
      <c r="G1297" s="41"/>
    </row>
    <row r="1298" spans="5:7" s="39" customFormat="1" x14ac:dyDescent="0.3">
      <c r="E1298" s="41"/>
      <c r="F1298" s="41"/>
      <c r="G1298" s="41"/>
    </row>
    <row r="1299" spans="5:7" s="39" customFormat="1" x14ac:dyDescent="0.3">
      <c r="E1299" s="41"/>
      <c r="F1299" s="41"/>
      <c r="G1299" s="41"/>
    </row>
    <row r="1300" spans="5:7" s="39" customFormat="1" x14ac:dyDescent="0.3">
      <c r="E1300" s="41"/>
      <c r="F1300" s="41"/>
      <c r="G1300" s="41"/>
    </row>
    <row r="1301" spans="5:7" s="39" customFormat="1" x14ac:dyDescent="0.3">
      <c r="E1301" s="41"/>
      <c r="F1301" s="41"/>
      <c r="G1301" s="41"/>
    </row>
    <row r="1302" spans="5:7" s="39" customFormat="1" x14ac:dyDescent="0.3">
      <c r="E1302" s="41"/>
      <c r="F1302" s="41"/>
      <c r="G1302" s="41"/>
    </row>
    <row r="1303" spans="5:7" s="39" customFormat="1" x14ac:dyDescent="0.3">
      <c r="E1303" s="41"/>
      <c r="F1303" s="41"/>
      <c r="G1303" s="41"/>
    </row>
    <row r="1304" spans="5:7" s="39" customFormat="1" x14ac:dyDescent="0.3">
      <c r="E1304" s="41"/>
      <c r="F1304" s="41"/>
      <c r="G1304" s="41"/>
    </row>
    <row r="1305" spans="5:7" s="39" customFormat="1" x14ac:dyDescent="0.3">
      <c r="E1305" s="41"/>
      <c r="F1305" s="41"/>
      <c r="G1305" s="41"/>
    </row>
    <row r="1306" spans="5:7" s="39" customFormat="1" x14ac:dyDescent="0.3">
      <c r="E1306" s="41"/>
      <c r="F1306" s="41"/>
      <c r="G1306" s="41"/>
    </row>
    <row r="1307" spans="5:7" s="39" customFormat="1" x14ac:dyDescent="0.3">
      <c r="E1307" s="41"/>
      <c r="F1307" s="41"/>
      <c r="G1307" s="41"/>
    </row>
    <row r="1308" spans="5:7" s="39" customFormat="1" x14ac:dyDescent="0.3">
      <c r="E1308" s="41"/>
      <c r="F1308" s="41"/>
      <c r="G1308" s="41"/>
    </row>
    <row r="1309" spans="5:7" s="39" customFormat="1" x14ac:dyDescent="0.3">
      <c r="E1309" s="41"/>
      <c r="F1309" s="41"/>
      <c r="G1309" s="41"/>
    </row>
    <row r="1310" spans="5:7" s="39" customFormat="1" x14ac:dyDescent="0.3">
      <c r="E1310" s="41"/>
      <c r="F1310" s="41"/>
      <c r="G1310" s="41"/>
    </row>
    <row r="1311" spans="5:7" s="39" customFormat="1" x14ac:dyDescent="0.3">
      <c r="E1311" s="41"/>
      <c r="F1311" s="41"/>
      <c r="G1311" s="41"/>
    </row>
    <row r="1312" spans="5:7" s="39" customFormat="1" x14ac:dyDescent="0.3">
      <c r="E1312" s="41"/>
      <c r="F1312" s="41"/>
      <c r="G1312" s="41"/>
    </row>
    <row r="1313" spans="5:7" s="39" customFormat="1" x14ac:dyDescent="0.3">
      <c r="E1313" s="41"/>
      <c r="F1313" s="41"/>
      <c r="G1313" s="41"/>
    </row>
    <row r="1314" spans="5:7" s="39" customFormat="1" x14ac:dyDescent="0.3">
      <c r="E1314" s="41"/>
      <c r="F1314" s="41"/>
      <c r="G1314" s="41"/>
    </row>
    <row r="1315" spans="5:7" s="39" customFormat="1" x14ac:dyDescent="0.3">
      <c r="E1315" s="41"/>
      <c r="F1315" s="41"/>
      <c r="G1315" s="41"/>
    </row>
    <row r="1316" spans="5:7" s="39" customFormat="1" x14ac:dyDescent="0.3">
      <c r="E1316" s="41"/>
      <c r="F1316" s="41"/>
      <c r="G1316" s="41"/>
    </row>
    <row r="1317" spans="5:7" s="39" customFormat="1" x14ac:dyDescent="0.3">
      <c r="E1317" s="41"/>
      <c r="F1317" s="41"/>
      <c r="G1317" s="41"/>
    </row>
    <row r="1318" spans="5:7" s="39" customFormat="1" x14ac:dyDescent="0.3">
      <c r="E1318" s="41"/>
      <c r="F1318" s="41"/>
      <c r="G1318" s="41"/>
    </row>
    <row r="1319" spans="5:7" s="39" customFormat="1" x14ac:dyDescent="0.3">
      <c r="E1319" s="41"/>
      <c r="F1319" s="41"/>
      <c r="G1319" s="41"/>
    </row>
    <row r="1320" spans="5:7" s="39" customFormat="1" x14ac:dyDescent="0.3">
      <c r="E1320" s="41"/>
      <c r="F1320" s="41"/>
      <c r="G1320" s="41"/>
    </row>
    <row r="1321" spans="5:7" s="39" customFormat="1" x14ac:dyDescent="0.3">
      <c r="E1321" s="41"/>
      <c r="F1321" s="41"/>
      <c r="G1321" s="41"/>
    </row>
    <row r="1322" spans="5:7" s="39" customFormat="1" x14ac:dyDescent="0.3">
      <c r="E1322" s="41"/>
      <c r="F1322" s="41"/>
      <c r="G1322" s="41"/>
    </row>
    <row r="1323" spans="5:7" s="39" customFormat="1" x14ac:dyDescent="0.3">
      <c r="E1323" s="41"/>
      <c r="F1323" s="41"/>
      <c r="G1323" s="41"/>
    </row>
    <row r="1324" spans="5:7" s="39" customFormat="1" x14ac:dyDescent="0.3">
      <c r="E1324" s="41"/>
      <c r="F1324" s="41"/>
      <c r="G1324" s="41"/>
    </row>
    <row r="1325" spans="5:7" s="39" customFormat="1" x14ac:dyDescent="0.3">
      <c r="E1325" s="41"/>
      <c r="F1325" s="41"/>
      <c r="G1325" s="41"/>
    </row>
    <row r="1326" spans="5:7" s="39" customFormat="1" x14ac:dyDescent="0.3">
      <c r="E1326" s="41"/>
      <c r="F1326" s="41"/>
      <c r="G1326" s="41"/>
    </row>
    <row r="1327" spans="5:7" s="39" customFormat="1" x14ac:dyDescent="0.3">
      <c r="E1327" s="41"/>
      <c r="F1327" s="41"/>
      <c r="G1327" s="41"/>
    </row>
    <row r="1328" spans="5:7" s="39" customFormat="1" x14ac:dyDescent="0.3">
      <c r="E1328" s="41"/>
      <c r="F1328" s="41"/>
      <c r="G1328" s="41"/>
    </row>
    <row r="1329" spans="5:7" s="39" customFormat="1" x14ac:dyDescent="0.3">
      <c r="E1329" s="41"/>
      <c r="F1329" s="41"/>
      <c r="G1329" s="41"/>
    </row>
    <row r="1330" spans="5:7" s="39" customFormat="1" x14ac:dyDescent="0.3">
      <c r="E1330" s="41"/>
      <c r="F1330" s="41"/>
      <c r="G1330" s="41"/>
    </row>
    <row r="1331" spans="5:7" s="39" customFormat="1" x14ac:dyDescent="0.3">
      <c r="E1331" s="41"/>
      <c r="F1331" s="41"/>
      <c r="G1331" s="41"/>
    </row>
    <row r="1332" spans="5:7" s="39" customFormat="1" x14ac:dyDescent="0.3">
      <c r="E1332" s="41"/>
      <c r="F1332" s="41"/>
      <c r="G1332" s="41"/>
    </row>
    <row r="1333" spans="5:7" s="39" customFormat="1" x14ac:dyDescent="0.3">
      <c r="E1333" s="41"/>
      <c r="F1333" s="41"/>
      <c r="G1333" s="41"/>
    </row>
    <row r="1334" spans="5:7" s="39" customFormat="1" x14ac:dyDescent="0.3">
      <c r="E1334" s="41"/>
      <c r="F1334" s="41"/>
      <c r="G1334" s="41"/>
    </row>
    <row r="1335" spans="5:7" s="39" customFormat="1" x14ac:dyDescent="0.3">
      <c r="E1335" s="41"/>
      <c r="F1335" s="41"/>
      <c r="G1335" s="41"/>
    </row>
    <row r="1336" spans="5:7" s="39" customFormat="1" x14ac:dyDescent="0.3">
      <c r="E1336" s="41"/>
      <c r="F1336" s="41"/>
      <c r="G1336" s="41"/>
    </row>
    <row r="1337" spans="5:7" s="39" customFormat="1" x14ac:dyDescent="0.3">
      <c r="E1337" s="41"/>
      <c r="F1337" s="41"/>
      <c r="G1337" s="41"/>
    </row>
    <row r="1338" spans="5:7" s="39" customFormat="1" x14ac:dyDescent="0.3">
      <c r="E1338" s="41"/>
      <c r="F1338" s="41"/>
      <c r="G1338" s="41"/>
    </row>
    <row r="1339" spans="5:7" s="39" customFormat="1" x14ac:dyDescent="0.3">
      <c r="E1339" s="41"/>
      <c r="F1339" s="41"/>
      <c r="G1339" s="41"/>
    </row>
    <row r="1340" spans="5:7" s="39" customFormat="1" x14ac:dyDescent="0.3">
      <c r="E1340" s="41"/>
      <c r="F1340" s="41"/>
      <c r="G1340" s="41"/>
    </row>
    <row r="1341" spans="5:7" s="39" customFormat="1" x14ac:dyDescent="0.3">
      <c r="E1341" s="41"/>
      <c r="F1341" s="41"/>
      <c r="G1341" s="41"/>
    </row>
    <row r="1342" spans="5:7" s="39" customFormat="1" x14ac:dyDescent="0.3">
      <c r="E1342" s="41"/>
      <c r="F1342" s="41"/>
      <c r="G1342" s="41"/>
    </row>
    <row r="1343" spans="5:7" s="39" customFormat="1" x14ac:dyDescent="0.3">
      <c r="E1343" s="41"/>
      <c r="F1343" s="41"/>
      <c r="G1343" s="41"/>
    </row>
    <row r="1344" spans="5:7" s="39" customFormat="1" x14ac:dyDescent="0.3">
      <c r="E1344" s="41"/>
      <c r="F1344" s="41"/>
      <c r="G1344" s="41"/>
    </row>
    <row r="1345" spans="5:7" s="39" customFormat="1" x14ac:dyDescent="0.3">
      <c r="E1345" s="41"/>
      <c r="F1345" s="41"/>
      <c r="G1345" s="41"/>
    </row>
    <row r="1346" spans="5:7" s="39" customFormat="1" x14ac:dyDescent="0.3">
      <c r="E1346" s="41"/>
      <c r="F1346" s="41"/>
      <c r="G1346" s="41"/>
    </row>
    <row r="1347" spans="5:7" s="39" customFormat="1" x14ac:dyDescent="0.3">
      <c r="E1347" s="41"/>
      <c r="F1347" s="41"/>
      <c r="G1347" s="41"/>
    </row>
    <row r="1348" spans="5:7" s="39" customFormat="1" x14ac:dyDescent="0.3">
      <c r="E1348" s="41"/>
      <c r="F1348" s="41"/>
      <c r="G1348" s="41"/>
    </row>
    <row r="1349" spans="5:7" s="39" customFormat="1" x14ac:dyDescent="0.3">
      <c r="E1349" s="41"/>
      <c r="F1349" s="41"/>
      <c r="G1349" s="41"/>
    </row>
    <row r="1350" spans="5:7" s="39" customFormat="1" x14ac:dyDescent="0.3">
      <c r="E1350" s="41"/>
      <c r="F1350" s="41"/>
      <c r="G1350" s="41"/>
    </row>
    <row r="1351" spans="5:7" s="39" customFormat="1" x14ac:dyDescent="0.3">
      <c r="E1351" s="41"/>
      <c r="F1351" s="41"/>
      <c r="G1351" s="41"/>
    </row>
    <row r="1352" spans="5:7" s="39" customFormat="1" x14ac:dyDescent="0.3">
      <c r="E1352" s="41"/>
      <c r="F1352" s="41"/>
      <c r="G1352" s="41"/>
    </row>
    <row r="1353" spans="5:7" s="39" customFormat="1" x14ac:dyDescent="0.3">
      <c r="E1353" s="41"/>
      <c r="F1353" s="41"/>
      <c r="G1353" s="41"/>
    </row>
    <row r="1354" spans="5:7" s="39" customFormat="1" x14ac:dyDescent="0.3">
      <c r="E1354" s="41"/>
      <c r="F1354" s="41"/>
      <c r="G1354" s="41"/>
    </row>
    <row r="1355" spans="5:7" s="39" customFormat="1" x14ac:dyDescent="0.3">
      <c r="E1355" s="41"/>
      <c r="F1355" s="41"/>
      <c r="G1355" s="41"/>
    </row>
    <row r="1356" spans="5:7" s="39" customFormat="1" x14ac:dyDescent="0.3">
      <c r="E1356" s="41"/>
      <c r="F1356" s="41"/>
      <c r="G1356" s="41"/>
    </row>
    <row r="1357" spans="5:7" s="39" customFormat="1" x14ac:dyDescent="0.3">
      <c r="E1357" s="41"/>
      <c r="F1357" s="41"/>
      <c r="G1357" s="41"/>
    </row>
    <row r="1358" spans="5:7" s="39" customFormat="1" x14ac:dyDescent="0.3">
      <c r="E1358" s="41"/>
      <c r="F1358" s="41"/>
      <c r="G1358" s="41"/>
    </row>
    <row r="1359" spans="5:7" s="39" customFormat="1" x14ac:dyDescent="0.3">
      <c r="E1359" s="41"/>
      <c r="F1359" s="41"/>
      <c r="G1359" s="41"/>
    </row>
    <row r="1360" spans="5:7" s="39" customFormat="1" x14ac:dyDescent="0.3">
      <c r="E1360" s="41"/>
      <c r="F1360" s="41"/>
      <c r="G1360" s="41"/>
    </row>
    <row r="1361" spans="5:7" s="39" customFormat="1" x14ac:dyDescent="0.3">
      <c r="E1361" s="41"/>
      <c r="F1361" s="41"/>
      <c r="G1361" s="41"/>
    </row>
    <row r="1362" spans="5:7" s="39" customFormat="1" x14ac:dyDescent="0.3">
      <c r="E1362" s="41"/>
      <c r="F1362" s="41"/>
      <c r="G1362" s="41"/>
    </row>
    <row r="1363" spans="5:7" s="39" customFormat="1" x14ac:dyDescent="0.3">
      <c r="E1363" s="41"/>
      <c r="F1363" s="41"/>
      <c r="G1363" s="41"/>
    </row>
    <row r="1364" spans="5:7" s="39" customFormat="1" x14ac:dyDescent="0.3">
      <c r="E1364" s="41"/>
      <c r="F1364" s="41"/>
      <c r="G1364" s="41"/>
    </row>
    <row r="1365" spans="5:7" s="39" customFormat="1" x14ac:dyDescent="0.3">
      <c r="E1365" s="41"/>
      <c r="F1365" s="41"/>
      <c r="G1365" s="41"/>
    </row>
    <row r="1366" spans="5:7" s="39" customFormat="1" x14ac:dyDescent="0.3">
      <c r="E1366" s="41"/>
      <c r="F1366" s="41"/>
      <c r="G1366" s="41"/>
    </row>
    <row r="1367" spans="5:7" s="39" customFormat="1" x14ac:dyDescent="0.3">
      <c r="E1367" s="41"/>
      <c r="F1367" s="41"/>
      <c r="G1367" s="41"/>
    </row>
    <row r="1368" spans="5:7" s="39" customFormat="1" x14ac:dyDescent="0.3">
      <c r="E1368" s="41"/>
      <c r="F1368" s="41"/>
      <c r="G1368" s="41"/>
    </row>
    <row r="1369" spans="5:7" s="39" customFormat="1" x14ac:dyDescent="0.3">
      <c r="E1369" s="41"/>
      <c r="F1369" s="41"/>
      <c r="G1369" s="41"/>
    </row>
    <row r="1370" spans="5:7" s="39" customFormat="1" x14ac:dyDescent="0.3">
      <c r="E1370" s="41"/>
      <c r="F1370" s="41"/>
      <c r="G1370" s="41"/>
    </row>
    <row r="1371" spans="5:7" s="39" customFormat="1" x14ac:dyDescent="0.3">
      <c r="E1371" s="41"/>
      <c r="F1371" s="41"/>
      <c r="G1371" s="41"/>
    </row>
    <row r="1372" spans="5:7" s="39" customFormat="1" x14ac:dyDescent="0.3">
      <c r="E1372" s="41"/>
      <c r="F1372" s="41"/>
      <c r="G1372" s="41"/>
    </row>
    <row r="1373" spans="5:7" s="39" customFormat="1" x14ac:dyDescent="0.3">
      <c r="E1373" s="41"/>
      <c r="F1373" s="41"/>
      <c r="G1373" s="41"/>
    </row>
    <row r="1374" spans="5:7" s="39" customFormat="1" x14ac:dyDescent="0.3">
      <c r="E1374" s="41"/>
      <c r="F1374" s="41"/>
      <c r="G1374" s="41"/>
    </row>
    <row r="1375" spans="5:7" s="39" customFormat="1" x14ac:dyDescent="0.3">
      <c r="E1375" s="41"/>
      <c r="F1375" s="41"/>
      <c r="G1375" s="41"/>
    </row>
    <row r="1376" spans="5:7" s="39" customFormat="1" x14ac:dyDescent="0.3">
      <c r="E1376" s="41"/>
      <c r="F1376" s="41"/>
      <c r="G1376" s="41"/>
    </row>
    <row r="1377" spans="5:7" s="39" customFormat="1" x14ac:dyDescent="0.3">
      <c r="E1377" s="41"/>
      <c r="F1377" s="41"/>
      <c r="G1377" s="41"/>
    </row>
    <row r="1378" spans="5:7" s="39" customFormat="1" x14ac:dyDescent="0.3">
      <c r="E1378" s="41"/>
      <c r="F1378" s="41"/>
      <c r="G1378" s="41"/>
    </row>
    <row r="1379" spans="5:7" s="39" customFormat="1" x14ac:dyDescent="0.3">
      <c r="E1379" s="41"/>
      <c r="F1379" s="41"/>
      <c r="G1379" s="41"/>
    </row>
    <row r="1380" spans="5:7" s="39" customFormat="1" x14ac:dyDescent="0.3">
      <c r="E1380" s="41"/>
      <c r="F1380" s="41"/>
      <c r="G1380" s="41"/>
    </row>
    <row r="1381" spans="5:7" s="39" customFormat="1" x14ac:dyDescent="0.3">
      <c r="E1381" s="41"/>
      <c r="F1381" s="41"/>
      <c r="G1381" s="41"/>
    </row>
    <row r="1382" spans="5:7" s="39" customFormat="1" x14ac:dyDescent="0.3">
      <c r="E1382" s="41"/>
      <c r="F1382" s="41"/>
      <c r="G1382" s="41"/>
    </row>
    <row r="1383" spans="5:7" s="39" customFormat="1" x14ac:dyDescent="0.3">
      <c r="E1383" s="41"/>
      <c r="F1383" s="41"/>
      <c r="G1383" s="41"/>
    </row>
    <row r="1384" spans="5:7" s="39" customFormat="1" x14ac:dyDescent="0.3">
      <c r="E1384" s="41"/>
      <c r="F1384" s="41"/>
      <c r="G1384" s="41"/>
    </row>
    <row r="1385" spans="5:7" s="39" customFormat="1" x14ac:dyDescent="0.3">
      <c r="E1385" s="41"/>
      <c r="F1385" s="41"/>
      <c r="G1385" s="41"/>
    </row>
    <row r="1386" spans="5:7" s="39" customFormat="1" x14ac:dyDescent="0.3">
      <c r="E1386" s="41"/>
      <c r="F1386" s="41"/>
      <c r="G1386" s="41"/>
    </row>
    <row r="1387" spans="5:7" s="39" customFormat="1" x14ac:dyDescent="0.3">
      <c r="E1387" s="41"/>
      <c r="F1387" s="41"/>
      <c r="G1387" s="41"/>
    </row>
    <row r="1388" spans="5:7" s="39" customFormat="1" x14ac:dyDescent="0.3">
      <c r="E1388" s="41"/>
      <c r="F1388" s="41"/>
      <c r="G1388" s="41"/>
    </row>
    <row r="1389" spans="5:7" s="39" customFormat="1" x14ac:dyDescent="0.3">
      <c r="E1389" s="41"/>
      <c r="F1389" s="41"/>
      <c r="G1389" s="41"/>
    </row>
    <row r="1390" spans="5:7" s="39" customFormat="1" x14ac:dyDescent="0.3">
      <c r="E1390" s="41"/>
      <c r="F1390" s="41"/>
      <c r="G1390" s="41"/>
    </row>
    <row r="1391" spans="5:7" s="39" customFormat="1" x14ac:dyDescent="0.3">
      <c r="E1391" s="41"/>
      <c r="F1391" s="41"/>
      <c r="G1391" s="41"/>
    </row>
    <row r="1392" spans="5:7" s="39" customFormat="1" x14ac:dyDescent="0.3">
      <c r="E1392" s="41"/>
      <c r="F1392" s="41"/>
      <c r="G1392" s="41"/>
    </row>
    <row r="1393" spans="5:7" s="39" customFormat="1" x14ac:dyDescent="0.3">
      <c r="E1393" s="41"/>
      <c r="F1393" s="41"/>
      <c r="G1393" s="41"/>
    </row>
    <row r="1394" spans="5:7" s="39" customFormat="1" x14ac:dyDescent="0.3">
      <c r="E1394" s="41"/>
      <c r="F1394" s="41"/>
      <c r="G1394" s="41"/>
    </row>
    <row r="1395" spans="5:7" s="39" customFormat="1" x14ac:dyDescent="0.3">
      <c r="E1395" s="41"/>
      <c r="F1395" s="41"/>
      <c r="G1395" s="41"/>
    </row>
    <row r="1396" spans="5:7" s="39" customFormat="1" x14ac:dyDescent="0.3">
      <c r="E1396" s="41"/>
      <c r="F1396" s="41"/>
      <c r="G1396" s="41"/>
    </row>
    <row r="1397" spans="5:7" s="39" customFormat="1" x14ac:dyDescent="0.3">
      <c r="E1397" s="41"/>
      <c r="F1397" s="41"/>
      <c r="G1397" s="41"/>
    </row>
    <row r="1398" spans="5:7" s="39" customFormat="1" x14ac:dyDescent="0.3">
      <c r="E1398" s="41"/>
      <c r="F1398" s="41"/>
      <c r="G1398" s="41"/>
    </row>
    <row r="1399" spans="5:7" s="39" customFormat="1" x14ac:dyDescent="0.3">
      <c r="E1399" s="41"/>
      <c r="F1399" s="41"/>
      <c r="G1399" s="41"/>
    </row>
    <row r="1400" spans="5:7" s="39" customFormat="1" x14ac:dyDescent="0.3">
      <c r="E1400" s="41"/>
      <c r="F1400" s="41"/>
      <c r="G1400" s="41"/>
    </row>
    <row r="1401" spans="5:7" s="39" customFormat="1" x14ac:dyDescent="0.3">
      <c r="E1401" s="41"/>
      <c r="F1401" s="41"/>
      <c r="G1401" s="41"/>
    </row>
    <row r="1402" spans="5:7" s="39" customFormat="1" x14ac:dyDescent="0.3">
      <c r="E1402" s="41"/>
      <c r="F1402" s="41"/>
      <c r="G1402" s="41"/>
    </row>
    <row r="1403" spans="5:7" s="39" customFormat="1" x14ac:dyDescent="0.3">
      <c r="E1403" s="41"/>
      <c r="F1403" s="41"/>
      <c r="G1403" s="41"/>
    </row>
    <row r="1404" spans="5:7" s="39" customFormat="1" x14ac:dyDescent="0.3">
      <c r="E1404" s="41"/>
      <c r="F1404" s="41"/>
      <c r="G1404" s="41"/>
    </row>
    <row r="1405" spans="5:7" s="39" customFormat="1" x14ac:dyDescent="0.3">
      <c r="E1405" s="41"/>
      <c r="F1405" s="41"/>
      <c r="G1405" s="41"/>
    </row>
    <row r="1406" spans="5:7" s="39" customFormat="1" x14ac:dyDescent="0.3">
      <c r="E1406" s="41"/>
      <c r="F1406" s="41"/>
      <c r="G1406" s="41"/>
    </row>
    <row r="1407" spans="5:7" s="39" customFormat="1" x14ac:dyDescent="0.3">
      <c r="E1407" s="41"/>
      <c r="F1407" s="41"/>
      <c r="G1407" s="41"/>
    </row>
    <row r="1408" spans="5:7" s="39" customFormat="1" x14ac:dyDescent="0.3">
      <c r="E1408" s="41"/>
      <c r="F1408" s="41"/>
      <c r="G1408" s="41"/>
    </row>
    <row r="1409" spans="5:7" s="39" customFormat="1" x14ac:dyDescent="0.3">
      <c r="E1409" s="41"/>
      <c r="F1409" s="41"/>
      <c r="G1409" s="41"/>
    </row>
    <row r="1410" spans="5:7" s="39" customFormat="1" x14ac:dyDescent="0.3">
      <c r="E1410" s="41"/>
      <c r="F1410" s="41"/>
      <c r="G1410" s="41"/>
    </row>
    <row r="1411" spans="5:7" s="39" customFormat="1" x14ac:dyDescent="0.3">
      <c r="E1411" s="41"/>
      <c r="F1411" s="41"/>
      <c r="G1411" s="41"/>
    </row>
    <row r="1412" spans="5:7" s="39" customFormat="1" x14ac:dyDescent="0.3">
      <c r="E1412" s="41"/>
      <c r="F1412" s="41"/>
      <c r="G1412" s="41"/>
    </row>
    <row r="1413" spans="5:7" s="39" customFormat="1" x14ac:dyDescent="0.3">
      <c r="E1413" s="41"/>
      <c r="F1413" s="41"/>
      <c r="G1413" s="41"/>
    </row>
    <row r="1414" spans="5:7" s="39" customFormat="1" x14ac:dyDescent="0.3">
      <c r="E1414" s="41"/>
      <c r="F1414" s="41"/>
      <c r="G1414" s="41"/>
    </row>
  </sheetData>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B96D-FDD9-4F7A-B0A8-8A0BC797B1DC}">
  <sheetPr codeName="Sheet11">
    <tabColor theme="0"/>
  </sheetPr>
  <dimension ref="A1:VR1446"/>
  <sheetViews>
    <sheetView showGridLines="0" tabSelected="1" topLeftCell="A92" zoomScaleNormal="100" workbookViewId="0">
      <selection activeCell="N45" sqref="N45"/>
    </sheetView>
  </sheetViews>
  <sheetFormatPr defaultColWidth="11.44140625" defaultRowHeight="14.4" x14ac:dyDescent="0.3"/>
  <cols>
    <col min="1" max="3" width="3.109375" customWidth="1"/>
    <col min="4" max="4" width="41" bestFit="1" customWidth="1"/>
    <col min="5" max="5" width="3.33203125" style="40" customWidth="1"/>
    <col min="6" max="6" width="21" style="40" customWidth="1"/>
    <col min="7" max="7" width="2.5546875" style="40" customWidth="1"/>
    <col min="8" max="8" width="21" style="40" customWidth="1"/>
    <col min="9" max="9" width="1.109375" style="40" customWidth="1"/>
    <col min="10" max="10" width="16.6640625" style="40" customWidth="1"/>
    <col min="11" max="12" width="3.109375" style="40" customWidth="1"/>
    <col min="13" max="13" width="3.109375" customWidth="1"/>
    <col min="14" max="14" width="49.44140625" style="39" customWidth="1"/>
    <col min="15" max="15" width="4" style="39" customWidth="1"/>
    <col min="16" max="16" width="47.5546875" style="39" customWidth="1"/>
    <col min="17" max="17" width="17" style="39" customWidth="1"/>
    <col min="18" max="35" width="27.6640625" style="39" customWidth="1"/>
    <col min="36" max="36" width="3.109375" style="39" customWidth="1"/>
    <col min="37" max="37" width="30" style="39" customWidth="1"/>
    <col min="38" max="590" width="11.44140625" style="39"/>
  </cols>
  <sheetData>
    <row r="1" spans="3:590" x14ac:dyDescent="0.3">
      <c r="E1" s="48"/>
      <c r="F1" s="48"/>
      <c r="G1" s="48"/>
      <c r="H1" s="48"/>
      <c r="I1" s="48"/>
      <c r="J1" s="48"/>
      <c r="K1" s="48"/>
      <c r="L1" s="48"/>
    </row>
    <row r="2" spans="3:590" s="102" customFormat="1" ht="24.6" customHeight="1" x14ac:dyDescent="0.3">
      <c r="C2" s="103" t="s">
        <v>348</v>
      </c>
      <c r="E2" s="104"/>
      <c r="F2" s="104"/>
      <c r="G2" s="104"/>
      <c r="H2" s="104"/>
      <c r="I2" s="104"/>
      <c r="J2" s="208" t="str">
        <f>'Guide d''utilisation'!D22</f>
        <v>Version no1 2025-08</v>
      </c>
      <c r="K2" s="104"/>
      <c r="L2" s="104"/>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c r="NY2" s="105"/>
      <c r="NZ2" s="105"/>
      <c r="OA2" s="105"/>
      <c r="OB2" s="105"/>
      <c r="OC2" s="105"/>
      <c r="OD2" s="105"/>
      <c r="OE2" s="105"/>
      <c r="OF2" s="105"/>
      <c r="OG2" s="105"/>
      <c r="OH2" s="105"/>
      <c r="OI2" s="105"/>
      <c r="OJ2" s="105"/>
      <c r="OK2" s="105"/>
      <c r="OL2" s="105"/>
      <c r="OM2" s="105"/>
      <c r="ON2" s="105"/>
      <c r="OO2" s="105"/>
      <c r="OP2" s="105"/>
      <c r="OQ2" s="105"/>
      <c r="OR2" s="105"/>
      <c r="OS2" s="105"/>
      <c r="OT2" s="105"/>
      <c r="OU2" s="105"/>
      <c r="OV2" s="105"/>
      <c r="OW2" s="105"/>
      <c r="OX2" s="105"/>
      <c r="OY2" s="105"/>
      <c r="OZ2" s="105"/>
      <c r="PA2" s="105"/>
      <c r="PB2" s="105"/>
      <c r="PC2" s="105"/>
      <c r="PD2" s="105"/>
      <c r="PE2" s="105"/>
      <c r="PF2" s="105"/>
      <c r="PG2" s="105"/>
      <c r="PH2" s="105"/>
      <c r="PI2" s="105"/>
      <c r="PJ2" s="105"/>
      <c r="PK2" s="105"/>
      <c r="PL2" s="105"/>
      <c r="PM2" s="105"/>
      <c r="PN2" s="105"/>
      <c r="PO2" s="105"/>
      <c r="PP2" s="105"/>
      <c r="PQ2" s="105"/>
      <c r="PR2" s="105"/>
      <c r="PS2" s="105"/>
      <c r="PT2" s="105"/>
      <c r="PU2" s="105"/>
      <c r="PV2" s="105"/>
      <c r="PW2" s="105"/>
      <c r="PX2" s="105"/>
      <c r="PY2" s="105"/>
      <c r="PZ2" s="105"/>
      <c r="QA2" s="105"/>
      <c r="QB2" s="105"/>
      <c r="QC2" s="105"/>
      <c r="QD2" s="105"/>
      <c r="QE2" s="105"/>
      <c r="QF2" s="105"/>
      <c r="QG2" s="105"/>
      <c r="QH2" s="105"/>
      <c r="QI2" s="105"/>
      <c r="QJ2" s="105"/>
      <c r="QK2" s="105"/>
      <c r="QL2" s="105"/>
      <c r="QM2" s="105"/>
      <c r="QN2" s="105"/>
      <c r="QO2" s="105"/>
      <c r="QP2" s="105"/>
      <c r="QQ2" s="105"/>
      <c r="QR2" s="105"/>
      <c r="QS2" s="105"/>
      <c r="QT2" s="105"/>
      <c r="QU2" s="105"/>
      <c r="QV2" s="105"/>
      <c r="QW2" s="105"/>
      <c r="QX2" s="105"/>
      <c r="QY2" s="105"/>
      <c r="QZ2" s="105"/>
      <c r="RA2" s="105"/>
      <c r="RB2" s="105"/>
      <c r="RC2" s="105"/>
      <c r="RD2" s="105"/>
      <c r="RE2" s="105"/>
      <c r="RF2" s="105"/>
      <c r="RG2" s="105"/>
      <c r="RH2" s="105"/>
      <c r="RI2" s="105"/>
      <c r="RJ2" s="105"/>
      <c r="RK2" s="105"/>
      <c r="RL2" s="105"/>
      <c r="RM2" s="105"/>
      <c r="RN2" s="105"/>
      <c r="RO2" s="105"/>
      <c r="RP2" s="105"/>
      <c r="RQ2" s="105"/>
      <c r="RR2" s="105"/>
      <c r="RS2" s="105"/>
      <c r="RT2" s="105"/>
      <c r="RU2" s="105"/>
      <c r="RV2" s="105"/>
      <c r="RW2" s="105"/>
      <c r="RX2" s="105"/>
      <c r="RY2" s="105"/>
      <c r="RZ2" s="105"/>
      <c r="SA2" s="105"/>
      <c r="SB2" s="105"/>
      <c r="SC2" s="105"/>
      <c r="SD2" s="105"/>
      <c r="SE2" s="105"/>
      <c r="SF2" s="105"/>
      <c r="SG2" s="105"/>
      <c r="SH2" s="105"/>
      <c r="SI2" s="105"/>
      <c r="SJ2" s="105"/>
      <c r="SK2" s="105"/>
      <c r="SL2" s="105"/>
      <c r="SM2" s="105"/>
      <c r="SN2" s="105"/>
      <c r="SO2" s="105"/>
      <c r="SP2" s="105"/>
      <c r="SQ2" s="105"/>
      <c r="SR2" s="105"/>
      <c r="SS2" s="105"/>
      <c r="ST2" s="105"/>
      <c r="SU2" s="105"/>
      <c r="SV2" s="105"/>
      <c r="SW2" s="105"/>
      <c r="SX2" s="105"/>
      <c r="SY2" s="105"/>
      <c r="SZ2" s="105"/>
      <c r="TA2" s="105"/>
      <c r="TB2" s="105"/>
      <c r="TC2" s="105"/>
      <c r="TD2" s="105"/>
      <c r="TE2" s="105"/>
      <c r="TF2" s="105"/>
      <c r="TG2" s="105"/>
      <c r="TH2" s="105"/>
      <c r="TI2" s="105"/>
      <c r="TJ2" s="105"/>
      <c r="TK2" s="105"/>
      <c r="TL2" s="105"/>
      <c r="TM2" s="105"/>
      <c r="TN2" s="105"/>
      <c r="TO2" s="105"/>
      <c r="TP2" s="105"/>
      <c r="TQ2" s="105"/>
      <c r="TR2" s="105"/>
      <c r="TS2" s="105"/>
      <c r="TT2" s="105"/>
      <c r="TU2" s="105"/>
      <c r="TV2" s="105"/>
      <c r="TW2" s="105"/>
      <c r="TX2" s="105"/>
      <c r="TY2" s="105"/>
      <c r="TZ2" s="105"/>
      <c r="UA2" s="105"/>
      <c r="UB2" s="105"/>
      <c r="UC2" s="105"/>
      <c r="UD2" s="105"/>
      <c r="UE2" s="105"/>
      <c r="UF2" s="105"/>
      <c r="UG2" s="105"/>
      <c r="UH2" s="105"/>
      <c r="UI2" s="105"/>
      <c r="UJ2" s="105"/>
      <c r="UK2" s="105"/>
      <c r="UL2" s="105"/>
      <c r="UM2" s="105"/>
      <c r="UN2" s="105"/>
      <c r="UO2" s="105"/>
      <c r="UP2" s="105"/>
      <c r="UQ2" s="105"/>
      <c r="UR2" s="105"/>
      <c r="US2" s="105"/>
      <c r="UT2" s="105"/>
      <c r="UU2" s="105"/>
      <c r="UV2" s="105"/>
      <c r="UW2" s="105"/>
      <c r="UX2" s="105"/>
      <c r="UY2" s="105"/>
      <c r="UZ2" s="105"/>
      <c r="VA2" s="105"/>
      <c r="VB2" s="105"/>
      <c r="VC2" s="105"/>
      <c r="VD2" s="105"/>
      <c r="VE2" s="105"/>
      <c r="VF2" s="105"/>
      <c r="VG2" s="105"/>
      <c r="VH2" s="105"/>
      <c r="VI2" s="105"/>
      <c r="VJ2" s="105"/>
      <c r="VK2" s="105"/>
      <c r="VL2" s="105"/>
      <c r="VM2" s="105"/>
      <c r="VN2" s="105"/>
      <c r="VO2" s="105"/>
      <c r="VP2" s="105"/>
      <c r="VQ2" s="105"/>
      <c r="VR2" s="105"/>
    </row>
    <row r="3" spans="3:590" ht="15" thickBot="1" x14ac:dyDescent="0.35">
      <c r="D3" s="49"/>
      <c r="E3" s="48"/>
      <c r="F3" s="48"/>
      <c r="G3" s="48"/>
      <c r="H3" s="48"/>
      <c r="I3" s="48"/>
      <c r="J3" s="48"/>
      <c r="K3" s="48"/>
      <c r="L3" s="48"/>
    </row>
    <row r="4" spans="3:590" ht="15" thickBot="1" x14ac:dyDescent="0.35">
      <c r="D4" s="206" t="s">
        <v>349</v>
      </c>
      <c r="E4" s="44"/>
      <c r="F4" s="130">
        <v>800</v>
      </c>
      <c r="G4" s="47" t="s">
        <v>1</v>
      </c>
      <c r="H4" s="131">
        <v>0</v>
      </c>
      <c r="I4" s="220" t="s">
        <v>350</v>
      </c>
      <c r="J4" s="220"/>
      <c r="K4" s="48"/>
      <c r="L4" s="48"/>
    </row>
    <row r="5" spans="3:590" ht="8.4" customHeight="1" x14ac:dyDescent="0.3"/>
    <row r="6" spans="3:590" ht="7.5" customHeight="1" thickBot="1" x14ac:dyDescent="0.35"/>
    <row r="7" spans="3:590" x14ac:dyDescent="0.3">
      <c r="D7" s="106" t="s">
        <v>351</v>
      </c>
      <c r="E7" s="107"/>
      <c r="F7" s="108" t="s">
        <v>352</v>
      </c>
      <c r="G7" s="108"/>
      <c r="H7" s="108" t="s">
        <v>353</v>
      </c>
      <c r="I7" s="108"/>
      <c r="J7" s="109" t="s">
        <v>359</v>
      </c>
    </row>
    <row r="8" spans="3:590" ht="7.5" customHeight="1" thickBot="1" x14ac:dyDescent="0.35">
      <c r="D8" s="110"/>
      <c r="E8" s="45"/>
      <c r="F8" s="45"/>
      <c r="G8" s="45"/>
      <c r="H8" s="45"/>
      <c r="I8" s="45"/>
      <c r="J8" s="111"/>
    </row>
    <row r="9" spans="3:590" ht="15" thickBot="1" x14ac:dyDescent="0.35">
      <c r="D9" s="112" t="s">
        <v>354</v>
      </c>
      <c r="E9" s="43"/>
      <c r="F9" s="57" t="s">
        <v>5</v>
      </c>
      <c r="G9" s="55"/>
      <c r="H9" s="57" t="s">
        <v>6</v>
      </c>
      <c r="I9" s="55"/>
      <c r="J9" s="113"/>
    </row>
    <row r="10" spans="3:590" ht="7.5" customHeight="1" thickBot="1" x14ac:dyDescent="0.35">
      <c r="D10" s="114"/>
      <c r="E10" s="43"/>
      <c r="F10" s="115"/>
      <c r="G10" s="44"/>
      <c r="H10" s="115"/>
      <c r="I10" s="44"/>
      <c r="J10" s="113"/>
    </row>
    <row r="11" spans="3:590" ht="15" customHeight="1" thickBot="1" x14ac:dyDescent="0.35">
      <c r="D11" s="112" t="s">
        <v>355</v>
      </c>
      <c r="E11" s="44"/>
      <c r="F11" s="76">
        <v>2</v>
      </c>
      <c r="G11" s="47"/>
      <c r="H11" s="76">
        <v>2</v>
      </c>
      <c r="I11" s="47"/>
      <c r="J11" s="116"/>
    </row>
    <row r="12" spans="3:590" ht="7.5" customHeight="1" thickBot="1" x14ac:dyDescent="0.35">
      <c r="D12" s="114"/>
      <c r="E12" s="43"/>
      <c r="F12" s="77"/>
      <c r="G12" s="47"/>
      <c r="H12" s="77"/>
      <c r="I12" s="47"/>
      <c r="J12" s="113"/>
    </row>
    <row r="13" spans="3:590" ht="15" thickBot="1" x14ac:dyDescent="0.35">
      <c r="D13" s="112" t="s">
        <v>356</v>
      </c>
      <c r="E13" s="43"/>
      <c r="F13" s="78">
        <v>200000</v>
      </c>
      <c r="G13" s="47"/>
      <c r="H13" s="78">
        <v>200000</v>
      </c>
      <c r="I13" s="47"/>
      <c r="J13" s="116" t="s">
        <v>7</v>
      </c>
    </row>
    <row r="14" spans="3:590" ht="7.5" customHeight="1" thickBot="1" x14ac:dyDescent="0.35">
      <c r="D14" s="117"/>
      <c r="E14" s="118"/>
      <c r="F14" s="119"/>
      <c r="G14" s="119"/>
      <c r="H14" s="119"/>
      <c r="I14" s="119"/>
      <c r="J14" s="120"/>
    </row>
    <row r="16" spans="3:590" ht="27" customHeight="1" x14ac:dyDescent="0.3">
      <c r="D16" s="221" t="s">
        <v>357</v>
      </c>
      <c r="E16" s="221"/>
      <c r="F16" s="221"/>
      <c r="G16" s="221"/>
      <c r="H16" s="221"/>
      <c r="I16" s="221"/>
      <c r="J16" s="221"/>
    </row>
    <row r="17" spans="1:13" ht="15" thickBot="1" x14ac:dyDescent="0.35"/>
    <row r="18" spans="1:13" ht="15" customHeight="1" x14ac:dyDescent="0.3">
      <c r="D18" s="121" t="s">
        <v>358</v>
      </c>
      <c r="E18" s="122"/>
      <c r="F18" s="108" t="s">
        <v>352</v>
      </c>
      <c r="G18" s="108"/>
      <c r="H18" s="108" t="s">
        <v>353</v>
      </c>
      <c r="I18" s="108"/>
      <c r="J18" s="109" t="s">
        <v>359</v>
      </c>
    </row>
    <row r="19" spans="1:13" ht="6.6" customHeight="1" thickBot="1" x14ac:dyDescent="0.35">
      <c r="D19" s="110"/>
      <c r="E19" s="45"/>
      <c r="F19" s="45"/>
      <c r="G19" s="45"/>
      <c r="H19" s="45"/>
      <c r="I19" s="45"/>
      <c r="J19" s="111"/>
    </row>
    <row r="20" spans="1:13" ht="16.2" customHeight="1" thickBot="1" x14ac:dyDescent="0.35">
      <c r="D20" s="112" t="s">
        <v>360</v>
      </c>
      <c r="E20" s="44"/>
      <c r="F20" s="46" t="s">
        <v>8</v>
      </c>
      <c r="G20" s="47"/>
      <c r="H20" s="46" t="s">
        <v>8</v>
      </c>
      <c r="I20" s="43"/>
      <c r="J20" s="113"/>
    </row>
    <row r="21" spans="1:13" ht="6.6" customHeight="1" thickBot="1" x14ac:dyDescent="0.35">
      <c r="D21" s="213"/>
      <c r="E21" s="43"/>
      <c r="F21" s="43"/>
      <c r="G21" s="43"/>
      <c r="H21" s="43"/>
      <c r="I21" s="43"/>
      <c r="J21" s="113"/>
    </row>
    <row r="22" spans="1:13" ht="16.2" customHeight="1" thickBot="1" x14ac:dyDescent="0.35">
      <c r="B22" s="34"/>
      <c r="C22" s="34"/>
      <c r="D22" s="112" t="s">
        <v>361</v>
      </c>
      <c r="E22" s="44"/>
      <c r="F22" s="46" t="s">
        <v>8</v>
      </c>
      <c r="G22" s="47"/>
      <c r="H22" s="46" t="s">
        <v>8</v>
      </c>
      <c r="I22" s="47"/>
      <c r="J22" s="116"/>
    </row>
    <row r="23" spans="1:13" ht="6" customHeight="1" thickBot="1" x14ac:dyDescent="0.35">
      <c r="B23" s="34"/>
      <c r="C23" s="34"/>
      <c r="D23" s="123"/>
      <c r="E23" s="44"/>
      <c r="F23" s="44"/>
      <c r="G23" s="44"/>
      <c r="H23" s="44"/>
      <c r="I23" s="44"/>
      <c r="J23" s="124"/>
    </row>
    <row r="24" spans="1:13" s="39" customFormat="1" ht="15" thickBot="1" x14ac:dyDescent="0.35">
      <c r="A24" s="34"/>
      <c r="B24" s="34"/>
      <c r="C24" s="34"/>
      <c r="D24" s="125" t="s">
        <v>362</v>
      </c>
      <c r="E24" s="44"/>
      <c r="F24" s="95"/>
      <c r="G24" s="47"/>
      <c r="H24" s="95"/>
      <c r="I24" s="47"/>
      <c r="J24" s="207" t="s">
        <v>9</v>
      </c>
      <c r="K24" s="34"/>
      <c r="L24" s="34"/>
      <c r="M24"/>
    </row>
    <row r="25" spans="1:13" s="39" customFormat="1" ht="7.5" customHeight="1" thickBot="1" x14ac:dyDescent="0.35">
      <c r="A25" s="34"/>
      <c r="B25" s="34"/>
      <c r="C25" s="34"/>
      <c r="D25" s="123"/>
      <c r="E25" s="44"/>
      <c r="F25" s="44"/>
      <c r="G25" s="44"/>
      <c r="H25" s="44"/>
      <c r="I25" s="44"/>
      <c r="J25" s="124"/>
      <c r="K25" s="34"/>
      <c r="L25" s="34"/>
      <c r="M25"/>
    </row>
    <row r="26" spans="1:13" s="39" customFormat="1" ht="15" thickBot="1" x14ac:dyDescent="0.35">
      <c r="A26" s="34"/>
      <c r="B26" s="34"/>
      <c r="C26" s="34"/>
      <c r="D26" s="112" t="s">
        <v>363</v>
      </c>
      <c r="E26" s="44"/>
      <c r="F26" s="95">
        <f>IF(OR(F9="&lt; sélectionner &gt;",F9="",F13="",F11="",D4="",F4=""),"",1500)</f>
        <v>1500</v>
      </c>
      <c r="G26" s="47"/>
      <c r="H26" s="95">
        <f>IF(OR(H9="&lt; sélectionner &gt;",H9="",H13="",H11="",F4="",H4=""),"",1500)</f>
        <v>1500</v>
      </c>
      <c r="I26" s="47"/>
      <c r="J26" s="116" t="s">
        <v>10</v>
      </c>
      <c r="K26" s="34"/>
      <c r="L26" s="34"/>
      <c r="M26"/>
    </row>
    <row r="27" spans="1:13" s="39" customFormat="1" ht="7.5" customHeight="1" thickBot="1" x14ac:dyDescent="0.35">
      <c r="A27" s="34"/>
      <c r="B27" s="34"/>
      <c r="C27" s="34"/>
      <c r="D27" s="123"/>
      <c r="E27" s="44"/>
      <c r="F27" s="44"/>
      <c r="G27" s="44"/>
      <c r="H27" s="44"/>
      <c r="I27" s="44"/>
      <c r="J27" s="124"/>
      <c r="K27" s="34"/>
      <c r="L27" s="34"/>
      <c r="M27"/>
    </row>
    <row r="28" spans="1:13" s="39" customFormat="1" ht="15" thickBot="1" x14ac:dyDescent="0.35">
      <c r="A28" s="34"/>
      <c r="B28" s="34"/>
      <c r="C28" s="34"/>
      <c r="D28" s="125" t="s">
        <v>364</v>
      </c>
      <c r="E28" s="44"/>
      <c r="F28" s="96">
        <f>IF(OR(F9="&lt; sélectionner &gt;",F9="",F13="",F11="",F4="",H4=""),"",'Prix GN'!C2/100)</f>
        <v>0.17807999999999999</v>
      </c>
      <c r="G28" s="47"/>
      <c r="H28" s="96">
        <f>IF(OR(H9="&lt; sélectionner &gt;",H9="",H13="",H11="",F4="",H4=""),"",'Prix GN'!C2/100)</f>
        <v>0.17807999999999999</v>
      </c>
      <c r="I28" s="47"/>
      <c r="J28" s="207" t="s">
        <v>11</v>
      </c>
      <c r="K28" s="34"/>
      <c r="L28" s="34"/>
      <c r="M28"/>
    </row>
    <row r="29" spans="1:13" s="39" customFormat="1" ht="7.5" customHeight="1" thickBot="1" x14ac:dyDescent="0.35">
      <c r="A29" s="34"/>
      <c r="B29" s="34"/>
      <c r="C29" s="34"/>
      <c r="D29" s="112"/>
      <c r="E29" s="44"/>
      <c r="F29" s="47"/>
      <c r="G29" s="47"/>
      <c r="H29" s="47"/>
      <c r="I29" s="47"/>
      <c r="J29" s="124"/>
      <c r="K29" s="34"/>
      <c r="L29" s="34"/>
      <c r="M29"/>
    </row>
    <row r="30" spans="1:13" s="39" customFormat="1" ht="15" thickBot="1" x14ac:dyDescent="0.35">
      <c r="A30" s="34"/>
      <c r="B30"/>
      <c r="C30"/>
      <c r="D30" s="112" t="s">
        <v>365</v>
      </c>
      <c r="E30" s="44"/>
      <c r="F30" s="46">
        <v>82</v>
      </c>
      <c r="G30" s="47"/>
      <c r="H30" s="46">
        <v>82</v>
      </c>
      <c r="I30" s="47"/>
      <c r="J30" s="116" t="s">
        <v>12</v>
      </c>
      <c r="K30" s="34"/>
      <c r="L30" s="34"/>
      <c r="M30"/>
    </row>
    <row r="31" spans="1:13" s="39" customFormat="1" ht="7.5" customHeight="1" thickBot="1" x14ac:dyDescent="0.35">
      <c r="A31" s="34"/>
      <c r="B31"/>
      <c r="C31"/>
      <c r="D31" s="126"/>
      <c r="E31" s="44"/>
      <c r="F31" s="44"/>
      <c r="G31" s="44"/>
      <c r="H31" s="44"/>
      <c r="I31" s="44"/>
      <c r="J31" s="124"/>
      <c r="K31" s="34"/>
      <c r="L31" s="34"/>
      <c r="M31"/>
    </row>
    <row r="32" spans="1:13" s="39" customFormat="1" ht="15" thickBot="1" x14ac:dyDescent="0.35">
      <c r="A32" s="34"/>
      <c r="B32"/>
      <c r="C32"/>
      <c r="D32" s="112" t="s">
        <v>366</v>
      </c>
      <c r="E32" s="44"/>
      <c r="F32" s="95">
        <f>IF(OR(F9="&lt; sélectionner &gt;",F9="",F13="",F11="",F4="",H4=""),"",F11*(3*10^-8*F13^2 - 0.0001*F13 + 1533.4 + IF(F9="Infrared",IF(Calculateur!F13&lt;100000,790,740),0)))</f>
        <v>5426.8000000000011</v>
      </c>
      <c r="G32" s="47"/>
      <c r="H32" s="95">
        <f>IF(OR(H9="&lt; sélectionner &gt;",H9="",H13="",H11="",F4="",H4=""),"",H11*(3*10^-8*H13^2 - 0.0001*H13 + 1533.4 + IF(H9="Infrared",IF(Calculateur!H13&lt;100000,790,740),0)))</f>
        <v>5426.8000000000011</v>
      </c>
      <c r="I32" s="47"/>
      <c r="J32" s="116" t="s">
        <v>13</v>
      </c>
      <c r="K32" s="34"/>
      <c r="L32" s="34"/>
      <c r="M32"/>
    </row>
    <row r="33" spans="1:17" s="39" customFormat="1" ht="7.5" customHeight="1" thickBot="1" x14ac:dyDescent="0.35">
      <c r="A33" s="34"/>
      <c r="B33"/>
      <c r="C33"/>
      <c r="D33" s="126"/>
      <c r="E33" s="44"/>
      <c r="F33" s="44"/>
      <c r="G33" s="44"/>
      <c r="H33" s="44"/>
      <c r="I33" s="44"/>
      <c r="J33" s="124"/>
      <c r="K33" s="34"/>
      <c r="L33" s="34"/>
      <c r="M33"/>
      <c r="O33" s="41"/>
      <c r="Q33" s="41"/>
    </row>
    <row r="34" spans="1:17" s="39" customFormat="1" ht="15" thickBot="1" x14ac:dyDescent="0.35">
      <c r="A34" s="34"/>
      <c r="B34"/>
      <c r="C34"/>
      <c r="D34" s="112" t="s">
        <v>367</v>
      </c>
      <c r="E34" s="44"/>
      <c r="F34" s="95">
        <f>IF(OR(F9="&lt; sélectionner &gt;",F9="",F13="",F11="",F4="",H4=""),"",IF(F9="Standard",1200,1800))</f>
        <v>1200</v>
      </c>
      <c r="G34" s="47"/>
      <c r="H34" s="95">
        <f>IF(OR(H9="&lt; sélectionner &gt;",H9="",H13="",H11="",F4="",H4=""),"",IF(H9="Standard",1200,1800))</f>
        <v>1800</v>
      </c>
      <c r="I34" s="47"/>
      <c r="J34" s="116" t="s">
        <v>13</v>
      </c>
      <c r="K34" s="34"/>
      <c r="L34" s="34"/>
      <c r="M34"/>
    </row>
    <row r="35" spans="1:17" s="39" customFormat="1" ht="7.5" customHeight="1" thickBot="1" x14ac:dyDescent="0.35">
      <c r="A35" s="34"/>
      <c r="B35"/>
      <c r="C35"/>
      <c r="D35" s="127"/>
      <c r="E35" s="118"/>
      <c r="F35" s="118"/>
      <c r="G35" s="118"/>
      <c r="H35" s="118"/>
      <c r="I35" s="118"/>
      <c r="J35" s="120"/>
      <c r="K35" s="34"/>
      <c r="L35" s="34"/>
      <c r="M35"/>
    </row>
    <row r="36" spans="1:17" s="39" customFormat="1" ht="15" thickBot="1" x14ac:dyDescent="0.35">
      <c r="A36" s="34"/>
      <c r="B36"/>
      <c r="C36"/>
      <c r="D36" s="34"/>
      <c r="E36" s="34"/>
      <c r="F36" s="34"/>
      <c r="G36" s="34"/>
      <c r="H36" s="34"/>
      <c r="I36" s="34"/>
      <c r="J36" s="34"/>
      <c r="K36" s="34"/>
      <c r="L36" s="34"/>
      <c r="M36"/>
    </row>
    <row r="37" spans="1:17" s="39" customFormat="1" ht="15" customHeight="1" x14ac:dyDescent="0.3">
      <c r="A37" s="34"/>
      <c r="B37"/>
      <c r="C37"/>
      <c r="D37" s="121" t="s">
        <v>368</v>
      </c>
      <c r="E37" s="122"/>
      <c r="F37" s="108" t="s">
        <v>352</v>
      </c>
      <c r="G37" s="108"/>
      <c r="H37" s="108" t="s">
        <v>353</v>
      </c>
      <c r="I37" s="108"/>
      <c r="J37" s="109" t="s">
        <v>359</v>
      </c>
      <c r="K37" s="34"/>
      <c r="L37" s="34"/>
      <c r="M37"/>
    </row>
    <row r="38" spans="1:17" s="39" customFormat="1" ht="6" customHeight="1" thickBot="1" x14ac:dyDescent="0.35">
      <c r="A38" s="34"/>
      <c r="B38"/>
      <c r="C38"/>
      <c r="D38" s="110"/>
      <c r="E38" s="45"/>
      <c r="F38" s="45"/>
      <c r="G38" s="45"/>
      <c r="H38" s="45"/>
      <c r="I38" s="45"/>
      <c r="J38" s="111"/>
      <c r="K38" s="34"/>
      <c r="L38" s="34"/>
      <c r="M38"/>
    </row>
    <row r="39" spans="1:17" s="39" customFormat="1" ht="15" customHeight="1" thickBot="1" x14ac:dyDescent="0.35">
      <c r="A39" s="34"/>
      <c r="B39"/>
      <c r="C39"/>
      <c r="D39" s="112" t="s">
        <v>369</v>
      </c>
      <c r="E39" s="44"/>
      <c r="F39" s="57" t="str">
        <f>IF(OR(F9="&lt; sélectionner &gt;",F9="",F13="",F11="",F4="",H4=""),"",'Outil V3'!I5)</f>
        <v>N/A</v>
      </c>
      <c r="G39" s="74"/>
      <c r="H39" s="57" t="str">
        <f>IF(OR(H9="&lt; sélectionner &gt;",H9="",H13="",H11="",F4="",H4=""),"",'Outil V3'!I20)</f>
        <v>N/A</v>
      </c>
      <c r="I39" s="74"/>
      <c r="J39" s="116"/>
      <c r="K39" s="34"/>
      <c r="L39" s="34"/>
      <c r="M39"/>
    </row>
    <row r="40" spans="1:17" ht="7.2" customHeight="1" thickBot="1" x14ac:dyDescent="0.35">
      <c r="D40" s="123"/>
      <c r="E40" s="44"/>
      <c r="F40" s="115"/>
      <c r="G40" s="115"/>
      <c r="H40" s="115"/>
      <c r="I40" s="44"/>
      <c r="J40" s="124"/>
    </row>
    <row r="41" spans="1:17" ht="15" customHeight="1" thickBot="1" x14ac:dyDescent="0.35">
      <c r="D41" s="112" t="s">
        <v>370</v>
      </c>
      <c r="E41" s="44"/>
      <c r="F41" s="78">
        <f>IF(OR(F9="&lt; sélectionner &gt;",F9="",F13="",F11="",F4="",H4="",J28="&lt; sélectionner &gt;"),"",'Outil V3'!I6 + F34)</f>
        <v>6626.8000000000011</v>
      </c>
      <c r="G41" s="79"/>
      <c r="H41" s="78">
        <f>IF(OR(H9="&lt; sélectionner &gt;",H9="",H13="",H11="",F4="",H4="",J28="&lt; sélectionner &gt;"),"",'Outil V3'!I21 + H34)</f>
        <v>7226.8000000000011</v>
      </c>
      <c r="I41" s="75"/>
      <c r="J41" s="116" t="s">
        <v>13</v>
      </c>
    </row>
    <row r="42" spans="1:17" ht="7.5" customHeight="1" thickBot="1" x14ac:dyDescent="0.35">
      <c r="D42" s="112"/>
      <c r="E42" s="44"/>
      <c r="F42" s="79"/>
      <c r="G42" s="79"/>
      <c r="H42" s="79"/>
      <c r="I42" s="47"/>
      <c r="J42" s="124"/>
    </row>
    <row r="43" spans="1:17" ht="16.2" thickBot="1" x14ac:dyDescent="0.35">
      <c r="D43" s="112" t="s">
        <v>371</v>
      </c>
      <c r="E43" s="44"/>
      <c r="F43" s="78">
        <f>IF(OR(F9="&lt; sélectionner &gt;",F9="",F13="",F11="",F4="",H4="",J28="&lt; sélectionner &gt;"),"",'Outil V3'!I8)</f>
        <v>20374.441485622774</v>
      </c>
      <c r="G43" s="79"/>
      <c r="H43" s="78">
        <f>IF(OR(F9="&lt; sélectionner &gt;",F9="",F13="",F11="",F4="",H4="",J28="&lt; sélectionner &gt;"),"",'Outil V3'!I23)</f>
        <v>17318.27526277936</v>
      </c>
      <c r="I43" s="75"/>
      <c r="J43" s="116" t="s">
        <v>14</v>
      </c>
      <c r="P43" s="41"/>
    </row>
    <row r="44" spans="1:17" ht="7.5" customHeight="1" thickBot="1" x14ac:dyDescent="0.35">
      <c r="D44" s="126"/>
      <c r="E44" s="44"/>
      <c r="F44" s="128"/>
      <c r="G44" s="128"/>
      <c r="H44" s="128"/>
      <c r="I44" s="44"/>
      <c r="J44" s="124"/>
    </row>
    <row r="45" spans="1:17" ht="15" thickBot="1" x14ac:dyDescent="0.35">
      <c r="D45" s="112" t="s">
        <v>372</v>
      </c>
      <c r="E45" s="44"/>
      <c r="F45" s="78">
        <f>IF(OR(F9="&lt; sélectionner &gt;",F9="",F13="",F11="",F4="",H4="",J28="&lt; sélectionner &gt;"),"",'Outil V3'!I9)</f>
        <v>3628.2805397597035</v>
      </c>
      <c r="G45" s="79"/>
      <c r="H45" s="78">
        <f>IF(OR(H9="&lt; sélectionner &gt;",H9="",H13="",H11="",F4="",H4="",J28="&lt; sélectionner &gt;"),"",'Outil V3'!I24)</f>
        <v>3084.0384587957483</v>
      </c>
      <c r="I45" s="47"/>
      <c r="J45" s="116" t="s">
        <v>15</v>
      </c>
    </row>
    <row r="46" spans="1:17" ht="7.5" customHeight="1" thickBot="1" x14ac:dyDescent="0.35">
      <c r="D46" s="127"/>
      <c r="E46" s="118"/>
      <c r="F46" s="118"/>
      <c r="G46" s="118"/>
      <c r="H46" s="118"/>
      <c r="I46" s="118"/>
      <c r="J46" s="120"/>
    </row>
    <row r="50" spans="3:12" ht="25.2" customHeight="1" x14ac:dyDescent="0.45">
      <c r="C50" s="141"/>
      <c r="D50" s="219" t="s">
        <v>373</v>
      </c>
      <c r="E50" s="219"/>
      <c r="F50" s="219"/>
      <c r="G50" s="139"/>
      <c r="H50" s="139"/>
      <c r="I50" s="139"/>
      <c r="J50" s="139"/>
      <c r="K50" s="139"/>
      <c r="L50" s="135"/>
    </row>
    <row r="51" spans="3:12" x14ac:dyDescent="0.3">
      <c r="C51" s="141"/>
      <c r="D51" s="140"/>
      <c r="E51" s="139"/>
      <c r="F51" s="139"/>
      <c r="G51" s="139"/>
      <c r="H51" s="139"/>
      <c r="I51" s="139"/>
      <c r="J51" s="139"/>
      <c r="K51" s="139"/>
      <c r="L51" s="135"/>
    </row>
    <row r="52" spans="3:12" ht="7.5" customHeight="1" x14ac:dyDescent="0.3">
      <c r="C52" s="141"/>
      <c r="D52" s="147"/>
      <c r="E52" s="148"/>
      <c r="F52" s="148"/>
      <c r="G52" s="148"/>
      <c r="H52" s="148"/>
      <c r="I52" s="148"/>
      <c r="J52" s="148"/>
      <c r="K52" s="139"/>
      <c r="L52" s="135"/>
    </row>
    <row r="53" spans="3:12" ht="23.4" x14ac:dyDescent="0.45">
      <c r="C53" s="141"/>
      <c r="D53" s="215" t="s">
        <v>374</v>
      </c>
      <c r="E53" s="215"/>
      <c r="F53" s="215"/>
      <c r="G53" s="215"/>
      <c r="H53" s="215"/>
      <c r="I53" s="215"/>
      <c r="J53" s="215"/>
      <c r="K53" s="142"/>
      <c r="L53" s="136"/>
    </row>
    <row r="54" spans="3:12" ht="7.5" customHeight="1" x14ac:dyDescent="0.3">
      <c r="C54" s="141"/>
      <c r="D54" s="149"/>
      <c r="E54" s="150"/>
      <c r="F54" s="150"/>
      <c r="G54" s="150"/>
      <c r="H54" s="150"/>
      <c r="I54" s="150"/>
      <c r="J54" s="150"/>
      <c r="K54" s="143"/>
      <c r="L54" s="137"/>
    </row>
    <row r="55" spans="3:12" x14ac:dyDescent="0.3">
      <c r="C55" s="141"/>
      <c r="D55" s="222" t="str">
        <f>IF(OR(F9="&lt; sélectionner &gt;",F9="",H9="&lt; sélectionner &gt;",H9=""),"",
IF(AND(F9="Standard",H9=F9,F43&lt;H43),"L'utilisation d'aérotherme(s) standard(s) 1 versus standard(s) 2 génère les économies suivantes:",
IF(AND(F9="Standard",H9=F9,F43&gt;H43),"L'utilisation d'aérotherme(s) standard(s) 2 versus standard(s) 1 génère les économies suivantes:",
IF(AND(F9="Infrared",H9=F9,F43&lt;H43),"L'utilisation d'Equipment(s) Infrared(s) 1 versus Infrared(s) 2 génère les économies suivantes:",
IF(AND(F9="Infrared",H9=F9,F43&gt;H43),"L'utilisation d'Equipment(s) Infrared(s) 2 versus d'Equipment(s) Infrared(s) 1 génère les économies suivantes:",
"L'utilisation d'Equipment(s) Infrared(s) versus standard(s) génère les économies suivantes:")))))</f>
        <v>L'utilisation d'Equipment(s) Infrared(s) versus standard(s) génère les économies suivantes:</v>
      </c>
      <c r="E55" s="222"/>
      <c r="F55" s="222"/>
      <c r="G55" s="222"/>
      <c r="H55" s="222"/>
      <c r="I55" s="222"/>
      <c r="J55" s="222"/>
      <c r="K55" s="143"/>
      <c r="L55" s="137"/>
    </row>
    <row r="56" spans="3:12" ht="4.2" customHeight="1" x14ac:dyDescent="0.3">
      <c r="C56" s="141"/>
      <c r="D56" s="152"/>
      <c r="E56" s="150"/>
      <c r="F56" s="150"/>
      <c r="G56" s="150"/>
      <c r="H56" s="150"/>
      <c r="I56" s="150"/>
      <c r="J56" s="150"/>
      <c r="K56" s="143"/>
      <c r="L56" s="137"/>
    </row>
    <row r="57" spans="3:12" ht="16.2" customHeight="1" x14ac:dyDescent="0.3">
      <c r="C57" s="141"/>
      <c r="D57" s="156" t="s">
        <v>375</v>
      </c>
      <c r="E57" s="157"/>
      <c r="F57" s="158">
        <f>IF(OR(F9="&lt; sélectionner &gt;",F9="",H9="&lt; sélectionner &gt;",H9="",F9="",F13="",F11="",H13="",H11="",F4="",H4="",J28="&lt; sélectionner &gt;"),"",'Outil V3'!I8-'Outil V3'!I23)</f>
        <v>3056.1662228434143</v>
      </c>
      <c r="G57" s="150"/>
      <c r="H57" s="150" t="s">
        <v>378</v>
      </c>
      <c r="I57" s="150"/>
      <c r="J57" s="150"/>
      <c r="K57" s="143"/>
      <c r="L57" s="137"/>
    </row>
    <row r="58" spans="3:12" ht="4.2" customHeight="1" x14ac:dyDescent="0.3">
      <c r="C58" s="141"/>
      <c r="D58" s="155"/>
      <c r="E58" s="150"/>
      <c r="F58" s="158"/>
      <c r="G58" s="150"/>
      <c r="H58" s="150"/>
      <c r="I58" s="150"/>
      <c r="J58" s="150"/>
      <c r="K58" s="143"/>
      <c r="L58" s="137"/>
    </row>
    <row r="59" spans="3:12" x14ac:dyDescent="0.3">
      <c r="C59" s="141"/>
      <c r="D59" s="156" t="s">
        <v>376</v>
      </c>
      <c r="E59" s="157"/>
      <c r="F59" s="158">
        <f>IF(OR(F9="&lt; sélectionner &gt;",F9="",H9="&lt; sélectionner &gt;",H9="",F9="",F13="",F11="",H13="",H11="",F4="",H4="",J28="&lt; sélectionner &gt;"),"",'Outil V3'!I9-'Outil V3'!I24)</f>
        <v>544.24208096395523</v>
      </c>
      <c r="G59" s="150"/>
      <c r="H59" s="150" t="s">
        <v>379</v>
      </c>
      <c r="I59" s="150"/>
      <c r="J59" s="150"/>
      <c r="K59" s="143"/>
      <c r="L59" s="137"/>
    </row>
    <row r="60" spans="3:12" ht="5.4" customHeight="1" x14ac:dyDescent="0.3">
      <c r="C60" s="141"/>
      <c r="D60" s="156"/>
      <c r="E60" s="150"/>
      <c r="F60" s="158"/>
      <c r="G60" s="150"/>
      <c r="H60" s="150"/>
      <c r="I60" s="150"/>
      <c r="J60" s="150"/>
      <c r="K60" s="143"/>
      <c r="L60" s="137"/>
    </row>
    <row r="61" spans="3:12" ht="15.6" x14ac:dyDescent="0.35">
      <c r="C61" s="141"/>
      <c r="D61" s="156" t="s">
        <v>377</v>
      </c>
      <c r="E61" s="157"/>
      <c r="F61" s="160">
        <f>IF(OR(F9="&lt; sélectionner &gt;",F9="",H9="&lt; sélectionner &gt;",H9="",F9="",F13="",F11="",H13="",H11="",F4="",H4="",J28="&lt; sélectionner &gt;"),"",'Outil V3'!I10-'Outil V3'!I25)</f>
        <v>5.7578171638369895</v>
      </c>
      <c r="G61" s="150"/>
      <c r="H61" s="150" t="s">
        <v>380</v>
      </c>
      <c r="I61" s="150"/>
      <c r="J61" s="150"/>
      <c r="K61" s="143"/>
      <c r="L61" s="137"/>
    </row>
    <row r="62" spans="3:12" x14ac:dyDescent="0.3">
      <c r="C62" s="141"/>
      <c r="D62" s="147"/>
      <c r="E62" s="148"/>
      <c r="F62" s="153"/>
      <c r="G62" s="148"/>
      <c r="H62" s="148"/>
      <c r="I62" s="148"/>
      <c r="J62" s="148"/>
      <c r="K62" s="139"/>
      <c r="L62" s="135"/>
    </row>
    <row r="63" spans="3:12" x14ac:dyDescent="0.3">
      <c r="C63" s="141"/>
      <c r="D63" s="141"/>
      <c r="E63" s="139"/>
      <c r="F63" s="139"/>
      <c r="G63" s="139"/>
      <c r="H63" s="139"/>
      <c r="I63" s="139"/>
      <c r="J63" s="139"/>
      <c r="K63" s="139"/>
      <c r="L63" s="135"/>
    </row>
    <row r="64" spans="3:12" ht="4.95" customHeight="1" x14ac:dyDescent="0.3">
      <c r="C64" s="141"/>
      <c r="D64" s="147"/>
      <c r="E64" s="148"/>
      <c r="F64" s="148"/>
      <c r="G64" s="148"/>
      <c r="H64" s="148"/>
      <c r="I64" s="148"/>
      <c r="J64" s="148"/>
      <c r="K64" s="139"/>
      <c r="L64" s="135"/>
    </row>
    <row r="65" spans="3:12" ht="23.4" x14ac:dyDescent="0.45">
      <c r="C65" s="141"/>
      <c r="D65" s="215" t="s">
        <v>381</v>
      </c>
      <c r="E65" s="215"/>
      <c r="F65" s="215"/>
      <c r="G65" s="215"/>
      <c r="H65" s="215"/>
      <c r="I65" s="215"/>
      <c r="J65" s="215"/>
      <c r="K65" s="142"/>
      <c r="L65" s="138"/>
    </row>
    <row r="66" spans="3:12" ht="7.2" customHeight="1" x14ac:dyDescent="0.3">
      <c r="C66" s="141"/>
      <c r="D66" s="149"/>
      <c r="E66" s="150"/>
      <c r="F66" s="150"/>
      <c r="G66" s="150"/>
      <c r="H66" s="150"/>
      <c r="I66" s="150"/>
      <c r="J66" s="150"/>
      <c r="K66" s="143"/>
      <c r="L66" s="137"/>
    </row>
    <row r="67" spans="3:12" x14ac:dyDescent="0.3">
      <c r="C67" s="141"/>
      <c r="D67" s="156" t="str">
        <f>IF(F9="Infrared","Aérotherme(s) Infrared ",IF(F9="Standard","Aérotherme(s) standard(s) "&amp; IF(F9=H9, 1, ""),"Equipment 1"))</f>
        <v xml:space="preserve">Aérotherme(s) standard(s) </v>
      </c>
      <c r="E67" s="156"/>
      <c r="F67" s="151">
        <f>IF(OR(F9="&lt; sélectionner &gt;",F9="",F13="",F11="",F4="",H4="",J28="&lt; sélectionner &gt;"),"",'Outil V3'!I7)</f>
        <v>0</v>
      </c>
      <c r="G67" s="150"/>
      <c r="H67" s="150" t="s">
        <v>13</v>
      </c>
      <c r="I67" s="150"/>
      <c r="J67" s="150"/>
      <c r="K67" s="143"/>
      <c r="L67" s="137"/>
    </row>
    <row r="68" spans="3:12" ht="5.4" customHeight="1" x14ac:dyDescent="0.3">
      <c r="C68" s="141"/>
      <c r="D68" s="156"/>
      <c r="E68" s="156"/>
      <c r="F68" s="151"/>
      <c r="G68" s="150"/>
      <c r="H68" s="150"/>
      <c r="I68" s="150"/>
      <c r="J68" s="150"/>
      <c r="K68" s="143"/>
      <c r="L68" s="137"/>
    </row>
    <row r="69" spans="3:12" x14ac:dyDescent="0.3">
      <c r="C69" s="141"/>
      <c r="D69" s="156" t="str">
        <f>IF(H9="Infrared","Aérotherme(s) Infrared ",IF(H9="Standard","Aérotherme(s) standard(s) " &amp; IF(F9=H9, 2, ""),"Equipment 2"))</f>
        <v>Equipment 2</v>
      </c>
      <c r="E69" s="156"/>
      <c r="F69" s="151">
        <f>IF(OR(H9="&lt; sélectionner &gt;",H9="",H13="",H11="",F4="",H4="",J28="&lt; sélectionner &gt;"),"",'Outil V3'!I22)</f>
        <v>1600</v>
      </c>
      <c r="G69" s="150"/>
      <c r="H69" s="150" t="s">
        <v>13</v>
      </c>
      <c r="I69" s="150"/>
      <c r="J69" s="150"/>
      <c r="K69" s="143"/>
      <c r="L69" s="137"/>
    </row>
    <row r="70" spans="3:12" x14ac:dyDescent="0.3">
      <c r="C70" s="141"/>
      <c r="D70" s="149"/>
      <c r="E70" s="150"/>
      <c r="F70" s="150"/>
      <c r="G70" s="150"/>
      <c r="H70" s="150"/>
      <c r="I70" s="150"/>
      <c r="J70" s="150"/>
      <c r="K70" s="143"/>
      <c r="L70" s="137"/>
    </row>
    <row r="71" spans="3:12" x14ac:dyDescent="0.3">
      <c r="C71" s="141"/>
      <c r="D71" s="141"/>
      <c r="E71" s="139"/>
      <c r="F71" s="146"/>
      <c r="G71" s="139"/>
      <c r="H71" s="139"/>
      <c r="I71" s="139"/>
      <c r="J71" s="139"/>
      <c r="K71" s="139"/>
      <c r="L71" s="135"/>
    </row>
    <row r="72" spans="3:12" ht="6.6" customHeight="1" x14ac:dyDescent="0.3">
      <c r="C72" s="141"/>
      <c r="D72" s="147"/>
      <c r="E72" s="148"/>
      <c r="F72" s="154"/>
      <c r="G72" s="148"/>
      <c r="H72" s="148"/>
      <c r="I72" s="148"/>
      <c r="J72" s="148"/>
      <c r="K72" s="139"/>
      <c r="L72" s="135"/>
    </row>
    <row r="73" spans="3:12" ht="22.2" customHeight="1" x14ac:dyDescent="0.45">
      <c r="C73" s="141"/>
      <c r="D73" s="215" t="s">
        <v>382</v>
      </c>
      <c r="E73" s="215"/>
      <c r="F73" s="215"/>
      <c r="G73" s="215"/>
      <c r="H73" s="215"/>
      <c r="I73" s="215"/>
      <c r="J73" s="215"/>
      <c r="K73" s="142"/>
      <c r="L73" s="138"/>
    </row>
    <row r="74" spans="3:12" ht="5.4" customHeight="1" x14ac:dyDescent="0.3">
      <c r="C74" s="141"/>
      <c r="D74" s="149"/>
      <c r="E74" s="150"/>
      <c r="F74" s="150"/>
      <c r="G74" s="150"/>
      <c r="H74" s="150"/>
      <c r="I74" s="150"/>
      <c r="J74" s="150"/>
      <c r="K74" s="143"/>
      <c r="L74" s="137"/>
    </row>
    <row r="75" spans="3:12" x14ac:dyDescent="0.3">
      <c r="C75" s="141"/>
      <c r="D75" s="222" t="s">
        <v>383</v>
      </c>
      <c r="E75" s="222"/>
      <c r="F75" s="222"/>
      <c r="G75" s="222"/>
      <c r="H75" s="222"/>
      <c r="I75" s="222"/>
      <c r="J75" s="222"/>
      <c r="K75" s="143"/>
      <c r="L75" s="137"/>
    </row>
    <row r="76" spans="3:12" ht="7.95" customHeight="1" x14ac:dyDescent="0.3">
      <c r="C76" s="141"/>
      <c r="D76" s="152"/>
      <c r="E76" s="150"/>
      <c r="F76" s="150"/>
      <c r="G76" s="150"/>
      <c r="H76" s="150"/>
      <c r="I76" s="150"/>
      <c r="J76" s="150"/>
      <c r="K76" s="143"/>
      <c r="L76" s="137"/>
    </row>
    <row r="77" spans="3:12" x14ac:dyDescent="0.3">
      <c r="C77" s="141"/>
      <c r="D77" s="156" t="s">
        <v>384</v>
      </c>
      <c r="E77" s="156"/>
      <c r="F77" s="158">
        <f>IF(OR(F9="&lt; sélectionner &gt;",F9="",H9="&lt; sélectionner &gt;",H9="",F13="",F11="",H13="",H11="",F4="",H4="",J28="&lt; sélectionner &gt;"),"",IF(ABS(F79)-ABS(F69-F67)&gt;ABS(F79),0,ABS(F79)-ABS(F69-F67)))</f>
        <v>-1000</v>
      </c>
      <c r="G77" s="150"/>
      <c r="H77" s="150" t="s">
        <v>13</v>
      </c>
      <c r="I77" s="150"/>
      <c r="J77" s="150"/>
      <c r="K77" s="143"/>
      <c r="L77" s="137"/>
    </row>
    <row r="78" spans="3:12" ht="4.2" customHeight="1" x14ac:dyDescent="0.3">
      <c r="C78" s="141"/>
      <c r="D78" s="156"/>
      <c r="E78" s="155"/>
      <c r="F78" s="151"/>
      <c r="G78" s="150"/>
      <c r="H78" s="150"/>
      <c r="I78" s="150"/>
      <c r="J78" s="150"/>
      <c r="K78" s="143"/>
      <c r="L78" s="137"/>
    </row>
    <row r="79" spans="3:12" x14ac:dyDescent="0.3">
      <c r="C79" s="141"/>
      <c r="D79" s="156" t="s">
        <v>385</v>
      </c>
      <c r="E79" s="156"/>
      <c r="F79" s="158">
        <f>IF(OR(F9="&lt; sélectionner &gt;",F9="",H9="&lt; sélectionner &gt;",H9="",F13="",F11="",H13="",H11="",F4="",H4="",J28="&lt; sélectionner &gt;"),"",ABS(H41-F41))</f>
        <v>600</v>
      </c>
      <c r="G79" s="150"/>
      <c r="H79" s="150" t="s">
        <v>13</v>
      </c>
      <c r="I79" s="150"/>
      <c r="J79" s="150"/>
      <c r="K79" s="143"/>
      <c r="L79" s="137"/>
    </row>
    <row r="80" spans="3:12" ht="12.6" customHeight="1" x14ac:dyDescent="0.3">
      <c r="C80" s="141"/>
      <c r="D80" s="149"/>
      <c r="E80" s="150"/>
      <c r="F80" s="155"/>
      <c r="G80" s="150"/>
      <c r="H80" s="150"/>
      <c r="I80" s="150"/>
      <c r="J80" s="150"/>
      <c r="K80" s="143"/>
      <c r="L80" s="137"/>
    </row>
    <row r="81" spans="1:22" x14ac:dyDescent="0.3">
      <c r="C81" s="141"/>
      <c r="D81" s="144"/>
      <c r="E81" s="143"/>
      <c r="F81" s="145"/>
      <c r="G81" s="143"/>
      <c r="H81" s="143"/>
      <c r="I81" s="143"/>
      <c r="J81" s="143"/>
      <c r="K81" s="143"/>
      <c r="L81" s="137"/>
    </row>
    <row r="82" spans="1:22" ht="7.2" customHeight="1" x14ac:dyDescent="0.3">
      <c r="C82" s="141"/>
      <c r="D82" s="149"/>
      <c r="E82" s="150"/>
      <c r="F82" s="155"/>
      <c r="G82" s="150"/>
      <c r="H82" s="150"/>
      <c r="I82" s="150"/>
      <c r="J82" s="150"/>
      <c r="K82" s="143"/>
      <c r="L82" s="137"/>
    </row>
    <row r="83" spans="1:22" ht="23.4" x14ac:dyDescent="0.45">
      <c r="C83" s="141"/>
      <c r="D83" s="215" t="s">
        <v>386</v>
      </c>
      <c r="E83" s="215"/>
      <c r="F83" s="215"/>
      <c r="G83" s="215"/>
      <c r="H83" s="215"/>
      <c r="I83" s="215"/>
      <c r="J83" s="215"/>
      <c r="K83" s="142"/>
      <c r="L83" s="138"/>
    </row>
    <row r="84" spans="1:22" ht="4.2" customHeight="1" x14ac:dyDescent="0.3">
      <c r="C84" s="141"/>
      <c r="D84" s="149"/>
      <c r="E84" s="150"/>
      <c r="F84" s="150"/>
      <c r="G84" s="150"/>
      <c r="H84" s="150"/>
      <c r="I84" s="150"/>
      <c r="J84" s="150"/>
      <c r="K84" s="143"/>
      <c r="L84" s="137"/>
    </row>
    <row r="85" spans="1:22" x14ac:dyDescent="0.3">
      <c r="C85" s="141"/>
      <c r="D85" s="156" t="s">
        <v>387</v>
      </c>
      <c r="E85" s="150"/>
      <c r="F85" s="159">
        <f>IF(OR(F9="&lt; sélectionner &gt;",F9="",H9="&lt; sélectionner &gt;",H9="",F13="",F11="",H13="",H11="",F4="",H4="",J28="&lt; sélectionner &gt;"),"",IF(F59=0,0,ABS(F77/F59)))</f>
        <v>1.8374176400119808</v>
      </c>
      <c r="G85" s="150"/>
      <c r="H85" s="150" t="s">
        <v>389</v>
      </c>
      <c r="I85" s="150"/>
      <c r="J85" s="150"/>
      <c r="K85" s="143"/>
      <c r="L85" s="137"/>
    </row>
    <row r="86" spans="1:22" ht="4.95" customHeight="1" x14ac:dyDescent="0.3">
      <c r="C86" s="141"/>
      <c r="D86" s="156"/>
      <c r="E86" s="150"/>
      <c r="F86" s="151"/>
      <c r="G86" s="150"/>
      <c r="H86" s="150"/>
      <c r="I86" s="150"/>
      <c r="J86" s="150"/>
      <c r="K86" s="143"/>
      <c r="L86" s="137"/>
    </row>
    <row r="87" spans="1:22" x14ac:dyDescent="0.3">
      <c r="C87" s="141"/>
      <c r="D87" s="156" t="s">
        <v>388</v>
      </c>
      <c r="E87" s="150"/>
      <c r="F87" s="159">
        <f>IF(OR(F9="&lt; sélectionner &gt;",F9="",H9="&lt; sélectionner &gt;",H9="",F13="",F11="",H13="",H11="",F4="",H4="",J28="&lt; sélectionner &gt;"),"",IF(F59=0,0,ABS(F79/F59)))</f>
        <v>1.1024505840071885</v>
      </c>
      <c r="G87" s="150"/>
      <c r="H87" s="150" t="s">
        <v>389</v>
      </c>
      <c r="I87" s="150"/>
      <c r="J87" s="150"/>
      <c r="K87" s="143"/>
      <c r="L87" s="137"/>
    </row>
    <row r="88" spans="1:22" x14ac:dyDescent="0.3">
      <c r="C88" s="141"/>
      <c r="D88" s="149"/>
      <c r="E88" s="150"/>
      <c r="F88" s="155"/>
      <c r="G88" s="150"/>
      <c r="H88" s="150"/>
      <c r="I88" s="150"/>
      <c r="J88" s="150"/>
      <c r="K88" s="143"/>
      <c r="L88" s="137"/>
    </row>
    <row r="89" spans="1:22" x14ac:dyDescent="0.3">
      <c r="C89" s="141"/>
      <c r="D89" s="141"/>
      <c r="E89" s="139"/>
      <c r="F89" s="139"/>
      <c r="G89" s="139"/>
      <c r="H89" s="139"/>
      <c r="I89" s="139"/>
      <c r="J89" s="139"/>
      <c r="K89" s="139"/>
    </row>
    <row r="91" spans="1:22" ht="15" thickBot="1" x14ac:dyDescent="0.35">
      <c r="D91" s="51"/>
      <c r="E91" s="43"/>
      <c r="F91" s="52"/>
      <c r="G91" s="52"/>
      <c r="H91" s="52"/>
      <c r="I91" s="52"/>
      <c r="J91" s="52"/>
      <c r="K91" s="43"/>
      <c r="L91" s="43"/>
      <c r="V91" s="133"/>
    </row>
    <row r="92" spans="1:22" ht="63.6" customHeight="1" thickBot="1" x14ac:dyDescent="0.35">
      <c r="D92" s="216" t="s">
        <v>346</v>
      </c>
      <c r="E92" s="217"/>
      <c r="F92" s="217"/>
      <c r="G92" s="217"/>
      <c r="H92" s="217"/>
      <c r="I92" s="217"/>
      <c r="J92" s="217"/>
      <c r="K92" s="218"/>
      <c r="L92" s="134"/>
      <c r="V92" s="133"/>
    </row>
    <row r="93" spans="1:22" x14ac:dyDescent="0.3">
      <c r="D93" s="42"/>
      <c r="E93" s="44"/>
      <c r="F93" s="53"/>
      <c r="G93" s="53"/>
      <c r="H93" s="53"/>
      <c r="I93" s="53"/>
      <c r="J93" s="53"/>
      <c r="K93" s="51"/>
      <c r="L93" s="51"/>
      <c r="V93" s="133"/>
    </row>
    <row r="94" spans="1:22" x14ac:dyDescent="0.3">
      <c r="D94" s="42"/>
      <c r="E94" s="43"/>
      <c r="F94" s="54"/>
      <c r="G94" s="54"/>
      <c r="H94" s="54"/>
      <c r="I94" s="54"/>
      <c r="J94" s="54"/>
      <c r="K94" s="51"/>
      <c r="L94" s="51"/>
      <c r="V94" s="133"/>
    </row>
    <row r="95" spans="1:22" x14ac:dyDescent="0.3">
      <c r="D95" s="51"/>
      <c r="E95" s="43"/>
      <c r="F95" s="55"/>
      <c r="G95" s="55"/>
      <c r="H95" s="55"/>
      <c r="I95" s="55"/>
      <c r="J95" s="55"/>
      <c r="K95" s="43"/>
      <c r="L95" s="43"/>
      <c r="V95" s="133"/>
    </row>
    <row r="96" spans="1:22" x14ac:dyDescent="0.3">
      <c r="A96" s="39"/>
      <c r="B96" s="39"/>
      <c r="C96" s="39"/>
      <c r="D96" s="39"/>
      <c r="E96" s="39"/>
      <c r="F96" s="39"/>
      <c r="G96" s="39"/>
      <c r="H96" s="39"/>
      <c r="I96" s="39"/>
      <c r="J96" s="39"/>
      <c r="K96" s="39"/>
      <c r="L96" s="39"/>
      <c r="M96" s="39"/>
      <c r="V96" s="133"/>
    </row>
    <row r="97" spans="1:22" x14ac:dyDescent="0.3">
      <c r="A97" s="39"/>
      <c r="B97" s="39"/>
      <c r="C97" s="39"/>
      <c r="D97" s="39"/>
      <c r="E97" s="39"/>
      <c r="F97" s="39"/>
      <c r="G97" s="39"/>
      <c r="H97" s="39"/>
      <c r="I97" s="39"/>
      <c r="J97" s="39"/>
      <c r="K97" s="39"/>
      <c r="L97" s="39"/>
      <c r="M97" s="39"/>
      <c r="V97" s="133"/>
    </row>
    <row r="98" spans="1:22" x14ac:dyDescent="0.3">
      <c r="A98" s="39"/>
      <c r="B98" s="39"/>
      <c r="C98" s="39"/>
      <c r="D98" s="39"/>
      <c r="E98" s="39"/>
      <c r="F98" s="39"/>
      <c r="G98" s="39"/>
      <c r="H98" s="39"/>
      <c r="I98" s="39"/>
      <c r="J98" s="39"/>
      <c r="K98" s="39"/>
      <c r="L98" s="39"/>
      <c r="M98" s="39"/>
      <c r="V98" s="133"/>
    </row>
    <row r="99" spans="1:22" x14ac:dyDescent="0.3">
      <c r="A99" s="39"/>
      <c r="B99" s="39"/>
      <c r="C99" s="39"/>
      <c r="D99" s="39"/>
      <c r="E99" s="39"/>
      <c r="F99" s="39"/>
      <c r="G99" s="39"/>
      <c r="H99" s="39"/>
      <c r="I99" s="39"/>
      <c r="J99" s="39"/>
      <c r="K99" s="39"/>
      <c r="L99" s="39"/>
      <c r="M99" s="39"/>
      <c r="V99" s="133"/>
    </row>
    <row r="100" spans="1:22" x14ac:dyDescent="0.3">
      <c r="A100" s="39"/>
      <c r="B100" s="39"/>
      <c r="C100" s="39"/>
      <c r="D100" s="39"/>
      <c r="E100" s="39"/>
      <c r="F100" s="39"/>
      <c r="G100" s="39"/>
      <c r="H100" s="39"/>
      <c r="I100" s="39"/>
      <c r="J100" s="39"/>
      <c r="K100" s="39"/>
      <c r="L100" s="39"/>
      <c r="M100" s="39"/>
      <c r="V100" s="133"/>
    </row>
    <row r="101" spans="1:22" x14ac:dyDescent="0.3">
      <c r="A101" s="39"/>
      <c r="B101" s="39"/>
      <c r="C101" s="39"/>
      <c r="D101" s="39"/>
      <c r="E101" s="39"/>
      <c r="F101" s="39"/>
      <c r="G101" s="39"/>
      <c r="H101" s="39"/>
      <c r="I101" s="39"/>
      <c r="J101" s="39"/>
      <c r="K101" s="39"/>
      <c r="L101" s="39"/>
      <c r="M101" s="39"/>
      <c r="V101" s="133"/>
    </row>
    <row r="102" spans="1:22" x14ac:dyDescent="0.3">
      <c r="A102" s="39"/>
      <c r="B102" s="39"/>
      <c r="C102" s="39"/>
      <c r="D102" s="39"/>
      <c r="E102" s="39"/>
      <c r="F102" s="39"/>
      <c r="G102" s="39"/>
      <c r="H102" s="39"/>
      <c r="I102" s="39"/>
      <c r="J102" s="39"/>
      <c r="K102" s="39"/>
      <c r="L102" s="39"/>
      <c r="M102" s="39"/>
      <c r="V102" s="133"/>
    </row>
    <row r="103" spans="1:22" x14ac:dyDescent="0.3">
      <c r="A103" s="39"/>
      <c r="B103" s="39"/>
      <c r="C103" s="39"/>
      <c r="D103" s="39"/>
      <c r="E103" s="39"/>
      <c r="F103" s="39"/>
      <c r="G103" s="39"/>
      <c r="H103" s="39"/>
      <c r="I103" s="39"/>
      <c r="J103" s="39"/>
      <c r="K103" s="39"/>
      <c r="L103" s="39"/>
      <c r="M103" s="39"/>
      <c r="V103" s="133"/>
    </row>
    <row r="104" spans="1:22" x14ac:dyDescent="0.3">
      <c r="A104" s="39"/>
      <c r="B104" s="39"/>
      <c r="C104" s="39"/>
      <c r="D104" s="39"/>
      <c r="E104" s="39"/>
      <c r="F104" s="39"/>
      <c r="G104" s="39"/>
      <c r="H104" s="39"/>
      <c r="I104" s="39"/>
      <c r="J104" s="39"/>
      <c r="K104" s="39"/>
      <c r="L104" s="39"/>
      <c r="M104" s="39"/>
      <c r="V104" s="133"/>
    </row>
    <row r="105" spans="1:22" x14ac:dyDescent="0.3">
      <c r="A105" s="39"/>
      <c r="B105" s="39"/>
      <c r="C105" s="39"/>
      <c r="D105" s="39"/>
      <c r="E105" s="39"/>
      <c r="F105" s="39"/>
      <c r="G105" s="39"/>
      <c r="H105" s="39"/>
      <c r="I105" s="39"/>
      <c r="J105" s="39"/>
      <c r="K105" s="39"/>
      <c r="L105" s="39"/>
      <c r="M105" s="39"/>
      <c r="V105" s="133"/>
    </row>
    <row r="106" spans="1:22" x14ac:dyDescent="0.3">
      <c r="A106" s="39"/>
      <c r="B106" s="39"/>
      <c r="C106" s="39"/>
      <c r="D106" s="39"/>
      <c r="E106" s="39"/>
      <c r="F106" s="39"/>
      <c r="G106" s="39"/>
      <c r="H106" s="39"/>
      <c r="I106" s="39"/>
      <c r="J106" s="39"/>
      <c r="K106" s="39"/>
      <c r="L106" s="39"/>
      <c r="M106" s="39"/>
      <c r="V106" s="133"/>
    </row>
    <row r="107" spans="1:22" x14ac:dyDescent="0.3">
      <c r="A107" s="39"/>
      <c r="B107" s="39"/>
      <c r="C107" s="39"/>
      <c r="D107" s="39"/>
      <c r="E107" s="39"/>
      <c r="F107" s="39"/>
      <c r="G107" s="39"/>
      <c r="H107" s="39"/>
      <c r="I107" s="39"/>
      <c r="J107" s="39"/>
      <c r="K107" s="39"/>
      <c r="L107" s="39"/>
      <c r="M107" s="39"/>
      <c r="V107" s="133"/>
    </row>
    <row r="108" spans="1:22" x14ac:dyDescent="0.3">
      <c r="A108" s="39"/>
      <c r="B108" s="39"/>
      <c r="C108" s="39"/>
      <c r="D108" s="39"/>
      <c r="E108" s="39"/>
      <c r="F108" s="39"/>
      <c r="G108" s="39"/>
      <c r="H108" s="39"/>
      <c r="I108" s="39"/>
      <c r="J108" s="39"/>
      <c r="K108" s="39"/>
      <c r="L108" s="39"/>
      <c r="M108" s="39"/>
      <c r="V108" s="133"/>
    </row>
    <row r="109" spans="1:22" x14ac:dyDescent="0.3">
      <c r="A109" s="39"/>
      <c r="B109" s="39"/>
      <c r="C109" s="39"/>
      <c r="D109" s="39"/>
      <c r="E109" s="39"/>
      <c r="F109" s="39"/>
      <c r="G109" s="39"/>
      <c r="H109" s="39"/>
      <c r="I109" s="39"/>
      <c r="J109" s="39"/>
      <c r="K109" s="39"/>
      <c r="L109" s="39"/>
      <c r="M109" s="39"/>
      <c r="V109" s="133"/>
    </row>
    <row r="110" spans="1:22" x14ac:dyDescent="0.3">
      <c r="A110" s="39"/>
      <c r="B110" s="39"/>
      <c r="C110" s="39"/>
      <c r="D110" s="39"/>
      <c r="E110" s="39"/>
      <c r="F110" s="39"/>
      <c r="G110" s="39"/>
      <c r="H110" s="39"/>
      <c r="I110" s="39"/>
      <c r="J110" s="39"/>
      <c r="K110" s="39"/>
      <c r="L110" s="39"/>
      <c r="M110" s="39"/>
      <c r="V110" s="133"/>
    </row>
    <row r="111" spans="1:22" x14ac:dyDescent="0.3">
      <c r="A111" s="39"/>
      <c r="B111" s="39"/>
      <c r="C111" s="39"/>
      <c r="D111" s="39"/>
      <c r="E111" s="39"/>
      <c r="F111" s="39"/>
      <c r="G111" s="39"/>
      <c r="H111" s="39"/>
      <c r="I111" s="39"/>
      <c r="J111" s="39"/>
      <c r="K111" s="39"/>
      <c r="L111" s="39"/>
      <c r="M111" s="39"/>
      <c r="V111" s="133"/>
    </row>
    <row r="112" spans="1:22" x14ac:dyDescent="0.3">
      <c r="A112" s="39"/>
      <c r="B112" s="39"/>
      <c r="C112" s="39"/>
      <c r="D112" s="39"/>
      <c r="E112" s="39"/>
      <c r="F112" s="39"/>
      <c r="G112" s="39"/>
      <c r="H112" s="39"/>
      <c r="I112" s="39"/>
      <c r="J112" s="39"/>
      <c r="K112" s="39"/>
      <c r="L112" s="39"/>
      <c r="M112" s="39"/>
      <c r="V112" s="133"/>
    </row>
    <row r="113" spans="1:22" x14ac:dyDescent="0.3">
      <c r="A113" s="39"/>
      <c r="B113" s="39"/>
      <c r="C113" s="39"/>
      <c r="D113" s="39"/>
      <c r="E113" s="39"/>
      <c r="F113" s="39"/>
      <c r="G113" s="39"/>
      <c r="H113" s="39"/>
      <c r="I113" s="39"/>
      <c r="J113" s="39"/>
      <c r="K113" s="39"/>
      <c r="L113" s="39"/>
      <c r="M113" s="39"/>
      <c r="V113" s="133"/>
    </row>
    <row r="114" spans="1:22" x14ac:dyDescent="0.3">
      <c r="A114" s="39"/>
      <c r="B114" s="39"/>
      <c r="C114" s="39"/>
      <c r="D114" s="39"/>
      <c r="E114" s="39"/>
      <c r="F114" s="39"/>
      <c r="G114" s="39"/>
      <c r="H114" s="39"/>
      <c r="I114" s="39"/>
      <c r="J114" s="39"/>
      <c r="K114" s="39"/>
      <c r="L114" s="39"/>
      <c r="M114" s="39"/>
      <c r="V114" s="133"/>
    </row>
    <row r="115" spans="1:22" s="39" customFormat="1" x14ac:dyDescent="0.3">
      <c r="V115" s="133"/>
    </row>
    <row r="116" spans="1:22" s="39" customFormat="1" x14ac:dyDescent="0.3">
      <c r="E116" s="41"/>
      <c r="F116" s="41"/>
      <c r="G116" s="41"/>
      <c r="H116" s="41"/>
      <c r="I116" s="41"/>
      <c r="J116" s="41"/>
      <c r="K116" s="41"/>
      <c r="L116" s="41"/>
      <c r="V116" s="133"/>
    </row>
    <row r="117" spans="1:22" s="39" customFormat="1" x14ac:dyDescent="0.3">
      <c r="E117" s="41"/>
      <c r="F117" s="41"/>
      <c r="G117" s="41"/>
      <c r="H117" s="41"/>
      <c r="I117" s="41"/>
      <c r="J117" s="41"/>
      <c r="K117" s="41"/>
      <c r="L117" s="41"/>
      <c r="V117" s="133"/>
    </row>
    <row r="118" spans="1:22" s="39" customFormat="1" x14ac:dyDescent="0.3">
      <c r="E118" s="41"/>
      <c r="F118" s="41"/>
      <c r="G118" s="41"/>
      <c r="H118" s="41"/>
      <c r="I118" s="41"/>
      <c r="J118" s="41"/>
      <c r="K118" s="41"/>
      <c r="L118" s="41"/>
      <c r="V118" s="133"/>
    </row>
    <row r="119" spans="1:22" s="39" customFormat="1" x14ac:dyDescent="0.3">
      <c r="E119" s="41"/>
      <c r="F119" s="41"/>
      <c r="G119" s="41"/>
      <c r="H119" s="41"/>
      <c r="I119" s="41"/>
      <c r="J119" s="41"/>
      <c r="K119" s="41"/>
      <c r="L119" s="41"/>
      <c r="V119" s="133"/>
    </row>
    <row r="120" spans="1:22" s="39" customFormat="1" x14ac:dyDescent="0.3">
      <c r="E120" s="41"/>
      <c r="F120" s="41"/>
      <c r="G120" s="41"/>
      <c r="H120" s="41"/>
      <c r="I120" s="41"/>
      <c r="J120" s="41"/>
      <c r="K120" s="41"/>
      <c r="L120" s="41"/>
      <c r="V120" s="133"/>
    </row>
    <row r="121" spans="1:22" s="39" customFormat="1" x14ac:dyDescent="0.3">
      <c r="E121" s="41"/>
      <c r="F121" s="41"/>
      <c r="G121" s="41"/>
      <c r="H121" s="41"/>
      <c r="I121" s="41"/>
      <c r="J121" s="41"/>
      <c r="K121" s="41"/>
      <c r="L121" s="41"/>
      <c r="V121" s="133"/>
    </row>
    <row r="122" spans="1:22" s="39" customFormat="1" x14ac:dyDescent="0.3">
      <c r="E122" s="41"/>
      <c r="F122" s="41"/>
      <c r="G122" s="41"/>
      <c r="H122" s="41"/>
      <c r="I122" s="41"/>
      <c r="J122" s="41"/>
      <c r="K122" s="41"/>
      <c r="L122" s="41"/>
      <c r="V122" s="133"/>
    </row>
    <row r="123" spans="1:22" s="39" customFormat="1" x14ac:dyDescent="0.3">
      <c r="E123" s="41"/>
      <c r="F123" s="41"/>
      <c r="G123" s="41"/>
      <c r="H123" s="41"/>
      <c r="I123" s="41"/>
      <c r="J123" s="41"/>
      <c r="K123" s="41"/>
      <c r="L123" s="41"/>
      <c r="V123" s="133"/>
    </row>
    <row r="124" spans="1:22" s="39" customFormat="1" x14ac:dyDescent="0.3">
      <c r="E124" s="41"/>
      <c r="F124" s="41"/>
      <c r="G124" s="41"/>
      <c r="H124" s="41"/>
      <c r="I124" s="41"/>
      <c r="J124" s="41"/>
      <c r="K124" s="41"/>
      <c r="L124" s="41"/>
      <c r="V124" s="133"/>
    </row>
    <row r="125" spans="1:22" s="39" customFormat="1" x14ac:dyDescent="0.3">
      <c r="E125" s="41"/>
      <c r="F125" s="41"/>
      <c r="G125" s="41"/>
      <c r="H125" s="41"/>
      <c r="I125" s="41"/>
      <c r="J125" s="41"/>
      <c r="K125" s="41"/>
      <c r="L125" s="41"/>
      <c r="V125" s="133"/>
    </row>
    <row r="126" spans="1:22" s="39" customFormat="1" x14ac:dyDescent="0.3">
      <c r="E126" s="41"/>
      <c r="F126" s="41"/>
      <c r="G126" s="41"/>
      <c r="H126" s="41"/>
      <c r="I126" s="41"/>
      <c r="J126" s="41"/>
      <c r="K126" s="41"/>
      <c r="L126" s="41"/>
      <c r="V126" s="133"/>
    </row>
    <row r="127" spans="1:22" s="39" customFormat="1" x14ac:dyDescent="0.3">
      <c r="E127" s="41"/>
      <c r="F127" s="41"/>
      <c r="G127" s="41"/>
      <c r="H127" s="41"/>
      <c r="I127" s="41"/>
      <c r="J127" s="41"/>
      <c r="K127" s="41"/>
      <c r="L127" s="41"/>
      <c r="V127" s="133"/>
    </row>
    <row r="128" spans="1:22" s="39" customFormat="1" x14ac:dyDescent="0.3">
      <c r="E128" s="41"/>
      <c r="F128" s="41"/>
      <c r="G128" s="41"/>
      <c r="H128" s="41"/>
      <c r="I128" s="41"/>
      <c r="J128" s="41"/>
      <c r="K128" s="41"/>
      <c r="L128" s="41"/>
      <c r="N128" s="132"/>
      <c r="O128" s="133"/>
      <c r="P128" s="133"/>
      <c r="Q128" s="133"/>
      <c r="R128" s="133"/>
      <c r="S128" s="133"/>
      <c r="T128" s="133"/>
      <c r="U128" s="133"/>
      <c r="V128" s="133"/>
    </row>
    <row r="129" spans="5:12" s="39" customFormat="1" x14ac:dyDescent="0.3">
      <c r="E129" s="41"/>
      <c r="F129" s="41"/>
      <c r="G129" s="41"/>
      <c r="H129" s="41"/>
      <c r="I129" s="41"/>
      <c r="J129" s="41"/>
      <c r="K129" s="41"/>
      <c r="L129" s="41"/>
    </row>
    <row r="130" spans="5:12" s="39" customFormat="1" x14ac:dyDescent="0.3">
      <c r="E130" s="41"/>
      <c r="F130" s="41"/>
      <c r="G130" s="41"/>
      <c r="H130" s="41"/>
      <c r="I130" s="41"/>
      <c r="J130" s="41"/>
      <c r="K130" s="41"/>
      <c r="L130" s="41"/>
    </row>
    <row r="131" spans="5:12" s="39" customFormat="1" x14ac:dyDescent="0.3">
      <c r="E131" s="41"/>
      <c r="F131" s="41"/>
      <c r="G131" s="41"/>
      <c r="H131" s="41"/>
      <c r="I131" s="41"/>
      <c r="J131" s="41"/>
      <c r="K131" s="41"/>
      <c r="L131" s="41"/>
    </row>
    <row r="132" spans="5:12" s="39" customFormat="1" x14ac:dyDescent="0.3">
      <c r="E132" s="41"/>
      <c r="F132" s="41"/>
      <c r="G132" s="41"/>
      <c r="H132" s="41"/>
      <c r="I132" s="41"/>
      <c r="J132" s="41"/>
      <c r="K132" s="41"/>
      <c r="L132" s="41"/>
    </row>
    <row r="133" spans="5:12" s="39" customFormat="1" x14ac:dyDescent="0.3">
      <c r="E133" s="41"/>
      <c r="F133" s="41"/>
      <c r="G133" s="41"/>
      <c r="H133" s="41"/>
      <c r="I133" s="41"/>
      <c r="J133" s="41"/>
      <c r="K133" s="41"/>
      <c r="L133" s="41"/>
    </row>
    <row r="134" spans="5:12" s="39" customFormat="1" x14ac:dyDescent="0.3">
      <c r="E134" s="41"/>
      <c r="F134" s="41"/>
      <c r="G134" s="41"/>
      <c r="H134" s="41"/>
      <c r="I134" s="41"/>
      <c r="J134" s="41"/>
      <c r="K134" s="41"/>
      <c r="L134" s="41"/>
    </row>
    <row r="135" spans="5:12" s="39" customFormat="1" x14ac:dyDescent="0.3">
      <c r="E135" s="41"/>
      <c r="F135" s="41"/>
      <c r="G135" s="41"/>
      <c r="H135" s="41"/>
      <c r="I135" s="41"/>
      <c r="J135" s="41"/>
      <c r="K135" s="41"/>
      <c r="L135" s="41"/>
    </row>
    <row r="136" spans="5:12" s="39" customFormat="1" x14ac:dyDescent="0.3">
      <c r="E136" s="41"/>
      <c r="F136" s="41"/>
      <c r="G136" s="41"/>
      <c r="H136" s="41"/>
      <c r="I136" s="41"/>
      <c r="J136" s="41"/>
      <c r="K136" s="41"/>
      <c r="L136" s="41"/>
    </row>
    <row r="137" spans="5:12" s="39" customFormat="1" x14ac:dyDescent="0.3">
      <c r="E137" s="41"/>
      <c r="F137" s="41"/>
      <c r="G137" s="41"/>
      <c r="H137" s="41"/>
      <c r="I137" s="41"/>
      <c r="J137" s="41"/>
      <c r="K137" s="41"/>
      <c r="L137" s="41"/>
    </row>
    <row r="138" spans="5:12" s="39" customFormat="1" x14ac:dyDescent="0.3">
      <c r="E138" s="41"/>
      <c r="F138" s="41"/>
      <c r="G138" s="41"/>
      <c r="H138" s="41"/>
      <c r="I138" s="41"/>
      <c r="J138" s="41"/>
      <c r="K138" s="41"/>
      <c r="L138" s="41"/>
    </row>
    <row r="139" spans="5:12" s="39" customFormat="1" x14ac:dyDescent="0.3">
      <c r="E139" s="41"/>
      <c r="F139" s="41"/>
      <c r="G139" s="41"/>
      <c r="H139" s="41"/>
      <c r="I139" s="41"/>
      <c r="J139" s="41"/>
      <c r="K139" s="41"/>
      <c r="L139" s="41"/>
    </row>
    <row r="140" spans="5:12" s="39" customFormat="1" x14ac:dyDescent="0.3">
      <c r="E140" s="41"/>
      <c r="F140" s="41"/>
      <c r="G140" s="41"/>
      <c r="H140" s="41"/>
      <c r="I140" s="41"/>
      <c r="J140" s="41"/>
      <c r="K140" s="41"/>
      <c r="L140" s="41"/>
    </row>
    <row r="141" spans="5:12" s="39" customFormat="1" x14ac:dyDescent="0.3">
      <c r="E141" s="41"/>
      <c r="F141" s="41"/>
      <c r="G141" s="41"/>
      <c r="H141" s="41"/>
      <c r="I141" s="41"/>
      <c r="J141" s="41"/>
      <c r="K141" s="41"/>
      <c r="L141" s="41"/>
    </row>
    <row r="142" spans="5:12" s="39" customFormat="1" x14ac:dyDescent="0.3">
      <c r="E142" s="41"/>
      <c r="F142" s="41"/>
      <c r="G142" s="41"/>
      <c r="H142" s="41"/>
      <c r="I142" s="41"/>
      <c r="J142" s="41"/>
      <c r="K142" s="41"/>
      <c r="L142" s="41"/>
    </row>
    <row r="143" spans="5:12" s="39" customFormat="1" x14ac:dyDescent="0.3">
      <c r="E143" s="41"/>
      <c r="F143" s="41"/>
      <c r="G143" s="41"/>
      <c r="H143" s="41"/>
      <c r="I143" s="41"/>
      <c r="J143" s="41"/>
      <c r="K143" s="41"/>
      <c r="L143" s="41"/>
    </row>
    <row r="144" spans="5:12" s="39" customFormat="1" x14ac:dyDescent="0.3">
      <c r="E144" s="41"/>
      <c r="F144" s="41"/>
      <c r="G144" s="41"/>
      <c r="H144" s="41"/>
      <c r="I144" s="41"/>
      <c r="J144" s="41"/>
      <c r="K144" s="41"/>
      <c r="L144" s="41"/>
    </row>
    <row r="145" spans="5:12" s="39" customFormat="1" x14ac:dyDescent="0.3">
      <c r="E145" s="41"/>
      <c r="F145" s="41"/>
      <c r="G145" s="41"/>
      <c r="H145" s="41"/>
      <c r="I145" s="41"/>
      <c r="J145" s="41"/>
      <c r="K145" s="41"/>
      <c r="L145" s="41"/>
    </row>
    <row r="146" spans="5:12" s="39" customFormat="1" x14ac:dyDescent="0.3">
      <c r="E146" s="41"/>
      <c r="F146" s="41"/>
      <c r="G146" s="41"/>
      <c r="H146" s="41"/>
      <c r="I146" s="41"/>
      <c r="J146" s="41"/>
      <c r="K146" s="41"/>
      <c r="L146" s="41"/>
    </row>
    <row r="147" spans="5:12" s="39" customFormat="1" x14ac:dyDescent="0.3">
      <c r="E147" s="41"/>
      <c r="F147" s="41"/>
      <c r="G147" s="41"/>
      <c r="H147" s="41"/>
      <c r="I147" s="41"/>
      <c r="J147" s="41"/>
      <c r="K147" s="41"/>
      <c r="L147" s="41"/>
    </row>
    <row r="148" spans="5:12" s="39" customFormat="1" x14ac:dyDescent="0.3">
      <c r="E148" s="41"/>
      <c r="F148" s="41"/>
      <c r="G148" s="41"/>
      <c r="H148" s="41"/>
      <c r="I148" s="41"/>
      <c r="J148" s="41"/>
      <c r="K148" s="41"/>
      <c r="L148" s="41"/>
    </row>
    <row r="149" spans="5:12" s="39" customFormat="1" x14ac:dyDescent="0.3">
      <c r="E149" s="41"/>
      <c r="F149" s="41"/>
      <c r="G149" s="41"/>
      <c r="H149" s="41"/>
      <c r="I149" s="41"/>
      <c r="J149" s="41"/>
      <c r="K149" s="41"/>
      <c r="L149" s="41"/>
    </row>
    <row r="150" spans="5:12" s="39" customFormat="1" x14ac:dyDescent="0.3">
      <c r="E150" s="41"/>
      <c r="F150" s="41"/>
      <c r="G150" s="41"/>
      <c r="H150" s="41"/>
      <c r="I150" s="41"/>
      <c r="J150" s="41"/>
      <c r="K150" s="41"/>
      <c r="L150" s="41"/>
    </row>
    <row r="151" spans="5:12" s="39" customFormat="1" x14ac:dyDescent="0.3">
      <c r="E151" s="41"/>
      <c r="F151" s="41"/>
      <c r="G151" s="41"/>
      <c r="H151" s="41"/>
      <c r="I151" s="41"/>
      <c r="J151" s="41"/>
      <c r="K151" s="41"/>
      <c r="L151" s="41"/>
    </row>
    <row r="152" spans="5:12" s="39" customFormat="1" x14ac:dyDescent="0.3">
      <c r="E152" s="41"/>
      <c r="F152" s="41"/>
      <c r="G152" s="41"/>
      <c r="H152" s="41"/>
      <c r="I152" s="41"/>
      <c r="J152" s="41"/>
      <c r="K152" s="41"/>
      <c r="L152" s="41"/>
    </row>
    <row r="153" spans="5:12" s="39" customFormat="1" x14ac:dyDescent="0.3">
      <c r="E153" s="41"/>
      <c r="F153" s="41"/>
      <c r="G153" s="41"/>
      <c r="H153" s="41"/>
      <c r="I153" s="41"/>
      <c r="J153" s="41"/>
      <c r="K153" s="41"/>
      <c r="L153" s="41"/>
    </row>
    <row r="154" spans="5:12" s="39" customFormat="1" x14ac:dyDescent="0.3">
      <c r="E154" s="41"/>
      <c r="F154" s="41"/>
      <c r="G154" s="41"/>
      <c r="H154" s="41"/>
      <c r="I154" s="41"/>
      <c r="J154" s="41"/>
      <c r="K154" s="41"/>
      <c r="L154" s="41"/>
    </row>
    <row r="155" spans="5:12" s="39" customFormat="1" x14ac:dyDescent="0.3">
      <c r="E155" s="41"/>
      <c r="F155" s="41"/>
      <c r="G155" s="41"/>
      <c r="H155" s="41"/>
      <c r="I155" s="41"/>
      <c r="J155" s="41"/>
      <c r="K155" s="41"/>
      <c r="L155" s="41"/>
    </row>
    <row r="156" spans="5:12" s="39" customFormat="1" x14ac:dyDescent="0.3">
      <c r="E156" s="41"/>
      <c r="F156" s="41"/>
      <c r="G156" s="41"/>
      <c r="H156" s="41"/>
      <c r="I156" s="41"/>
      <c r="J156" s="41"/>
      <c r="K156" s="41"/>
      <c r="L156" s="41"/>
    </row>
    <row r="157" spans="5:12" s="39" customFormat="1" x14ac:dyDescent="0.3">
      <c r="E157" s="41"/>
      <c r="F157" s="41"/>
      <c r="G157" s="41"/>
      <c r="H157" s="41"/>
      <c r="I157" s="41"/>
      <c r="J157" s="41"/>
      <c r="K157" s="41"/>
      <c r="L157" s="41"/>
    </row>
    <row r="158" spans="5:12" s="39" customFormat="1" x14ac:dyDescent="0.3">
      <c r="E158" s="41"/>
      <c r="F158" s="41"/>
      <c r="G158" s="41"/>
      <c r="H158" s="41"/>
      <c r="I158" s="41"/>
      <c r="J158" s="41"/>
      <c r="K158" s="41"/>
      <c r="L158" s="41"/>
    </row>
    <row r="159" spans="5:12" s="39" customFormat="1" x14ac:dyDescent="0.3">
      <c r="E159" s="41"/>
      <c r="F159" s="41"/>
      <c r="G159" s="41"/>
      <c r="H159" s="41"/>
      <c r="I159" s="41"/>
      <c r="J159" s="41"/>
      <c r="K159" s="41"/>
      <c r="L159" s="41"/>
    </row>
    <row r="160" spans="5:12" s="39" customFormat="1" x14ac:dyDescent="0.3">
      <c r="E160" s="41"/>
      <c r="F160" s="41"/>
      <c r="G160" s="41"/>
      <c r="H160" s="41"/>
      <c r="I160" s="41"/>
      <c r="J160" s="41"/>
      <c r="K160" s="41"/>
      <c r="L160" s="41"/>
    </row>
    <row r="161" spans="5:12" s="39" customFormat="1" x14ac:dyDescent="0.3">
      <c r="E161" s="41"/>
      <c r="F161" s="41"/>
      <c r="G161" s="41"/>
      <c r="H161" s="41"/>
      <c r="I161" s="41"/>
      <c r="J161" s="41"/>
      <c r="K161" s="41"/>
      <c r="L161" s="41"/>
    </row>
    <row r="162" spans="5:12" s="39" customFormat="1" x14ac:dyDescent="0.3">
      <c r="E162" s="41"/>
      <c r="F162" s="41"/>
      <c r="G162" s="41"/>
      <c r="H162" s="41"/>
      <c r="I162" s="41"/>
      <c r="J162" s="41"/>
      <c r="K162" s="41"/>
      <c r="L162" s="41"/>
    </row>
    <row r="163" spans="5:12" s="39" customFormat="1" x14ac:dyDescent="0.3">
      <c r="E163" s="41"/>
      <c r="F163" s="41"/>
      <c r="G163" s="41"/>
      <c r="H163" s="41"/>
      <c r="I163" s="41"/>
      <c r="J163" s="41"/>
      <c r="K163" s="41"/>
      <c r="L163" s="41"/>
    </row>
    <row r="164" spans="5:12" s="39" customFormat="1" x14ac:dyDescent="0.3">
      <c r="E164" s="41"/>
      <c r="F164" s="41"/>
      <c r="G164" s="41"/>
      <c r="H164" s="41"/>
      <c r="I164" s="41"/>
      <c r="J164" s="41"/>
      <c r="K164" s="41"/>
      <c r="L164" s="41"/>
    </row>
    <row r="165" spans="5:12" s="39" customFormat="1" x14ac:dyDescent="0.3">
      <c r="E165" s="41"/>
      <c r="F165" s="41"/>
      <c r="G165" s="41"/>
      <c r="H165" s="41"/>
      <c r="I165" s="41"/>
      <c r="J165" s="41"/>
      <c r="K165" s="41"/>
      <c r="L165" s="41"/>
    </row>
    <row r="166" spans="5:12" s="39" customFormat="1" x14ac:dyDescent="0.3">
      <c r="E166" s="41"/>
      <c r="F166" s="41"/>
      <c r="G166" s="41"/>
      <c r="H166" s="41"/>
      <c r="I166" s="41"/>
      <c r="J166" s="41"/>
      <c r="K166" s="41"/>
      <c r="L166" s="41"/>
    </row>
    <row r="167" spans="5:12" s="39" customFormat="1" x14ac:dyDescent="0.3">
      <c r="E167" s="41"/>
      <c r="F167" s="41"/>
      <c r="G167" s="41"/>
      <c r="H167" s="41"/>
      <c r="I167" s="41"/>
      <c r="J167" s="41"/>
      <c r="K167" s="41"/>
      <c r="L167" s="41"/>
    </row>
    <row r="168" spans="5:12" s="39" customFormat="1" x14ac:dyDescent="0.3">
      <c r="E168" s="41"/>
      <c r="F168" s="41"/>
      <c r="G168" s="41"/>
      <c r="H168" s="41"/>
      <c r="I168" s="41"/>
      <c r="J168" s="41"/>
      <c r="K168" s="41"/>
      <c r="L168" s="41"/>
    </row>
    <row r="169" spans="5:12" s="39" customFormat="1" x14ac:dyDescent="0.3">
      <c r="E169" s="41"/>
      <c r="F169" s="41"/>
      <c r="G169" s="41"/>
      <c r="H169" s="41"/>
      <c r="I169" s="41"/>
      <c r="J169" s="41"/>
      <c r="K169" s="41"/>
      <c r="L169" s="41"/>
    </row>
    <row r="170" spans="5:12" s="39" customFormat="1" x14ac:dyDescent="0.3">
      <c r="E170" s="41"/>
      <c r="F170" s="41"/>
      <c r="G170" s="41"/>
      <c r="H170" s="41"/>
      <c r="I170" s="41"/>
      <c r="J170" s="41"/>
      <c r="K170" s="41"/>
      <c r="L170" s="41"/>
    </row>
    <row r="171" spans="5:12" s="39" customFormat="1" x14ac:dyDescent="0.3">
      <c r="E171" s="41"/>
      <c r="F171" s="41"/>
      <c r="G171" s="41"/>
      <c r="H171" s="41"/>
      <c r="I171" s="41"/>
      <c r="J171" s="41"/>
      <c r="K171" s="41"/>
      <c r="L171" s="41"/>
    </row>
    <row r="172" spans="5:12" s="39" customFormat="1" x14ac:dyDescent="0.3">
      <c r="E172" s="41"/>
      <c r="F172" s="41"/>
      <c r="G172" s="41"/>
      <c r="H172" s="41"/>
      <c r="I172" s="41"/>
      <c r="J172" s="41"/>
      <c r="K172" s="41"/>
      <c r="L172" s="41"/>
    </row>
    <row r="173" spans="5:12" s="39" customFormat="1" x14ac:dyDescent="0.3">
      <c r="E173" s="41"/>
      <c r="F173" s="41"/>
      <c r="G173" s="41"/>
      <c r="H173" s="41"/>
      <c r="I173" s="41"/>
      <c r="J173" s="41"/>
      <c r="K173" s="41"/>
      <c r="L173" s="41"/>
    </row>
    <row r="174" spans="5:12" s="39" customFormat="1" x14ac:dyDescent="0.3">
      <c r="E174" s="41"/>
      <c r="F174" s="41"/>
      <c r="G174" s="41"/>
      <c r="H174" s="41"/>
      <c r="I174" s="41"/>
      <c r="J174" s="41"/>
      <c r="K174" s="41"/>
      <c r="L174" s="41"/>
    </row>
    <row r="175" spans="5:12" s="39" customFormat="1" x14ac:dyDescent="0.3">
      <c r="E175" s="41"/>
      <c r="F175" s="41"/>
      <c r="G175" s="41"/>
      <c r="H175" s="41"/>
      <c r="I175" s="41"/>
      <c r="J175" s="41"/>
      <c r="K175" s="41"/>
      <c r="L175" s="41"/>
    </row>
    <row r="176" spans="5:12" s="39" customFormat="1" x14ac:dyDescent="0.3">
      <c r="E176" s="41"/>
      <c r="F176" s="41"/>
      <c r="G176" s="41"/>
      <c r="H176" s="41"/>
      <c r="I176" s="41"/>
      <c r="J176" s="41"/>
      <c r="K176" s="41"/>
      <c r="L176" s="41"/>
    </row>
    <row r="177" spans="5:12" s="39" customFormat="1" x14ac:dyDescent="0.3">
      <c r="E177" s="41"/>
      <c r="F177" s="41"/>
      <c r="G177" s="41"/>
      <c r="H177" s="41"/>
      <c r="I177" s="41"/>
      <c r="J177" s="41"/>
      <c r="K177" s="41"/>
      <c r="L177" s="41"/>
    </row>
    <row r="178" spans="5:12" s="39" customFormat="1" x14ac:dyDescent="0.3">
      <c r="E178" s="41"/>
      <c r="F178" s="41"/>
      <c r="G178" s="41"/>
      <c r="H178" s="41"/>
      <c r="I178" s="41"/>
      <c r="J178" s="41"/>
      <c r="K178" s="41"/>
      <c r="L178" s="41"/>
    </row>
    <row r="179" spans="5:12" s="39" customFormat="1" x14ac:dyDescent="0.3">
      <c r="E179" s="41"/>
      <c r="F179" s="41"/>
      <c r="G179" s="41"/>
      <c r="H179" s="41"/>
      <c r="I179" s="41"/>
      <c r="J179" s="41"/>
      <c r="K179" s="41"/>
      <c r="L179" s="41"/>
    </row>
    <row r="180" spans="5:12" s="39" customFormat="1" x14ac:dyDescent="0.3">
      <c r="E180" s="41"/>
      <c r="F180" s="41"/>
      <c r="G180" s="41"/>
      <c r="H180" s="41"/>
      <c r="I180" s="41"/>
      <c r="J180" s="41"/>
      <c r="K180" s="41"/>
      <c r="L180" s="41"/>
    </row>
    <row r="181" spans="5:12" s="39" customFormat="1" x14ac:dyDescent="0.3">
      <c r="E181" s="41"/>
      <c r="F181" s="41"/>
      <c r="G181" s="41"/>
      <c r="H181" s="41"/>
      <c r="I181" s="41"/>
      <c r="J181" s="41"/>
      <c r="K181" s="41"/>
      <c r="L181" s="41"/>
    </row>
    <row r="182" spans="5:12" s="39" customFormat="1" x14ac:dyDescent="0.3">
      <c r="E182" s="41"/>
      <c r="F182" s="41"/>
      <c r="G182" s="41"/>
      <c r="H182" s="41"/>
      <c r="I182" s="41"/>
      <c r="J182" s="41"/>
      <c r="K182" s="41"/>
      <c r="L182" s="41"/>
    </row>
    <row r="183" spans="5:12" s="39" customFormat="1" x14ac:dyDescent="0.3">
      <c r="E183" s="41"/>
      <c r="F183" s="41"/>
      <c r="G183" s="41"/>
      <c r="H183" s="41"/>
      <c r="I183" s="41"/>
      <c r="J183" s="41"/>
      <c r="K183" s="41"/>
      <c r="L183" s="41"/>
    </row>
    <row r="184" spans="5:12" s="39" customFormat="1" x14ac:dyDescent="0.3">
      <c r="E184" s="41"/>
      <c r="F184" s="41"/>
      <c r="G184" s="41"/>
      <c r="H184" s="41"/>
      <c r="I184" s="41"/>
      <c r="J184" s="41"/>
      <c r="K184" s="41"/>
      <c r="L184" s="41"/>
    </row>
    <row r="185" spans="5:12" s="39" customFormat="1" x14ac:dyDescent="0.3">
      <c r="E185" s="41"/>
      <c r="F185" s="41"/>
      <c r="G185" s="41"/>
      <c r="H185" s="41"/>
      <c r="I185" s="41"/>
      <c r="J185" s="41"/>
      <c r="K185" s="41"/>
      <c r="L185" s="41"/>
    </row>
    <row r="186" spans="5:12" s="39" customFormat="1" x14ac:dyDescent="0.3">
      <c r="E186" s="41"/>
      <c r="F186" s="41"/>
      <c r="G186" s="41"/>
      <c r="H186" s="41"/>
      <c r="I186" s="41"/>
      <c r="J186" s="41"/>
      <c r="K186" s="41"/>
      <c r="L186" s="41"/>
    </row>
    <row r="187" spans="5:12" s="39" customFormat="1" x14ac:dyDescent="0.3">
      <c r="E187" s="41"/>
      <c r="F187" s="41"/>
      <c r="G187" s="41"/>
      <c r="H187" s="41"/>
      <c r="I187" s="41"/>
      <c r="J187" s="41"/>
      <c r="K187" s="41"/>
      <c r="L187" s="41"/>
    </row>
    <row r="188" spans="5:12" s="39" customFormat="1" x14ac:dyDescent="0.3">
      <c r="E188" s="41"/>
      <c r="F188" s="41"/>
      <c r="G188" s="41"/>
      <c r="H188" s="41"/>
      <c r="I188" s="41"/>
      <c r="J188" s="41"/>
      <c r="K188" s="41"/>
      <c r="L188" s="41"/>
    </row>
    <row r="189" spans="5:12" s="39" customFormat="1" x14ac:dyDescent="0.3">
      <c r="E189" s="41"/>
      <c r="F189" s="41"/>
      <c r="G189" s="41"/>
      <c r="H189" s="41"/>
      <c r="I189" s="41"/>
      <c r="J189" s="41"/>
      <c r="K189" s="41"/>
      <c r="L189" s="41"/>
    </row>
    <row r="190" spans="5:12" s="39" customFormat="1" x14ac:dyDescent="0.3">
      <c r="E190" s="41"/>
      <c r="F190" s="41"/>
      <c r="G190" s="41"/>
      <c r="H190" s="41"/>
      <c r="I190" s="41"/>
      <c r="J190" s="41"/>
      <c r="K190" s="41"/>
      <c r="L190" s="41"/>
    </row>
    <row r="191" spans="5:12" s="39" customFormat="1" x14ac:dyDescent="0.3">
      <c r="E191" s="41"/>
      <c r="F191" s="41"/>
      <c r="G191" s="41"/>
      <c r="H191" s="41"/>
      <c r="I191" s="41"/>
      <c r="J191" s="41"/>
      <c r="K191" s="41"/>
      <c r="L191" s="41"/>
    </row>
    <row r="192" spans="5:12" s="39" customFormat="1" x14ac:dyDescent="0.3">
      <c r="E192" s="41"/>
      <c r="F192" s="41"/>
      <c r="G192" s="41"/>
      <c r="H192" s="41"/>
      <c r="I192" s="41"/>
      <c r="J192" s="41"/>
      <c r="K192" s="41"/>
      <c r="L192" s="41"/>
    </row>
    <row r="193" spans="5:12" s="39" customFormat="1" x14ac:dyDescent="0.3">
      <c r="E193" s="41"/>
      <c r="F193" s="41"/>
      <c r="G193" s="41"/>
      <c r="H193" s="41"/>
      <c r="I193" s="41"/>
      <c r="J193" s="41"/>
      <c r="K193" s="41"/>
      <c r="L193" s="41"/>
    </row>
    <row r="194" spans="5:12" s="39" customFormat="1" x14ac:dyDescent="0.3">
      <c r="E194" s="41"/>
      <c r="F194" s="41"/>
      <c r="G194" s="41"/>
      <c r="H194" s="41"/>
      <c r="I194" s="41"/>
      <c r="J194" s="41"/>
      <c r="K194" s="41"/>
      <c r="L194" s="41"/>
    </row>
    <row r="195" spans="5:12" s="39" customFormat="1" x14ac:dyDescent="0.3">
      <c r="E195" s="41"/>
      <c r="F195" s="41"/>
      <c r="G195" s="41"/>
      <c r="H195" s="41"/>
      <c r="I195" s="41"/>
      <c r="J195" s="41"/>
      <c r="K195" s="41"/>
      <c r="L195" s="41"/>
    </row>
    <row r="196" spans="5:12" s="39" customFormat="1" x14ac:dyDescent="0.3">
      <c r="E196" s="41"/>
      <c r="F196" s="41"/>
      <c r="G196" s="41"/>
      <c r="H196" s="41"/>
      <c r="I196" s="41"/>
      <c r="J196" s="41"/>
      <c r="K196" s="41"/>
      <c r="L196" s="41"/>
    </row>
    <row r="197" spans="5:12" s="39" customFormat="1" x14ac:dyDescent="0.3">
      <c r="E197" s="41"/>
      <c r="F197" s="41"/>
      <c r="G197" s="41"/>
      <c r="H197" s="41"/>
      <c r="I197" s="41"/>
      <c r="J197" s="41"/>
      <c r="K197" s="41"/>
      <c r="L197" s="41"/>
    </row>
    <row r="198" spans="5:12" s="39" customFormat="1" x14ac:dyDescent="0.3">
      <c r="E198" s="41"/>
      <c r="F198" s="41"/>
      <c r="G198" s="41"/>
      <c r="H198" s="41"/>
      <c r="I198" s="41"/>
      <c r="J198" s="41"/>
      <c r="K198" s="41"/>
      <c r="L198" s="41"/>
    </row>
    <row r="199" spans="5:12" s="39" customFormat="1" x14ac:dyDescent="0.3">
      <c r="E199" s="41"/>
      <c r="F199" s="41"/>
      <c r="G199" s="41"/>
      <c r="H199" s="41"/>
      <c r="I199" s="41"/>
      <c r="J199" s="41"/>
      <c r="K199" s="41"/>
      <c r="L199" s="41"/>
    </row>
    <row r="200" spans="5:12" s="39" customFormat="1" x14ac:dyDescent="0.3">
      <c r="E200" s="41"/>
      <c r="F200" s="41"/>
      <c r="G200" s="41"/>
      <c r="H200" s="41"/>
      <c r="I200" s="41"/>
      <c r="J200" s="41"/>
      <c r="K200" s="41"/>
      <c r="L200" s="41"/>
    </row>
    <row r="201" spans="5:12" s="39" customFormat="1" x14ac:dyDescent="0.3">
      <c r="E201" s="41"/>
      <c r="F201" s="41"/>
      <c r="G201" s="41"/>
      <c r="H201" s="41"/>
      <c r="I201" s="41"/>
      <c r="J201" s="41"/>
      <c r="K201" s="41"/>
      <c r="L201" s="41"/>
    </row>
    <row r="202" spans="5:12" s="39" customFormat="1" x14ac:dyDescent="0.3">
      <c r="E202" s="41"/>
      <c r="F202" s="41"/>
      <c r="G202" s="41"/>
      <c r="H202" s="41"/>
      <c r="I202" s="41"/>
      <c r="J202" s="41"/>
      <c r="K202" s="41"/>
      <c r="L202" s="41"/>
    </row>
    <row r="203" spans="5:12" s="39" customFormat="1" x14ac:dyDescent="0.3">
      <c r="E203" s="41"/>
      <c r="F203" s="41"/>
      <c r="G203" s="41"/>
      <c r="H203" s="41"/>
      <c r="I203" s="41"/>
      <c r="J203" s="41"/>
      <c r="K203" s="41"/>
      <c r="L203" s="41"/>
    </row>
    <row r="204" spans="5:12" s="39" customFormat="1" x14ac:dyDescent="0.3">
      <c r="E204" s="41"/>
      <c r="F204" s="41"/>
      <c r="G204" s="41"/>
      <c r="H204" s="41"/>
      <c r="I204" s="41"/>
      <c r="J204" s="41"/>
      <c r="K204" s="41"/>
      <c r="L204" s="41"/>
    </row>
    <row r="205" spans="5:12" s="39" customFormat="1" x14ac:dyDescent="0.3">
      <c r="E205" s="41"/>
      <c r="F205" s="41"/>
      <c r="G205" s="41"/>
      <c r="H205" s="41"/>
      <c r="I205" s="41"/>
      <c r="J205" s="41"/>
      <c r="K205" s="41"/>
      <c r="L205" s="41"/>
    </row>
    <row r="206" spans="5:12" s="39" customFormat="1" x14ac:dyDescent="0.3">
      <c r="E206" s="41"/>
      <c r="F206" s="41"/>
      <c r="G206" s="41"/>
      <c r="H206" s="41"/>
      <c r="I206" s="41"/>
      <c r="J206" s="41"/>
      <c r="K206" s="41"/>
      <c r="L206" s="41"/>
    </row>
    <row r="207" spans="5:12" s="39" customFormat="1" x14ac:dyDescent="0.3">
      <c r="E207" s="41"/>
      <c r="F207" s="41"/>
      <c r="G207" s="41"/>
      <c r="H207" s="41"/>
      <c r="I207" s="41"/>
      <c r="J207" s="41"/>
      <c r="K207" s="41"/>
      <c r="L207" s="41"/>
    </row>
    <row r="208" spans="5:12" s="39" customFormat="1" x14ac:dyDescent="0.3">
      <c r="E208" s="41"/>
      <c r="F208" s="41"/>
      <c r="G208" s="41"/>
      <c r="H208" s="41"/>
      <c r="I208" s="41"/>
      <c r="J208" s="41"/>
      <c r="K208" s="41"/>
      <c r="L208" s="41"/>
    </row>
    <row r="209" spans="5:12" s="39" customFormat="1" x14ac:dyDescent="0.3">
      <c r="E209" s="41"/>
      <c r="F209" s="41"/>
      <c r="G209" s="41"/>
      <c r="H209" s="41"/>
      <c r="I209" s="41"/>
      <c r="J209" s="41"/>
      <c r="K209" s="41"/>
      <c r="L209" s="41"/>
    </row>
    <row r="210" spans="5:12" s="39" customFormat="1" x14ac:dyDescent="0.3">
      <c r="E210" s="41"/>
      <c r="F210" s="41"/>
      <c r="G210" s="41"/>
      <c r="H210" s="41"/>
      <c r="I210" s="41"/>
      <c r="J210" s="41"/>
      <c r="K210" s="41"/>
      <c r="L210" s="41"/>
    </row>
    <row r="211" spans="5:12" s="39" customFormat="1" x14ac:dyDescent="0.3">
      <c r="E211" s="41"/>
      <c r="F211" s="41"/>
      <c r="G211" s="41"/>
      <c r="H211" s="41"/>
      <c r="I211" s="41"/>
      <c r="J211" s="41"/>
      <c r="K211" s="41"/>
      <c r="L211" s="41"/>
    </row>
    <row r="212" spans="5:12" s="39" customFormat="1" x14ac:dyDescent="0.3">
      <c r="E212" s="41"/>
      <c r="F212" s="41"/>
      <c r="G212" s="41"/>
      <c r="H212" s="41"/>
      <c r="I212" s="41"/>
      <c r="J212" s="41"/>
      <c r="K212" s="41"/>
      <c r="L212" s="41"/>
    </row>
    <row r="213" spans="5:12" s="39" customFormat="1" x14ac:dyDescent="0.3">
      <c r="E213" s="41"/>
      <c r="F213" s="41"/>
      <c r="G213" s="41"/>
      <c r="H213" s="41"/>
      <c r="I213" s="41"/>
      <c r="J213" s="41"/>
      <c r="K213" s="41"/>
      <c r="L213" s="41"/>
    </row>
    <row r="214" spans="5:12" s="39" customFormat="1" x14ac:dyDescent="0.3">
      <c r="E214" s="41"/>
      <c r="F214" s="41"/>
      <c r="G214" s="41"/>
      <c r="H214" s="41"/>
      <c r="I214" s="41"/>
      <c r="J214" s="41"/>
      <c r="K214" s="41"/>
      <c r="L214" s="41"/>
    </row>
    <row r="215" spans="5:12" s="39" customFormat="1" x14ac:dyDescent="0.3">
      <c r="E215" s="41"/>
      <c r="F215" s="41"/>
      <c r="G215" s="41"/>
      <c r="H215" s="41"/>
      <c r="I215" s="41"/>
      <c r="J215" s="41"/>
      <c r="K215" s="41"/>
      <c r="L215" s="41"/>
    </row>
    <row r="216" spans="5:12" s="39" customFormat="1" x14ac:dyDescent="0.3">
      <c r="E216" s="41"/>
      <c r="F216" s="41"/>
      <c r="G216" s="41"/>
      <c r="H216" s="41"/>
      <c r="I216" s="41"/>
      <c r="J216" s="41"/>
      <c r="K216" s="41"/>
      <c r="L216" s="41"/>
    </row>
    <row r="217" spans="5:12" s="39" customFormat="1" x14ac:dyDescent="0.3">
      <c r="E217" s="41"/>
      <c r="F217" s="41"/>
      <c r="G217" s="41"/>
      <c r="H217" s="41"/>
      <c r="I217" s="41"/>
      <c r="J217" s="41"/>
      <c r="K217" s="41"/>
      <c r="L217" s="41"/>
    </row>
    <row r="218" spans="5:12" s="39" customFormat="1" x14ac:dyDescent="0.3">
      <c r="E218" s="41"/>
      <c r="F218" s="41"/>
      <c r="G218" s="41"/>
      <c r="H218" s="41"/>
      <c r="I218" s="41"/>
      <c r="J218" s="41"/>
      <c r="K218" s="41"/>
      <c r="L218" s="41"/>
    </row>
    <row r="219" spans="5:12" s="39" customFormat="1" x14ac:dyDescent="0.3">
      <c r="E219" s="41"/>
      <c r="F219" s="41"/>
      <c r="G219" s="41"/>
      <c r="H219" s="41"/>
      <c r="I219" s="41"/>
      <c r="J219" s="41"/>
      <c r="K219" s="41"/>
      <c r="L219" s="41"/>
    </row>
    <row r="220" spans="5:12" s="39" customFormat="1" x14ac:dyDescent="0.3">
      <c r="E220" s="41"/>
      <c r="F220" s="41"/>
      <c r="G220" s="41"/>
      <c r="H220" s="41"/>
      <c r="I220" s="41"/>
      <c r="J220" s="41"/>
      <c r="K220" s="41"/>
      <c r="L220" s="41"/>
    </row>
    <row r="221" spans="5:12" s="39" customFormat="1" x14ac:dyDescent="0.3">
      <c r="E221" s="41"/>
      <c r="F221" s="41"/>
      <c r="G221" s="41"/>
      <c r="H221" s="41"/>
      <c r="I221" s="41"/>
      <c r="J221" s="41"/>
      <c r="K221" s="41"/>
      <c r="L221" s="41"/>
    </row>
    <row r="222" spans="5:12" s="39" customFormat="1" x14ac:dyDescent="0.3">
      <c r="E222" s="41"/>
      <c r="F222" s="41"/>
      <c r="G222" s="41"/>
      <c r="H222" s="41"/>
      <c r="I222" s="41"/>
      <c r="J222" s="41"/>
      <c r="K222" s="41"/>
      <c r="L222" s="41"/>
    </row>
    <row r="223" spans="5:12" s="39" customFormat="1" x14ac:dyDescent="0.3">
      <c r="E223" s="41"/>
      <c r="F223" s="41"/>
      <c r="G223" s="41"/>
      <c r="H223" s="41"/>
      <c r="I223" s="41"/>
      <c r="J223" s="41"/>
      <c r="K223" s="41"/>
      <c r="L223" s="41"/>
    </row>
    <row r="224" spans="5:12" s="39" customFormat="1" x14ac:dyDescent="0.3">
      <c r="E224" s="41"/>
      <c r="F224" s="41"/>
      <c r="G224" s="41"/>
      <c r="H224" s="41"/>
      <c r="I224" s="41"/>
      <c r="J224" s="41"/>
      <c r="K224" s="41"/>
      <c r="L224" s="41"/>
    </row>
    <row r="225" spans="5:12" s="39" customFormat="1" x14ac:dyDescent="0.3">
      <c r="E225" s="41"/>
      <c r="F225" s="41"/>
      <c r="G225" s="41"/>
      <c r="H225" s="41"/>
      <c r="I225" s="41"/>
      <c r="J225" s="41"/>
      <c r="K225" s="41"/>
      <c r="L225" s="41"/>
    </row>
    <row r="226" spans="5:12" s="39" customFormat="1" x14ac:dyDescent="0.3">
      <c r="E226" s="41"/>
      <c r="F226" s="41"/>
      <c r="G226" s="41"/>
      <c r="H226" s="41"/>
      <c r="I226" s="41"/>
      <c r="J226" s="41"/>
      <c r="K226" s="41"/>
      <c r="L226" s="41"/>
    </row>
    <row r="227" spans="5:12" s="39" customFormat="1" x14ac:dyDescent="0.3">
      <c r="E227" s="41"/>
      <c r="F227" s="41"/>
      <c r="G227" s="41"/>
      <c r="H227" s="41"/>
      <c r="I227" s="41"/>
      <c r="J227" s="41"/>
      <c r="K227" s="41"/>
      <c r="L227" s="41"/>
    </row>
    <row r="228" spans="5:12" s="39" customFormat="1" x14ac:dyDescent="0.3">
      <c r="E228" s="41"/>
      <c r="F228" s="41"/>
      <c r="G228" s="41"/>
      <c r="H228" s="41"/>
      <c r="I228" s="41"/>
      <c r="J228" s="41"/>
      <c r="K228" s="41"/>
      <c r="L228" s="41"/>
    </row>
    <row r="229" spans="5:12" s="39" customFormat="1" x14ac:dyDescent="0.3">
      <c r="E229" s="41"/>
      <c r="F229" s="41"/>
      <c r="G229" s="41"/>
      <c r="H229" s="41"/>
      <c r="I229" s="41"/>
      <c r="J229" s="41"/>
      <c r="K229" s="41"/>
      <c r="L229" s="41"/>
    </row>
    <row r="230" spans="5:12" s="39" customFormat="1" x14ac:dyDescent="0.3">
      <c r="E230" s="41"/>
      <c r="F230" s="41"/>
      <c r="G230" s="41"/>
      <c r="H230" s="41"/>
      <c r="I230" s="41"/>
      <c r="J230" s="41"/>
      <c r="K230" s="41"/>
      <c r="L230" s="41"/>
    </row>
    <row r="231" spans="5:12" s="39" customFormat="1" x14ac:dyDescent="0.3">
      <c r="E231" s="41"/>
      <c r="F231" s="41"/>
      <c r="G231" s="41"/>
      <c r="H231" s="41"/>
      <c r="I231" s="41"/>
      <c r="J231" s="41"/>
      <c r="K231" s="41"/>
      <c r="L231" s="41"/>
    </row>
    <row r="232" spans="5:12" s="39" customFormat="1" x14ac:dyDescent="0.3">
      <c r="E232" s="41"/>
      <c r="F232" s="41"/>
      <c r="G232" s="41"/>
      <c r="H232" s="41"/>
      <c r="I232" s="41"/>
      <c r="J232" s="41"/>
      <c r="K232" s="41"/>
      <c r="L232" s="41"/>
    </row>
    <row r="233" spans="5:12" s="39" customFormat="1" x14ac:dyDescent="0.3">
      <c r="E233" s="41"/>
      <c r="F233" s="41"/>
      <c r="G233" s="41"/>
      <c r="H233" s="41"/>
      <c r="I233" s="41"/>
      <c r="J233" s="41"/>
      <c r="K233" s="41"/>
      <c r="L233" s="41"/>
    </row>
    <row r="234" spans="5:12" s="39" customFormat="1" x14ac:dyDescent="0.3">
      <c r="E234" s="41"/>
      <c r="F234" s="41"/>
      <c r="G234" s="41"/>
      <c r="H234" s="41"/>
      <c r="I234" s="41"/>
      <c r="J234" s="41"/>
      <c r="K234" s="41"/>
      <c r="L234" s="41"/>
    </row>
    <row r="235" spans="5:12" s="39" customFormat="1" x14ac:dyDescent="0.3">
      <c r="E235" s="41"/>
      <c r="F235" s="41"/>
      <c r="G235" s="41"/>
      <c r="H235" s="41"/>
      <c r="I235" s="41"/>
      <c r="J235" s="41"/>
      <c r="K235" s="41"/>
      <c r="L235" s="41"/>
    </row>
    <row r="236" spans="5:12" s="39" customFormat="1" x14ac:dyDescent="0.3">
      <c r="E236" s="41"/>
      <c r="F236" s="41"/>
      <c r="G236" s="41"/>
      <c r="H236" s="41"/>
      <c r="I236" s="41"/>
      <c r="J236" s="41"/>
      <c r="K236" s="41"/>
      <c r="L236" s="41"/>
    </row>
    <row r="237" spans="5:12" s="39" customFormat="1" x14ac:dyDescent="0.3">
      <c r="E237" s="41"/>
      <c r="F237" s="41"/>
      <c r="G237" s="41"/>
      <c r="H237" s="41"/>
      <c r="I237" s="41"/>
      <c r="J237" s="41"/>
      <c r="K237" s="41"/>
      <c r="L237" s="41"/>
    </row>
    <row r="238" spans="5:12" s="39" customFormat="1" x14ac:dyDescent="0.3">
      <c r="E238" s="41"/>
      <c r="F238" s="41"/>
      <c r="G238" s="41"/>
      <c r="H238" s="41"/>
      <c r="I238" s="41"/>
      <c r="J238" s="41"/>
      <c r="K238" s="41"/>
      <c r="L238" s="41"/>
    </row>
    <row r="239" spans="5:12" s="39" customFormat="1" x14ac:dyDescent="0.3">
      <c r="E239" s="41"/>
      <c r="F239" s="41"/>
      <c r="G239" s="41"/>
      <c r="H239" s="41"/>
      <c r="I239" s="41"/>
      <c r="J239" s="41"/>
      <c r="K239" s="41"/>
      <c r="L239" s="41"/>
    </row>
    <row r="240" spans="5:12" s="39" customFormat="1" x14ac:dyDescent="0.3">
      <c r="E240" s="41"/>
      <c r="F240" s="41"/>
      <c r="G240" s="41"/>
      <c r="H240" s="41"/>
      <c r="I240" s="41"/>
      <c r="J240" s="41"/>
      <c r="K240" s="41"/>
      <c r="L240" s="41"/>
    </row>
    <row r="241" spans="5:12" s="39" customFormat="1" x14ac:dyDescent="0.3">
      <c r="E241" s="41"/>
      <c r="F241" s="41"/>
      <c r="G241" s="41"/>
      <c r="H241" s="41"/>
      <c r="I241" s="41"/>
      <c r="J241" s="41"/>
      <c r="K241" s="41"/>
      <c r="L241" s="41"/>
    </row>
    <row r="242" spans="5:12" s="39" customFormat="1" x14ac:dyDescent="0.3">
      <c r="E242" s="41"/>
      <c r="F242" s="41"/>
      <c r="G242" s="41"/>
      <c r="H242" s="41"/>
      <c r="I242" s="41"/>
      <c r="J242" s="41"/>
      <c r="K242" s="41"/>
      <c r="L242" s="41"/>
    </row>
    <row r="243" spans="5:12" s="39" customFormat="1" x14ac:dyDescent="0.3">
      <c r="E243" s="41"/>
      <c r="F243" s="41"/>
      <c r="G243" s="41"/>
      <c r="H243" s="41"/>
      <c r="I243" s="41"/>
      <c r="J243" s="41"/>
      <c r="K243" s="41"/>
      <c r="L243" s="41"/>
    </row>
    <row r="244" spans="5:12" s="39" customFormat="1" x14ac:dyDescent="0.3">
      <c r="E244" s="41"/>
      <c r="F244" s="41"/>
      <c r="G244" s="41"/>
      <c r="H244" s="41"/>
      <c r="I244" s="41"/>
      <c r="J244" s="41"/>
      <c r="K244" s="41"/>
      <c r="L244" s="41"/>
    </row>
    <row r="245" spans="5:12" s="39" customFormat="1" x14ac:dyDescent="0.3">
      <c r="E245" s="41"/>
      <c r="F245" s="41"/>
      <c r="G245" s="41"/>
      <c r="H245" s="41"/>
      <c r="I245" s="41"/>
      <c r="J245" s="41"/>
      <c r="K245" s="41"/>
      <c r="L245" s="41"/>
    </row>
    <row r="246" spans="5:12" s="39" customFormat="1" x14ac:dyDescent="0.3">
      <c r="E246" s="41"/>
      <c r="F246" s="41"/>
      <c r="G246" s="41"/>
      <c r="H246" s="41"/>
      <c r="I246" s="41"/>
      <c r="J246" s="41"/>
      <c r="K246" s="41"/>
      <c r="L246" s="41"/>
    </row>
    <row r="247" spans="5:12" s="39" customFormat="1" x14ac:dyDescent="0.3">
      <c r="E247" s="41"/>
      <c r="F247" s="41"/>
      <c r="G247" s="41"/>
      <c r="H247" s="41"/>
      <c r="I247" s="41"/>
      <c r="J247" s="41"/>
      <c r="K247" s="41"/>
      <c r="L247" s="41"/>
    </row>
    <row r="248" spans="5:12" s="39" customFormat="1" x14ac:dyDescent="0.3">
      <c r="E248" s="41"/>
      <c r="F248" s="41"/>
      <c r="G248" s="41"/>
      <c r="H248" s="41"/>
      <c r="I248" s="41"/>
      <c r="J248" s="41"/>
      <c r="K248" s="41"/>
      <c r="L248" s="41"/>
    </row>
    <row r="249" spans="5:12" s="39" customFormat="1" x14ac:dyDescent="0.3">
      <c r="E249" s="41"/>
      <c r="F249" s="41"/>
      <c r="G249" s="41"/>
      <c r="H249" s="41"/>
      <c r="I249" s="41"/>
      <c r="J249" s="41"/>
      <c r="K249" s="41"/>
      <c r="L249" s="41"/>
    </row>
    <row r="250" spans="5:12" s="39" customFormat="1" x14ac:dyDescent="0.3">
      <c r="E250" s="41"/>
      <c r="F250" s="41"/>
      <c r="G250" s="41"/>
      <c r="H250" s="41"/>
      <c r="I250" s="41"/>
      <c r="J250" s="41"/>
      <c r="K250" s="41"/>
      <c r="L250" s="41"/>
    </row>
    <row r="251" spans="5:12" s="39" customFormat="1" x14ac:dyDescent="0.3">
      <c r="E251" s="41"/>
      <c r="F251" s="41"/>
      <c r="G251" s="41"/>
      <c r="H251" s="41"/>
      <c r="I251" s="41"/>
      <c r="J251" s="41"/>
      <c r="K251" s="41"/>
      <c r="L251" s="41"/>
    </row>
    <row r="252" spans="5:12" s="39" customFormat="1" x14ac:dyDescent="0.3">
      <c r="E252" s="41"/>
      <c r="F252" s="41"/>
      <c r="G252" s="41"/>
      <c r="H252" s="41"/>
      <c r="I252" s="41"/>
      <c r="J252" s="41"/>
      <c r="K252" s="41"/>
      <c r="L252" s="41"/>
    </row>
    <row r="253" spans="5:12" s="39" customFormat="1" x14ac:dyDescent="0.3">
      <c r="E253" s="41"/>
      <c r="F253" s="41"/>
      <c r="G253" s="41"/>
      <c r="H253" s="41"/>
      <c r="I253" s="41"/>
      <c r="J253" s="41"/>
      <c r="K253" s="41"/>
      <c r="L253" s="41"/>
    </row>
    <row r="254" spans="5:12" s="39" customFormat="1" x14ac:dyDescent="0.3">
      <c r="E254" s="41"/>
      <c r="F254" s="41"/>
      <c r="G254" s="41"/>
      <c r="H254" s="41"/>
      <c r="I254" s="41"/>
      <c r="J254" s="41"/>
      <c r="K254" s="41"/>
      <c r="L254" s="41"/>
    </row>
    <row r="255" spans="5:12" s="39" customFormat="1" x14ac:dyDescent="0.3">
      <c r="E255" s="41"/>
      <c r="F255" s="41"/>
      <c r="G255" s="41"/>
      <c r="H255" s="41"/>
      <c r="I255" s="41"/>
      <c r="J255" s="41"/>
      <c r="K255" s="41"/>
      <c r="L255" s="41"/>
    </row>
    <row r="256" spans="5:12" s="39" customFormat="1" x14ac:dyDescent="0.3">
      <c r="E256" s="41"/>
      <c r="F256" s="41"/>
      <c r="G256" s="41"/>
      <c r="H256" s="41"/>
      <c r="I256" s="41"/>
      <c r="J256" s="41"/>
      <c r="K256" s="41"/>
      <c r="L256" s="41"/>
    </row>
    <row r="257" spans="5:12" s="39" customFormat="1" x14ac:dyDescent="0.3">
      <c r="E257" s="41"/>
      <c r="F257" s="41"/>
      <c r="G257" s="41"/>
      <c r="H257" s="41"/>
      <c r="I257" s="41"/>
      <c r="J257" s="41"/>
      <c r="K257" s="41"/>
      <c r="L257" s="41"/>
    </row>
    <row r="258" spans="5:12" s="39" customFormat="1" x14ac:dyDescent="0.3">
      <c r="E258" s="41"/>
      <c r="F258" s="41"/>
      <c r="G258" s="41"/>
      <c r="H258" s="41"/>
      <c r="I258" s="41"/>
      <c r="J258" s="41"/>
      <c r="K258" s="41"/>
      <c r="L258" s="41"/>
    </row>
    <row r="259" spans="5:12" s="39" customFormat="1" x14ac:dyDescent="0.3">
      <c r="E259" s="41"/>
      <c r="F259" s="41"/>
      <c r="G259" s="41"/>
      <c r="H259" s="41"/>
      <c r="I259" s="41"/>
      <c r="J259" s="41"/>
      <c r="K259" s="41"/>
      <c r="L259" s="41"/>
    </row>
    <row r="260" spans="5:12" s="39" customFormat="1" x14ac:dyDescent="0.3">
      <c r="E260" s="41"/>
      <c r="F260" s="41"/>
      <c r="G260" s="41"/>
      <c r="H260" s="41"/>
      <c r="I260" s="41"/>
      <c r="J260" s="41"/>
      <c r="K260" s="41"/>
      <c r="L260" s="41"/>
    </row>
    <row r="261" spans="5:12" s="39" customFormat="1" x14ac:dyDescent="0.3">
      <c r="E261" s="41"/>
      <c r="F261" s="41"/>
      <c r="G261" s="41"/>
      <c r="H261" s="41"/>
      <c r="I261" s="41"/>
      <c r="J261" s="41"/>
      <c r="K261" s="41"/>
      <c r="L261" s="41"/>
    </row>
    <row r="262" spans="5:12" s="39" customFormat="1" x14ac:dyDescent="0.3">
      <c r="E262" s="41"/>
      <c r="F262" s="41"/>
      <c r="G262" s="41"/>
      <c r="H262" s="41"/>
      <c r="I262" s="41"/>
      <c r="J262" s="41"/>
      <c r="K262" s="41"/>
      <c r="L262" s="41"/>
    </row>
    <row r="263" spans="5:12" s="39" customFormat="1" x14ac:dyDescent="0.3">
      <c r="E263" s="41"/>
      <c r="F263" s="41"/>
      <c r="G263" s="41"/>
      <c r="H263" s="41"/>
      <c r="I263" s="41"/>
      <c r="J263" s="41"/>
      <c r="K263" s="41"/>
      <c r="L263" s="41"/>
    </row>
    <row r="264" spans="5:12" s="39" customFormat="1" x14ac:dyDescent="0.3">
      <c r="E264" s="41"/>
      <c r="F264" s="41"/>
      <c r="G264" s="41"/>
      <c r="H264" s="41"/>
      <c r="I264" s="41"/>
      <c r="J264" s="41"/>
      <c r="K264" s="41"/>
      <c r="L264" s="41"/>
    </row>
    <row r="265" spans="5:12" s="39" customFormat="1" x14ac:dyDescent="0.3">
      <c r="E265" s="41"/>
      <c r="F265" s="41"/>
      <c r="G265" s="41"/>
      <c r="H265" s="41"/>
      <c r="I265" s="41"/>
      <c r="J265" s="41"/>
      <c r="K265" s="41"/>
      <c r="L265" s="41"/>
    </row>
    <row r="266" spans="5:12" s="39" customFormat="1" x14ac:dyDescent="0.3">
      <c r="E266" s="41"/>
      <c r="F266" s="41"/>
      <c r="G266" s="41"/>
      <c r="H266" s="41"/>
      <c r="I266" s="41"/>
      <c r="J266" s="41"/>
      <c r="K266" s="41"/>
      <c r="L266" s="41"/>
    </row>
    <row r="267" spans="5:12" s="39" customFormat="1" x14ac:dyDescent="0.3">
      <c r="E267" s="41"/>
      <c r="F267" s="41"/>
      <c r="G267" s="41"/>
      <c r="H267" s="41"/>
      <c r="I267" s="41"/>
      <c r="J267" s="41"/>
      <c r="K267" s="41"/>
      <c r="L267" s="41"/>
    </row>
    <row r="268" spans="5:12" s="39" customFormat="1" x14ac:dyDescent="0.3">
      <c r="E268" s="41"/>
      <c r="F268" s="41"/>
      <c r="G268" s="41"/>
      <c r="H268" s="41"/>
      <c r="I268" s="41"/>
      <c r="J268" s="41"/>
      <c r="K268" s="41"/>
      <c r="L268" s="41"/>
    </row>
    <row r="269" spans="5:12" s="39" customFormat="1" x14ac:dyDescent="0.3">
      <c r="E269" s="41"/>
      <c r="F269" s="41"/>
      <c r="G269" s="41"/>
      <c r="H269" s="41"/>
      <c r="I269" s="41"/>
      <c r="J269" s="41"/>
      <c r="K269" s="41"/>
      <c r="L269" s="41"/>
    </row>
    <row r="270" spans="5:12" s="39" customFormat="1" x14ac:dyDescent="0.3">
      <c r="E270" s="41"/>
      <c r="F270" s="41"/>
      <c r="G270" s="41"/>
      <c r="H270" s="41"/>
      <c r="I270" s="41"/>
      <c r="J270" s="41"/>
      <c r="K270" s="41"/>
      <c r="L270" s="41"/>
    </row>
    <row r="271" spans="5:12" s="39" customFormat="1" x14ac:dyDescent="0.3">
      <c r="E271" s="41"/>
      <c r="F271" s="41"/>
      <c r="G271" s="41"/>
      <c r="H271" s="41"/>
      <c r="I271" s="41"/>
      <c r="J271" s="41"/>
      <c r="K271" s="41"/>
      <c r="L271" s="41"/>
    </row>
    <row r="272" spans="5:12" s="39" customFormat="1" x14ac:dyDescent="0.3">
      <c r="E272" s="41"/>
      <c r="F272" s="41"/>
      <c r="G272" s="41"/>
      <c r="H272" s="41"/>
      <c r="I272" s="41"/>
      <c r="J272" s="41"/>
      <c r="K272" s="41"/>
      <c r="L272" s="41"/>
    </row>
    <row r="273" spans="5:12" s="39" customFormat="1" x14ac:dyDescent="0.3">
      <c r="E273" s="41"/>
      <c r="F273" s="41"/>
      <c r="G273" s="41"/>
      <c r="H273" s="41"/>
      <c r="I273" s="41"/>
      <c r="J273" s="41"/>
      <c r="K273" s="41"/>
      <c r="L273" s="41"/>
    </row>
    <row r="274" spans="5:12" s="39" customFormat="1" x14ac:dyDescent="0.3">
      <c r="E274" s="41"/>
      <c r="F274" s="41"/>
      <c r="G274" s="41"/>
      <c r="H274" s="41"/>
      <c r="I274" s="41"/>
      <c r="J274" s="41"/>
      <c r="K274" s="41"/>
      <c r="L274" s="41"/>
    </row>
    <row r="275" spans="5:12" s="39" customFormat="1" x14ac:dyDescent="0.3">
      <c r="E275" s="41"/>
      <c r="F275" s="41"/>
      <c r="G275" s="41"/>
      <c r="H275" s="41"/>
      <c r="I275" s="41"/>
      <c r="J275" s="41"/>
      <c r="K275" s="41"/>
      <c r="L275" s="41"/>
    </row>
    <row r="276" spans="5:12" s="39" customFormat="1" x14ac:dyDescent="0.3">
      <c r="E276" s="41"/>
      <c r="F276" s="41"/>
      <c r="G276" s="41"/>
      <c r="H276" s="41"/>
      <c r="I276" s="41"/>
      <c r="J276" s="41"/>
      <c r="K276" s="41"/>
      <c r="L276" s="41"/>
    </row>
    <row r="277" spans="5:12" s="39" customFormat="1" x14ac:dyDescent="0.3">
      <c r="E277" s="41"/>
      <c r="F277" s="41"/>
      <c r="G277" s="41"/>
      <c r="H277" s="41"/>
      <c r="I277" s="41"/>
      <c r="J277" s="41"/>
      <c r="K277" s="41"/>
      <c r="L277" s="41"/>
    </row>
    <row r="278" spans="5:12" s="39" customFormat="1" x14ac:dyDescent="0.3">
      <c r="E278" s="41"/>
      <c r="F278" s="41"/>
      <c r="G278" s="41"/>
      <c r="H278" s="41"/>
      <c r="I278" s="41"/>
      <c r="J278" s="41"/>
      <c r="K278" s="41"/>
      <c r="L278" s="41"/>
    </row>
    <row r="279" spans="5:12" s="39" customFormat="1" x14ac:dyDescent="0.3">
      <c r="E279" s="41"/>
      <c r="F279" s="41"/>
      <c r="G279" s="41"/>
      <c r="H279" s="41"/>
      <c r="I279" s="41"/>
      <c r="J279" s="41"/>
      <c r="K279" s="41"/>
      <c r="L279" s="41"/>
    </row>
    <row r="280" spans="5:12" s="39" customFormat="1" x14ac:dyDescent="0.3">
      <c r="E280" s="41"/>
      <c r="F280" s="41"/>
      <c r="G280" s="41"/>
      <c r="H280" s="41"/>
      <c r="I280" s="41"/>
      <c r="J280" s="41"/>
      <c r="K280" s="41"/>
      <c r="L280" s="41"/>
    </row>
    <row r="281" spans="5:12" s="39" customFormat="1" x14ac:dyDescent="0.3">
      <c r="E281" s="41"/>
      <c r="F281" s="41"/>
      <c r="G281" s="41"/>
      <c r="H281" s="41"/>
      <c r="I281" s="41"/>
      <c r="J281" s="41"/>
      <c r="K281" s="41"/>
      <c r="L281" s="41"/>
    </row>
    <row r="282" spans="5:12" s="39" customFormat="1" x14ac:dyDescent="0.3">
      <c r="E282" s="41"/>
      <c r="F282" s="41"/>
      <c r="G282" s="41"/>
      <c r="H282" s="41"/>
      <c r="I282" s="41"/>
      <c r="J282" s="41"/>
      <c r="K282" s="41"/>
      <c r="L282" s="41"/>
    </row>
    <row r="283" spans="5:12" s="39" customFormat="1" x14ac:dyDescent="0.3">
      <c r="E283" s="41"/>
      <c r="F283" s="41"/>
      <c r="G283" s="41"/>
      <c r="H283" s="41"/>
      <c r="I283" s="41"/>
      <c r="J283" s="41"/>
      <c r="K283" s="41"/>
      <c r="L283" s="41"/>
    </row>
    <row r="284" spans="5:12" s="39" customFormat="1" x14ac:dyDescent="0.3">
      <c r="E284" s="41"/>
      <c r="F284" s="41"/>
      <c r="G284" s="41"/>
      <c r="H284" s="41"/>
      <c r="I284" s="41"/>
      <c r="J284" s="41"/>
      <c r="K284" s="41"/>
      <c r="L284" s="41"/>
    </row>
    <row r="285" spans="5:12" s="39" customFormat="1" x14ac:dyDescent="0.3">
      <c r="E285" s="41"/>
      <c r="F285" s="41"/>
      <c r="G285" s="41"/>
      <c r="H285" s="41"/>
      <c r="I285" s="41"/>
      <c r="J285" s="41"/>
      <c r="K285" s="41"/>
      <c r="L285" s="41"/>
    </row>
    <row r="286" spans="5:12" s="39" customFormat="1" x14ac:dyDescent="0.3">
      <c r="E286" s="41"/>
      <c r="F286" s="41"/>
      <c r="G286" s="41"/>
      <c r="H286" s="41"/>
      <c r="I286" s="41"/>
      <c r="J286" s="41"/>
      <c r="K286" s="41"/>
      <c r="L286" s="41"/>
    </row>
    <row r="287" spans="5:12" s="39" customFormat="1" x14ac:dyDescent="0.3">
      <c r="E287" s="41"/>
      <c r="F287" s="41"/>
      <c r="G287" s="41"/>
      <c r="H287" s="41"/>
      <c r="I287" s="41"/>
      <c r="J287" s="41"/>
      <c r="K287" s="41"/>
      <c r="L287" s="41"/>
    </row>
    <row r="288" spans="5:12" s="39" customFormat="1" x14ac:dyDescent="0.3">
      <c r="E288" s="41"/>
      <c r="F288" s="41"/>
      <c r="G288" s="41"/>
      <c r="H288" s="41"/>
      <c r="I288" s="41"/>
      <c r="J288" s="41"/>
      <c r="K288" s="41"/>
      <c r="L288" s="41"/>
    </row>
    <row r="289" spans="5:12" s="39" customFormat="1" x14ac:dyDescent="0.3">
      <c r="E289" s="41"/>
      <c r="F289" s="41"/>
      <c r="G289" s="41"/>
      <c r="H289" s="41"/>
      <c r="I289" s="41"/>
      <c r="J289" s="41"/>
      <c r="K289" s="41"/>
      <c r="L289" s="41"/>
    </row>
    <row r="290" spans="5:12" s="39" customFormat="1" x14ac:dyDescent="0.3">
      <c r="E290" s="41"/>
      <c r="F290" s="41"/>
      <c r="G290" s="41"/>
      <c r="H290" s="41"/>
      <c r="I290" s="41"/>
      <c r="J290" s="41"/>
      <c r="K290" s="41"/>
      <c r="L290" s="41"/>
    </row>
    <row r="291" spans="5:12" s="39" customFormat="1" x14ac:dyDescent="0.3">
      <c r="E291" s="41"/>
      <c r="F291" s="41"/>
      <c r="G291" s="41"/>
      <c r="H291" s="41"/>
      <c r="I291" s="41"/>
      <c r="J291" s="41"/>
      <c r="K291" s="41"/>
      <c r="L291" s="41"/>
    </row>
    <row r="292" spans="5:12" s="39" customFormat="1" x14ac:dyDescent="0.3">
      <c r="E292" s="41"/>
      <c r="F292" s="41"/>
      <c r="G292" s="41"/>
      <c r="H292" s="41"/>
      <c r="I292" s="41"/>
      <c r="J292" s="41"/>
      <c r="K292" s="41"/>
      <c r="L292" s="41"/>
    </row>
    <row r="293" spans="5:12" s="39" customFormat="1" x14ac:dyDescent="0.3">
      <c r="E293" s="41"/>
      <c r="F293" s="41"/>
      <c r="G293" s="41"/>
      <c r="H293" s="41"/>
      <c r="I293" s="41"/>
      <c r="J293" s="41"/>
      <c r="K293" s="41"/>
      <c r="L293" s="41"/>
    </row>
    <row r="294" spans="5:12" s="39" customFormat="1" x14ac:dyDescent="0.3">
      <c r="E294" s="41"/>
      <c r="F294" s="41"/>
      <c r="G294" s="41"/>
      <c r="H294" s="41"/>
      <c r="I294" s="41"/>
      <c r="J294" s="41"/>
      <c r="K294" s="41"/>
      <c r="L294" s="41"/>
    </row>
    <row r="295" spans="5:12" s="39" customFormat="1" x14ac:dyDescent="0.3">
      <c r="E295" s="41"/>
      <c r="F295" s="41"/>
      <c r="G295" s="41"/>
      <c r="H295" s="41"/>
      <c r="I295" s="41"/>
      <c r="J295" s="41"/>
      <c r="K295" s="41"/>
      <c r="L295" s="41"/>
    </row>
    <row r="296" spans="5:12" s="39" customFormat="1" x14ac:dyDescent="0.3">
      <c r="E296" s="41"/>
      <c r="F296" s="41"/>
      <c r="G296" s="41"/>
      <c r="H296" s="41"/>
      <c r="I296" s="41"/>
      <c r="J296" s="41"/>
      <c r="K296" s="41"/>
      <c r="L296" s="41"/>
    </row>
    <row r="297" spans="5:12" s="39" customFormat="1" x14ac:dyDescent="0.3">
      <c r="E297" s="41"/>
      <c r="F297" s="41"/>
      <c r="G297" s="41"/>
      <c r="H297" s="41"/>
      <c r="I297" s="41"/>
      <c r="J297" s="41"/>
      <c r="K297" s="41"/>
      <c r="L297" s="41"/>
    </row>
    <row r="298" spans="5:12" s="39" customFormat="1" x14ac:dyDescent="0.3">
      <c r="E298" s="41"/>
      <c r="F298" s="41"/>
      <c r="G298" s="41"/>
      <c r="H298" s="41"/>
      <c r="I298" s="41"/>
      <c r="J298" s="41"/>
      <c r="K298" s="41"/>
      <c r="L298" s="41"/>
    </row>
    <row r="299" spans="5:12" s="39" customFormat="1" x14ac:dyDescent="0.3">
      <c r="E299" s="41"/>
      <c r="F299" s="41"/>
      <c r="G299" s="41"/>
      <c r="H299" s="41"/>
      <c r="I299" s="41"/>
      <c r="J299" s="41"/>
      <c r="K299" s="41"/>
      <c r="L299" s="41"/>
    </row>
    <row r="300" spans="5:12" s="39" customFormat="1" x14ac:dyDescent="0.3">
      <c r="E300" s="41"/>
      <c r="F300" s="41"/>
      <c r="G300" s="41"/>
      <c r="H300" s="41"/>
      <c r="I300" s="41"/>
      <c r="J300" s="41"/>
      <c r="K300" s="41"/>
      <c r="L300" s="41"/>
    </row>
    <row r="301" spans="5:12" s="39" customFormat="1" x14ac:dyDescent="0.3">
      <c r="E301" s="41"/>
      <c r="F301" s="41"/>
      <c r="G301" s="41"/>
      <c r="H301" s="41"/>
      <c r="I301" s="41"/>
      <c r="J301" s="41"/>
      <c r="K301" s="41"/>
      <c r="L301" s="41"/>
    </row>
    <row r="302" spans="5:12" s="39" customFormat="1" x14ac:dyDescent="0.3">
      <c r="E302" s="41"/>
      <c r="F302" s="41"/>
      <c r="G302" s="41"/>
      <c r="H302" s="41"/>
      <c r="I302" s="41"/>
      <c r="J302" s="41"/>
      <c r="K302" s="41"/>
      <c r="L302" s="41"/>
    </row>
    <row r="303" spans="5:12" s="39" customFormat="1" x14ac:dyDescent="0.3">
      <c r="E303" s="41"/>
      <c r="F303" s="41"/>
      <c r="G303" s="41"/>
      <c r="H303" s="41"/>
      <c r="I303" s="41"/>
      <c r="J303" s="41"/>
      <c r="K303" s="41"/>
      <c r="L303" s="41"/>
    </row>
    <row r="304" spans="5:12" s="39" customFormat="1" x14ac:dyDescent="0.3">
      <c r="E304" s="41"/>
      <c r="F304" s="41"/>
      <c r="G304" s="41"/>
      <c r="H304" s="41"/>
      <c r="I304" s="41"/>
      <c r="J304" s="41"/>
      <c r="K304" s="41"/>
      <c r="L304" s="41"/>
    </row>
    <row r="305" spans="5:12" s="39" customFormat="1" x14ac:dyDescent="0.3">
      <c r="E305" s="41"/>
      <c r="F305" s="41"/>
      <c r="G305" s="41"/>
      <c r="H305" s="41"/>
      <c r="I305" s="41"/>
      <c r="J305" s="41"/>
      <c r="K305" s="41"/>
      <c r="L305" s="41"/>
    </row>
    <row r="306" spans="5:12" s="39" customFormat="1" x14ac:dyDescent="0.3">
      <c r="E306" s="41"/>
      <c r="F306" s="41"/>
      <c r="G306" s="41"/>
      <c r="H306" s="41"/>
      <c r="I306" s="41"/>
      <c r="J306" s="41"/>
      <c r="K306" s="41"/>
      <c r="L306" s="41"/>
    </row>
    <row r="307" spans="5:12" s="39" customFormat="1" x14ac:dyDescent="0.3">
      <c r="E307" s="41"/>
      <c r="F307" s="41"/>
      <c r="G307" s="41"/>
      <c r="H307" s="41"/>
      <c r="I307" s="41"/>
      <c r="J307" s="41"/>
      <c r="K307" s="41"/>
      <c r="L307" s="41"/>
    </row>
    <row r="308" spans="5:12" s="39" customFormat="1" x14ac:dyDescent="0.3">
      <c r="E308" s="41"/>
      <c r="F308" s="41"/>
      <c r="G308" s="41"/>
      <c r="H308" s="41"/>
      <c r="I308" s="41"/>
      <c r="J308" s="41"/>
      <c r="K308" s="41"/>
      <c r="L308" s="41"/>
    </row>
    <row r="309" spans="5:12" s="39" customFormat="1" x14ac:dyDescent="0.3">
      <c r="E309" s="41"/>
      <c r="F309" s="41"/>
      <c r="G309" s="41"/>
      <c r="H309" s="41"/>
      <c r="I309" s="41"/>
      <c r="J309" s="41"/>
      <c r="K309" s="41"/>
      <c r="L309" s="41"/>
    </row>
    <row r="310" spans="5:12" s="39" customFormat="1" x14ac:dyDescent="0.3">
      <c r="E310" s="41"/>
      <c r="F310" s="41"/>
      <c r="G310" s="41"/>
      <c r="H310" s="41"/>
      <c r="I310" s="41"/>
      <c r="J310" s="41"/>
      <c r="K310" s="41"/>
      <c r="L310" s="41"/>
    </row>
    <row r="311" spans="5:12" s="39" customFormat="1" x14ac:dyDescent="0.3">
      <c r="E311" s="41"/>
      <c r="F311" s="41"/>
      <c r="G311" s="41"/>
      <c r="H311" s="41"/>
      <c r="I311" s="41"/>
      <c r="J311" s="41"/>
      <c r="K311" s="41"/>
      <c r="L311" s="41"/>
    </row>
    <row r="312" spans="5:12" s="39" customFormat="1" x14ac:dyDescent="0.3">
      <c r="E312" s="41"/>
      <c r="F312" s="41"/>
      <c r="G312" s="41"/>
      <c r="H312" s="41"/>
      <c r="I312" s="41"/>
      <c r="J312" s="41"/>
      <c r="K312" s="41"/>
      <c r="L312" s="41"/>
    </row>
    <row r="313" spans="5:12" s="39" customFormat="1" x14ac:dyDescent="0.3">
      <c r="E313" s="41"/>
      <c r="F313" s="41"/>
      <c r="G313" s="41"/>
      <c r="H313" s="41"/>
      <c r="I313" s="41"/>
      <c r="J313" s="41"/>
      <c r="K313" s="41"/>
      <c r="L313" s="41"/>
    </row>
    <row r="314" spans="5:12" s="39" customFormat="1" x14ac:dyDescent="0.3">
      <c r="E314" s="41"/>
      <c r="F314" s="41"/>
      <c r="G314" s="41"/>
      <c r="H314" s="41"/>
      <c r="I314" s="41"/>
      <c r="J314" s="41"/>
      <c r="K314" s="41"/>
      <c r="L314" s="41"/>
    </row>
    <row r="315" spans="5:12" s="39" customFormat="1" x14ac:dyDescent="0.3">
      <c r="E315" s="41"/>
      <c r="F315" s="41"/>
      <c r="G315" s="41"/>
      <c r="H315" s="41"/>
      <c r="I315" s="41"/>
      <c r="J315" s="41"/>
      <c r="K315" s="41"/>
      <c r="L315" s="41"/>
    </row>
    <row r="316" spans="5:12" s="39" customFormat="1" x14ac:dyDescent="0.3">
      <c r="E316" s="41"/>
      <c r="F316" s="41"/>
      <c r="G316" s="41"/>
      <c r="H316" s="41"/>
      <c r="I316" s="41"/>
      <c r="J316" s="41"/>
      <c r="K316" s="41"/>
      <c r="L316" s="41"/>
    </row>
    <row r="317" spans="5:12" s="39" customFormat="1" x14ac:dyDescent="0.3">
      <c r="E317" s="41"/>
      <c r="F317" s="41"/>
      <c r="G317" s="41"/>
      <c r="H317" s="41"/>
      <c r="I317" s="41"/>
      <c r="J317" s="41"/>
      <c r="K317" s="41"/>
      <c r="L317" s="41"/>
    </row>
    <row r="318" spans="5:12" s="39" customFormat="1" x14ac:dyDescent="0.3">
      <c r="E318" s="41"/>
      <c r="F318" s="41"/>
      <c r="G318" s="41"/>
      <c r="H318" s="41"/>
      <c r="I318" s="41"/>
      <c r="J318" s="41"/>
      <c r="K318" s="41"/>
      <c r="L318" s="41"/>
    </row>
    <row r="319" spans="5:12" s="39" customFormat="1" x14ac:dyDescent="0.3">
      <c r="E319" s="41"/>
      <c r="F319" s="41"/>
      <c r="G319" s="41"/>
      <c r="H319" s="41"/>
      <c r="I319" s="41"/>
      <c r="J319" s="41"/>
      <c r="K319" s="41"/>
      <c r="L319" s="41"/>
    </row>
    <row r="320" spans="5:12" s="39" customFormat="1" x14ac:dyDescent="0.3">
      <c r="E320" s="41"/>
      <c r="F320" s="41"/>
      <c r="G320" s="41"/>
      <c r="H320" s="41"/>
      <c r="I320" s="41"/>
      <c r="J320" s="41"/>
      <c r="K320" s="41"/>
      <c r="L320" s="41"/>
    </row>
    <row r="321" spans="5:12" s="39" customFormat="1" x14ac:dyDescent="0.3">
      <c r="E321" s="41"/>
      <c r="F321" s="41"/>
      <c r="G321" s="41"/>
      <c r="H321" s="41"/>
      <c r="I321" s="41"/>
      <c r="J321" s="41"/>
      <c r="K321" s="41"/>
      <c r="L321" s="41"/>
    </row>
    <row r="322" spans="5:12" s="39" customFormat="1" x14ac:dyDescent="0.3">
      <c r="E322" s="41"/>
      <c r="F322" s="41"/>
      <c r="G322" s="41"/>
      <c r="H322" s="41"/>
      <c r="I322" s="41"/>
      <c r="J322" s="41"/>
      <c r="K322" s="41"/>
      <c r="L322" s="41"/>
    </row>
    <row r="323" spans="5:12" s="39" customFormat="1" x14ac:dyDescent="0.3">
      <c r="E323" s="41"/>
      <c r="F323" s="41"/>
      <c r="G323" s="41"/>
      <c r="H323" s="41"/>
      <c r="I323" s="41"/>
      <c r="J323" s="41"/>
      <c r="K323" s="41"/>
      <c r="L323" s="41"/>
    </row>
    <row r="324" spans="5:12" s="39" customFormat="1" x14ac:dyDescent="0.3">
      <c r="E324" s="41"/>
      <c r="F324" s="41"/>
      <c r="G324" s="41"/>
      <c r="H324" s="41"/>
      <c r="I324" s="41"/>
      <c r="J324" s="41"/>
      <c r="K324" s="41"/>
      <c r="L324" s="41"/>
    </row>
    <row r="325" spans="5:12" s="39" customFormat="1" x14ac:dyDescent="0.3">
      <c r="E325" s="41"/>
      <c r="F325" s="41"/>
      <c r="G325" s="41"/>
      <c r="H325" s="41"/>
      <c r="I325" s="41"/>
      <c r="J325" s="41"/>
      <c r="K325" s="41"/>
      <c r="L325" s="41"/>
    </row>
    <row r="326" spans="5:12" s="39" customFormat="1" x14ac:dyDescent="0.3">
      <c r="E326" s="41"/>
      <c r="F326" s="41"/>
      <c r="G326" s="41"/>
      <c r="H326" s="41"/>
      <c r="I326" s="41"/>
      <c r="J326" s="41"/>
      <c r="K326" s="41"/>
      <c r="L326" s="41"/>
    </row>
    <row r="327" spans="5:12" s="39" customFormat="1" x14ac:dyDescent="0.3">
      <c r="E327" s="41"/>
      <c r="F327" s="41"/>
      <c r="G327" s="41"/>
      <c r="H327" s="41"/>
      <c r="I327" s="41"/>
      <c r="J327" s="41"/>
      <c r="K327" s="41"/>
      <c r="L327" s="41"/>
    </row>
    <row r="328" spans="5:12" s="39" customFormat="1" x14ac:dyDescent="0.3">
      <c r="E328" s="41"/>
      <c r="F328" s="41"/>
      <c r="G328" s="41"/>
      <c r="H328" s="41"/>
      <c r="I328" s="41"/>
      <c r="J328" s="41"/>
      <c r="K328" s="41"/>
      <c r="L328" s="41"/>
    </row>
    <row r="329" spans="5:12" s="39" customFormat="1" x14ac:dyDescent="0.3">
      <c r="E329" s="41"/>
      <c r="F329" s="41"/>
      <c r="G329" s="41"/>
      <c r="H329" s="41"/>
      <c r="I329" s="41"/>
      <c r="J329" s="41"/>
      <c r="K329" s="41"/>
      <c r="L329" s="41"/>
    </row>
    <row r="330" spans="5:12" s="39" customFormat="1" x14ac:dyDescent="0.3">
      <c r="E330" s="41"/>
      <c r="F330" s="41"/>
      <c r="G330" s="41"/>
      <c r="H330" s="41"/>
      <c r="I330" s="41"/>
      <c r="J330" s="41"/>
      <c r="K330" s="41"/>
      <c r="L330" s="41"/>
    </row>
    <row r="331" spans="5:12" s="39" customFormat="1" x14ac:dyDescent="0.3">
      <c r="E331" s="41"/>
      <c r="F331" s="41"/>
      <c r="G331" s="41"/>
      <c r="H331" s="41"/>
      <c r="I331" s="41"/>
      <c r="J331" s="41"/>
      <c r="K331" s="41"/>
      <c r="L331" s="41"/>
    </row>
    <row r="332" spans="5:12" s="39" customFormat="1" x14ac:dyDescent="0.3">
      <c r="E332" s="41"/>
      <c r="F332" s="41"/>
      <c r="G332" s="41"/>
      <c r="H332" s="41"/>
      <c r="I332" s="41"/>
      <c r="J332" s="41"/>
      <c r="K332" s="41"/>
      <c r="L332" s="41"/>
    </row>
    <row r="333" spans="5:12" s="39" customFormat="1" x14ac:dyDescent="0.3">
      <c r="E333" s="41"/>
      <c r="F333" s="41"/>
      <c r="G333" s="41"/>
      <c r="H333" s="41"/>
      <c r="I333" s="41"/>
      <c r="J333" s="41"/>
      <c r="K333" s="41"/>
      <c r="L333" s="41"/>
    </row>
    <row r="334" spans="5:12" s="39" customFormat="1" x14ac:dyDescent="0.3">
      <c r="E334" s="41"/>
      <c r="F334" s="41"/>
      <c r="G334" s="41"/>
      <c r="H334" s="41"/>
      <c r="I334" s="41"/>
      <c r="J334" s="41"/>
      <c r="K334" s="41"/>
      <c r="L334" s="41"/>
    </row>
    <row r="335" spans="5:12" s="39" customFormat="1" x14ac:dyDescent="0.3">
      <c r="E335" s="41"/>
      <c r="F335" s="41"/>
      <c r="G335" s="41"/>
      <c r="H335" s="41"/>
      <c r="I335" s="41"/>
      <c r="J335" s="41"/>
      <c r="K335" s="41"/>
      <c r="L335" s="41"/>
    </row>
    <row r="336" spans="5:12" s="39" customFormat="1" x14ac:dyDescent="0.3">
      <c r="E336" s="41"/>
      <c r="F336" s="41"/>
      <c r="G336" s="41"/>
      <c r="H336" s="41"/>
      <c r="I336" s="41"/>
      <c r="J336" s="41"/>
      <c r="K336" s="41"/>
      <c r="L336" s="41"/>
    </row>
    <row r="337" spans="5:12" s="39" customFormat="1" x14ac:dyDescent="0.3">
      <c r="E337" s="41"/>
      <c r="F337" s="41"/>
      <c r="G337" s="41"/>
      <c r="H337" s="41"/>
      <c r="I337" s="41"/>
      <c r="J337" s="41"/>
      <c r="K337" s="41"/>
      <c r="L337" s="41"/>
    </row>
    <row r="338" spans="5:12" s="39" customFormat="1" x14ac:dyDescent="0.3">
      <c r="E338" s="41"/>
      <c r="F338" s="41"/>
      <c r="G338" s="41"/>
      <c r="H338" s="41"/>
      <c r="I338" s="41"/>
      <c r="J338" s="41"/>
      <c r="K338" s="41"/>
      <c r="L338" s="41"/>
    </row>
    <row r="339" spans="5:12" s="39" customFormat="1" x14ac:dyDescent="0.3">
      <c r="E339" s="41"/>
      <c r="F339" s="41"/>
      <c r="G339" s="41"/>
      <c r="H339" s="41"/>
      <c r="I339" s="41"/>
      <c r="J339" s="41"/>
      <c r="K339" s="41"/>
      <c r="L339" s="41"/>
    </row>
    <row r="340" spans="5:12" s="39" customFormat="1" x14ac:dyDescent="0.3">
      <c r="E340" s="41"/>
      <c r="F340" s="41"/>
      <c r="G340" s="41"/>
      <c r="H340" s="41"/>
      <c r="I340" s="41"/>
      <c r="J340" s="41"/>
      <c r="K340" s="41"/>
      <c r="L340" s="41"/>
    </row>
    <row r="341" spans="5:12" s="39" customFormat="1" x14ac:dyDescent="0.3">
      <c r="E341" s="41"/>
      <c r="F341" s="41"/>
      <c r="G341" s="41"/>
      <c r="H341" s="41"/>
      <c r="I341" s="41"/>
      <c r="J341" s="41"/>
      <c r="K341" s="41"/>
      <c r="L341" s="41"/>
    </row>
    <row r="342" spans="5:12" s="39" customFormat="1" x14ac:dyDescent="0.3">
      <c r="E342" s="41"/>
      <c r="F342" s="41"/>
      <c r="G342" s="41"/>
      <c r="H342" s="41"/>
      <c r="I342" s="41"/>
      <c r="J342" s="41"/>
      <c r="K342" s="41"/>
      <c r="L342" s="41"/>
    </row>
    <row r="343" spans="5:12" s="39" customFormat="1" x14ac:dyDescent="0.3">
      <c r="E343" s="41"/>
      <c r="F343" s="41"/>
      <c r="G343" s="41"/>
      <c r="H343" s="41"/>
      <c r="I343" s="41"/>
      <c r="J343" s="41"/>
      <c r="K343" s="41"/>
      <c r="L343" s="41"/>
    </row>
    <row r="344" spans="5:12" s="39" customFormat="1" x14ac:dyDescent="0.3">
      <c r="E344" s="41"/>
      <c r="F344" s="41"/>
      <c r="G344" s="41"/>
      <c r="H344" s="41"/>
      <c r="I344" s="41"/>
      <c r="J344" s="41"/>
      <c r="K344" s="41"/>
      <c r="L344" s="41"/>
    </row>
    <row r="345" spans="5:12" s="39" customFormat="1" x14ac:dyDescent="0.3">
      <c r="E345" s="41"/>
      <c r="F345" s="41"/>
      <c r="G345" s="41"/>
      <c r="H345" s="41"/>
      <c r="I345" s="41"/>
      <c r="J345" s="41"/>
      <c r="K345" s="41"/>
      <c r="L345" s="41"/>
    </row>
    <row r="346" spans="5:12" s="39" customFormat="1" x14ac:dyDescent="0.3">
      <c r="E346" s="41"/>
      <c r="F346" s="41"/>
      <c r="G346" s="41"/>
      <c r="H346" s="41"/>
      <c r="I346" s="41"/>
      <c r="J346" s="41"/>
      <c r="K346" s="41"/>
      <c r="L346" s="41"/>
    </row>
    <row r="347" spans="5:12" s="39" customFormat="1" x14ac:dyDescent="0.3">
      <c r="E347" s="41"/>
      <c r="F347" s="41"/>
      <c r="G347" s="41"/>
      <c r="H347" s="41"/>
      <c r="I347" s="41"/>
      <c r="J347" s="41"/>
      <c r="K347" s="41"/>
      <c r="L347" s="41"/>
    </row>
    <row r="348" spans="5:12" s="39" customFormat="1" x14ac:dyDescent="0.3">
      <c r="E348" s="41"/>
      <c r="F348" s="41"/>
      <c r="G348" s="41"/>
      <c r="H348" s="41"/>
      <c r="I348" s="41"/>
      <c r="J348" s="41"/>
      <c r="K348" s="41"/>
      <c r="L348" s="41"/>
    </row>
    <row r="349" spans="5:12" s="39" customFormat="1" x14ac:dyDescent="0.3">
      <c r="E349" s="41"/>
      <c r="F349" s="41"/>
      <c r="G349" s="41"/>
      <c r="H349" s="41"/>
      <c r="I349" s="41"/>
      <c r="J349" s="41"/>
      <c r="K349" s="41"/>
      <c r="L349" s="41"/>
    </row>
    <row r="350" spans="5:12" s="39" customFormat="1" x14ac:dyDescent="0.3">
      <c r="E350" s="41"/>
      <c r="F350" s="41"/>
      <c r="G350" s="41"/>
      <c r="H350" s="41"/>
      <c r="I350" s="41"/>
      <c r="J350" s="41"/>
      <c r="K350" s="41"/>
      <c r="L350" s="41"/>
    </row>
    <row r="351" spans="5:12" s="39" customFormat="1" x14ac:dyDescent="0.3">
      <c r="E351" s="41"/>
      <c r="F351" s="41"/>
      <c r="G351" s="41"/>
      <c r="H351" s="41"/>
      <c r="I351" s="41"/>
      <c r="J351" s="41"/>
      <c r="K351" s="41"/>
      <c r="L351" s="41"/>
    </row>
    <row r="352" spans="5:12" s="39" customFormat="1" x14ac:dyDescent="0.3">
      <c r="E352" s="41"/>
      <c r="F352" s="41"/>
      <c r="G352" s="41"/>
      <c r="H352" s="41"/>
      <c r="I352" s="41"/>
      <c r="J352" s="41"/>
      <c r="K352" s="41"/>
      <c r="L352" s="41"/>
    </row>
    <row r="353" spans="5:12" s="39" customFormat="1" x14ac:dyDescent="0.3">
      <c r="E353" s="41"/>
      <c r="F353" s="41"/>
      <c r="G353" s="41"/>
      <c r="H353" s="41"/>
      <c r="I353" s="41"/>
      <c r="J353" s="41"/>
      <c r="K353" s="41"/>
      <c r="L353" s="41"/>
    </row>
    <row r="354" spans="5:12" s="39" customFormat="1" x14ac:dyDescent="0.3">
      <c r="E354" s="41"/>
      <c r="F354" s="41"/>
      <c r="G354" s="41"/>
      <c r="H354" s="41"/>
      <c r="I354" s="41"/>
      <c r="J354" s="41"/>
      <c r="K354" s="41"/>
      <c r="L354" s="41"/>
    </row>
    <row r="355" spans="5:12" s="39" customFormat="1" x14ac:dyDescent="0.3">
      <c r="E355" s="41"/>
      <c r="F355" s="41"/>
      <c r="G355" s="41"/>
      <c r="H355" s="41"/>
      <c r="I355" s="41"/>
      <c r="J355" s="41"/>
      <c r="K355" s="41"/>
      <c r="L355" s="41"/>
    </row>
    <row r="356" spans="5:12" s="39" customFormat="1" x14ac:dyDescent="0.3">
      <c r="E356" s="41"/>
      <c r="F356" s="41"/>
      <c r="G356" s="41"/>
      <c r="H356" s="41"/>
      <c r="I356" s="41"/>
      <c r="J356" s="41"/>
      <c r="K356" s="41"/>
      <c r="L356" s="41"/>
    </row>
    <row r="357" spans="5:12" s="39" customFormat="1" x14ac:dyDescent="0.3">
      <c r="E357" s="41"/>
      <c r="F357" s="41"/>
      <c r="G357" s="41"/>
      <c r="H357" s="41"/>
      <c r="I357" s="41"/>
      <c r="J357" s="41"/>
      <c r="K357" s="41"/>
      <c r="L357" s="41"/>
    </row>
    <row r="358" spans="5:12" s="39" customFormat="1" x14ac:dyDescent="0.3">
      <c r="E358" s="41"/>
      <c r="F358" s="41"/>
      <c r="G358" s="41"/>
      <c r="H358" s="41"/>
      <c r="I358" s="41"/>
      <c r="J358" s="41"/>
      <c r="K358" s="41"/>
      <c r="L358" s="41"/>
    </row>
    <row r="359" spans="5:12" s="39" customFormat="1" x14ac:dyDescent="0.3">
      <c r="E359" s="41"/>
      <c r="F359" s="41"/>
      <c r="G359" s="41"/>
      <c r="H359" s="41"/>
      <c r="I359" s="41"/>
      <c r="J359" s="41"/>
      <c r="K359" s="41"/>
      <c r="L359" s="41"/>
    </row>
    <row r="360" spans="5:12" s="39" customFormat="1" x14ac:dyDescent="0.3">
      <c r="E360" s="41"/>
      <c r="F360" s="41"/>
      <c r="G360" s="41"/>
      <c r="H360" s="41"/>
      <c r="I360" s="41"/>
      <c r="J360" s="41"/>
      <c r="K360" s="41"/>
      <c r="L360" s="41"/>
    </row>
    <row r="361" spans="5:12" s="39" customFormat="1" x14ac:dyDescent="0.3">
      <c r="E361" s="41"/>
      <c r="F361" s="41"/>
      <c r="G361" s="41"/>
      <c r="H361" s="41"/>
      <c r="I361" s="41"/>
      <c r="J361" s="41"/>
      <c r="K361" s="41"/>
      <c r="L361" s="41"/>
    </row>
    <row r="362" spans="5:12" s="39" customFormat="1" x14ac:dyDescent="0.3">
      <c r="E362" s="41"/>
      <c r="F362" s="41"/>
      <c r="G362" s="41"/>
      <c r="H362" s="41"/>
      <c r="I362" s="41"/>
      <c r="J362" s="41"/>
      <c r="K362" s="41"/>
      <c r="L362" s="41"/>
    </row>
    <row r="363" spans="5:12" s="39" customFormat="1" x14ac:dyDescent="0.3">
      <c r="E363" s="41"/>
      <c r="F363" s="41"/>
      <c r="G363" s="41"/>
      <c r="H363" s="41"/>
      <c r="I363" s="41"/>
      <c r="J363" s="41"/>
      <c r="K363" s="41"/>
      <c r="L363" s="41"/>
    </row>
    <row r="364" spans="5:12" s="39" customFormat="1" x14ac:dyDescent="0.3">
      <c r="E364" s="41"/>
      <c r="F364" s="41"/>
      <c r="G364" s="41"/>
      <c r="H364" s="41"/>
      <c r="I364" s="41"/>
      <c r="J364" s="41"/>
      <c r="K364" s="41"/>
      <c r="L364" s="41"/>
    </row>
    <row r="365" spans="5:12" s="39" customFormat="1" x14ac:dyDescent="0.3">
      <c r="E365" s="41"/>
      <c r="F365" s="41"/>
      <c r="G365" s="41"/>
      <c r="H365" s="41"/>
      <c r="I365" s="41"/>
      <c r="J365" s="41"/>
      <c r="K365" s="41"/>
      <c r="L365" s="41"/>
    </row>
    <row r="366" spans="5:12" s="39" customFormat="1" x14ac:dyDescent="0.3">
      <c r="E366" s="41"/>
      <c r="F366" s="41"/>
      <c r="G366" s="41"/>
      <c r="H366" s="41"/>
      <c r="I366" s="41"/>
      <c r="J366" s="41"/>
      <c r="K366" s="41"/>
      <c r="L366" s="41"/>
    </row>
    <row r="367" spans="5:12" s="39" customFormat="1" x14ac:dyDescent="0.3">
      <c r="E367" s="41"/>
      <c r="F367" s="41"/>
      <c r="G367" s="41"/>
      <c r="H367" s="41"/>
      <c r="I367" s="41"/>
      <c r="J367" s="41"/>
      <c r="K367" s="41"/>
      <c r="L367" s="41"/>
    </row>
    <row r="368" spans="5:12" s="39" customFormat="1" x14ac:dyDescent="0.3">
      <c r="E368" s="41"/>
      <c r="F368" s="41"/>
      <c r="G368" s="41"/>
      <c r="H368" s="41"/>
      <c r="I368" s="41"/>
      <c r="J368" s="41"/>
      <c r="K368" s="41"/>
      <c r="L368" s="41"/>
    </row>
    <row r="369" spans="5:12" s="39" customFormat="1" x14ac:dyDescent="0.3">
      <c r="E369" s="41"/>
      <c r="F369" s="41"/>
      <c r="G369" s="41"/>
      <c r="H369" s="41"/>
      <c r="I369" s="41"/>
      <c r="J369" s="41"/>
      <c r="K369" s="41"/>
      <c r="L369" s="41"/>
    </row>
    <row r="370" spans="5:12" s="39" customFormat="1" x14ac:dyDescent="0.3">
      <c r="E370" s="41"/>
      <c r="F370" s="41"/>
      <c r="G370" s="41"/>
      <c r="H370" s="41"/>
      <c r="I370" s="41"/>
      <c r="J370" s="41"/>
      <c r="K370" s="41"/>
      <c r="L370" s="41"/>
    </row>
    <row r="371" spans="5:12" s="39" customFormat="1" x14ac:dyDescent="0.3">
      <c r="E371" s="41"/>
      <c r="F371" s="41"/>
      <c r="G371" s="41"/>
      <c r="H371" s="41"/>
      <c r="I371" s="41"/>
      <c r="J371" s="41"/>
      <c r="K371" s="41"/>
      <c r="L371" s="41"/>
    </row>
    <row r="372" spans="5:12" s="39" customFormat="1" x14ac:dyDescent="0.3">
      <c r="E372" s="41"/>
      <c r="F372" s="41"/>
      <c r="G372" s="41"/>
      <c r="H372" s="41"/>
      <c r="I372" s="41"/>
      <c r="J372" s="41"/>
      <c r="K372" s="41"/>
      <c r="L372" s="41"/>
    </row>
    <row r="373" spans="5:12" s="39" customFormat="1" x14ac:dyDescent="0.3">
      <c r="E373" s="41"/>
      <c r="F373" s="41"/>
      <c r="G373" s="41"/>
      <c r="H373" s="41"/>
      <c r="I373" s="41"/>
      <c r="J373" s="41"/>
      <c r="K373" s="41"/>
      <c r="L373" s="41"/>
    </row>
    <row r="374" spans="5:12" s="39" customFormat="1" x14ac:dyDescent="0.3">
      <c r="E374" s="41"/>
      <c r="F374" s="41"/>
      <c r="G374" s="41"/>
      <c r="H374" s="41"/>
      <c r="I374" s="41"/>
      <c r="J374" s="41"/>
      <c r="K374" s="41"/>
      <c r="L374" s="41"/>
    </row>
    <row r="375" spans="5:12" s="39" customFormat="1" x14ac:dyDescent="0.3">
      <c r="E375" s="41"/>
      <c r="F375" s="41"/>
      <c r="G375" s="41"/>
      <c r="H375" s="41"/>
      <c r="I375" s="41"/>
      <c r="J375" s="41"/>
      <c r="K375" s="41"/>
      <c r="L375" s="41"/>
    </row>
    <row r="376" spans="5:12" s="39" customFormat="1" x14ac:dyDescent="0.3">
      <c r="E376" s="41"/>
      <c r="F376" s="41"/>
      <c r="G376" s="41"/>
      <c r="H376" s="41"/>
      <c r="I376" s="41"/>
      <c r="J376" s="41"/>
      <c r="K376" s="41"/>
      <c r="L376" s="41"/>
    </row>
    <row r="377" spans="5:12" s="39" customFormat="1" x14ac:dyDescent="0.3">
      <c r="E377" s="41"/>
      <c r="F377" s="41"/>
      <c r="G377" s="41"/>
      <c r="H377" s="41"/>
      <c r="I377" s="41"/>
      <c r="J377" s="41"/>
      <c r="K377" s="41"/>
      <c r="L377" s="41"/>
    </row>
    <row r="378" spans="5:12" s="39" customFormat="1" x14ac:dyDescent="0.3">
      <c r="E378" s="41"/>
      <c r="F378" s="41"/>
      <c r="G378" s="41"/>
      <c r="H378" s="41"/>
      <c r="I378" s="41"/>
      <c r="J378" s="41"/>
      <c r="K378" s="41"/>
      <c r="L378" s="41"/>
    </row>
    <row r="379" spans="5:12" s="39" customFormat="1" x14ac:dyDescent="0.3">
      <c r="E379" s="41"/>
      <c r="F379" s="41"/>
      <c r="G379" s="41"/>
      <c r="H379" s="41"/>
      <c r="I379" s="41"/>
      <c r="J379" s="41"/>
      <c r="K379" s="41"/>
      <c r="L379" s="41"/>
    </row>
    <row r="380" spans="5:12" s="39" customFormat="1" x14ac:dyDescent="0.3">
      <c r="E380" s="41"/>
      <c r="F380" s="41"/>
      <c r="G380" s="41"/>
      <c r="H380" s="41"/>
      <c r="I380" s="41"/>
      <c r="J380" s="41"/>
      <c r="K380" s="41"/>
      <c r="L380" s="41"/>
    </row>
    <row r="381" spans="5:12" s="39" customFormat="1" x14ac:dyDescent="0.3">
      <c r="E381" s="41"/>
      <c r="F381" s="41"/>
      <c r="G381" s="41"/>
      <c r="H381" s="41"/>
      <c r="I381" s="41"/>
      <c r="J381" s="41"/>
      <c r="K381" s="41"/>
      <c r="L381" s="41"/>
    </row>
    <row r="382" spans="5:12" s="39" customFormat="1" x14ac:dyDescent="0.3">
      <c r="E382" s="41"/>
      <c r="F382" s="41"/>
      <c r="G382" s="41"/>
      <c r="H382" s="41"/>
      <c r="I382" s="41"/>
      <c r="J382" s="41"/>
      <c r="K382" s="41"/>
      <c r="L382" s="41"/>
    </row>
    <row r="383" spans="5:12" s="39" customFormat="1" x14ac:dyDescent="0.3">
      <c r="E383" s="41"/>
      <c r="F383" s="41"/>
      <c r="G383" s="41"/>
      <c r="H383" s="41"/>
      <c r="I383" s="41"/>
      <c r="J383" s="41"/>
      <c r="K383" s="41"/>
      <c r="L383" s="41"/>
    </row>
    <row r="384" spans="5:12" s="39" customFormat="1" x14ac:dyDescent="0.3">
      <c r="E384" s="41"/>
      <c r="F384" s="41"/>
      <c r="G384" s="41"/>
      <c r="H384" s="41"/>
      <c r="I384" s="41"/>
      <c r="J384" s="41"/>
      <c r="K384" s="41"/>
      <c r="L384" s="41"/>
    </row>
    <row r="385" spans="5:12" s="39" customFormat="1" x14ac:dyDescent="0.3">
      <c r="E385" s="41"/>
      <c r="F385" s="41"/>
      <c r="G385" s="41"/>
      <c r="H385" s="41"/>
      <c r="I385" s="41"/>
      <c r="J385" s="41"/>
      <c r="K385" s="41"/>
      <c r="L385" s="41"/>
    </row>
    <row r="386" spans="5:12" s="39" customFormat="1" x14ac:dyDescent="0.3">
      <c r="E386" s="41"/>
      <c r="F386" s="41"/>
      <c r="G386" s="41"/>
      <c r="H386" s="41"/>
      <c r="I386" s="41"/>
      <c r="J386" s="41"/>
      <c r="K386" s="41"/>
      <c r="L386" s="41"/>
    </row>
    <row r="387" spans="5:12" s="39" customFormat="1" x14ac:dyDescent="0.3">
      <c r="E387" s="41"/>
      <c r="F387" s="41"/>
      <c r="G387" s="41"/>
      <c r="H387" s="41"/>
      <c r="I387" s="41"/>
      <c r="J387" s="41"/>
      <c r="K387" s="41"/>
      <c r="L387" s="41"/>
    </row>
    <row r="388" spans="5:12" s="39" customFormat="1" x14ac:dyDescent="0.3">
      <c r="E388" s="41"/>
      <c r="F388" s="41"/>
      <c r="G388" s="41"/>
      <c r="H388" s="41"/>
      <c r="I388" s="41"/>
      <c r="J388" s="41"/>
      <c r="K388" s="41"/>
      <c r="L388" s="41"/>
    </row>
    <row r="389" spans="5:12" s="39" customFormat="1" x14ac:dyDescent="0.3">
      <c r="E389" s="41"/>
      <c r="F389" s="41"/>
      <c r="G389" s="41"/>
      <c r="H389" s="41"/>
      <c r="I389" s="41"/>
      <c r="J389" s="41"/>
      <c r="K389" s="41"/>
      <c r="L389" s="41"/>
    </row>
    <row r="390" spans="5:12" s="39" customFormat="1" x14ac:dyDescent="0.3">
      <c r="E390" s="41"/>
      <c r="F390" s="41"/>
      <c r="G390" s="41"/>
      <c r="H390" s="41"/>
      <c r="I390" s="41"/>
      <c r="J390" s="41"/>
      <c r="K390" s="41"/>
      <c r="L390" s="41"/>
    </row>
    <row r="391" spans="5:12" s="39" customFormat="1" x14ac:dyDescent="0.3">
      <c r="E391" s="41"/>
      <c r="F391" s="41"/>
      <c r="G391" s="41"/>
      <c r="H391" s="41"/>
      <c r="I391" s="41"/>
      <c r="J391" s="41"/>
      <c r="K391" s="41"/>
      <c r="L391" s="41"/>
    </row>
    <row r="392" spans="5:12" s="39" customFormat="1" x14ac:dyDescent="0.3">
      <c r="E392" s="41"/>
      <c r="F392" s="41"/>
      <c r="G392" s="41"/>
      <c r="H392" s="41"/>
      <c r="I392" s="41"/>
      <c r="J392" s="41"/>
      <c r="K392" s="41"/>
      <c r="L392" s="41"/>
    </row>
    <row r="393" spans="5:12" s="39" customFormat="1" x14ac:dyDescent="0.3">
      <c r="E393" s="41"/>
      <c r="F393" s="41"/>
      <c r="G393" s="41"/>
      <c r="H393" s="41"/>
      <c r="I393" s="41"/>
      <c r="J393" s="41"/>
      <c r="K393" s="41"/>
      <c r="L393" s="41"/>
    </row>
    <row r="394" spans="5:12" s="39" customFormat="1" x14ac:dyDescent="0.3">
      <c r="E394" s="41"/>
      <c r="F394" s="41"/>
      <c r="G394" s="41"/>
      <c r="H394" s="41"/>
      <c r="I394" s="41"/>
      <c r="J394" s="41"/>
      <c r="K394" s="41"/>
      <c r="L394" s="41"/>
    </row>
    <row r="395" spans="5:12" s="39" customFormat="1" x14ac:dyDescent="0.3">
      <c r="E395" s="41"/>
      <c r="F395" s="41"/>
      <c r="G395" s="41"/>
      <c r="H395" s="41"/>
      <c r="I395" s="41"/>
      <c r="J395" s="41"/>
      <c r="K395" s="41"/>
      <c r="L395" s="41"/>
    </row>
    <row r="396" spans="5:12" s="39" customFormat="1" x14ac:dyDescent="0.3">
      <c r="E396" s="41"/>
      <c r="F396" s="41"/>
      <c r="G396" s="41"/>
      <c r="H396" s="41"/>
      <c r="I396" s="41"/>
      <c r="J396" s="41"/>
      <c r="K396" s="41"/>
      <c r="L396" s="41"/>
    </row>
    <row r="397" spans="5:12" s="39" customFormat="1" x14ac:dyDescent="0.3">
      <c r="E397" s="41"/>
      <c r="F397" s="41"/>
      <c r="G397" s="41"/>
      <c r="H397" s="41"/>
      <c r="I397" s="41"/>
      <c r="J397" s="41"/>
      <c r="K397" s="41"/>
      <c r="L397" s="41"/>
    </row>
    <row r="398" spans="5:12" s="39" customFormat="1" x14ac:dyDescent="0.3">
      <c r="E398" s="41"/>
      <c r="F398" s="41"/>
      <c r="G398" s="41"/>
      <c r="H398" s="41"/>
      <c r="I398" s="41"/>
      <c r="J398" s="41"/>
      <c r="K398" s="41"/>
      <c r="L398" s="41"/>
    </row>
    <row r="399" spans="5:12" s="39" customFormat="1" x14ac:dyDescent="0.3">
      <c r="E399" s="41"/>
      <c r="F399" s="41"/>
      <c r="G399" s="41"/>
      <c r="H399" s="41"/>
      <c r="I399" s="41"/>
      <c r="J399" s="41"/>
      <c r="K399" s="41"/>
      <c r="L399" s="41"/>
    </row>
    <row r="400" spans="5:12" s="39" customFormat="1" x14ac:dyDescent="0.3">
      <c r="E400" s="41"/>
      <c r="F400" s="41"/>
      <c r="G400" s="41"/>
      <c r="H400" s="41"/>
      <c r="I400" s="41"/>
      <c r="J400" s="41"/>
      <c r="K400" s="41"/>
      <c r="L400" s="41"/>
    </row>
    <row r="401" spans="5:12" s="39" customFormat="1" x14ac:dyDescent="0.3">
      <c r="E401" s="41"/>
      <c r="F401" s="41"/>
      <c r="G401" s="41"/>
      <c r="H401" s="41"/>
      <c r="I401" s="41"/>
      <c r="J401" s="41"/>
      <c r="K401" s="41"/>
      <c r="L401" s="41"/>
    </row>
    <row r="402" spans="5:12" s="39" customFormat="1" x14ac:dyDescent="0.3">
      <c r="E402" s="41"/>
      <c r="F402" s="41"/>
      <c r="G402" s="41"/>
      <c r="H402" s="41"/>
      <c r="I402" s="41"/>
      <c r="J402" s="41"/>
      <c r="K402" s="41"/>
      <c r="L402" s="41"/>
    </row>
    <row r="403" spans="5:12" s="39" customFormat="1" x14ac:dyDescent="0.3">
      <c r="E403" s="41"/>
      <c r="F403" s="41"/>
      <c r="G403" s="41"/>
      <c r="H403" s="41"/>
      <c r="I403" s="41"/>
      <c r="J403" s="41"/>
      <c r="K403" s="41"/>
      <c r="L403" s="41"/>
    </row>
    <row r="404" spans="5:12" s="39" customFormat="1" x14ac:dyDescent="0.3">
      <c r="E404" s="41"/>
      <c r="F404" s="41"/>
      <c r="G404" s="41"/>
      <c r="H404" s="41"/>
      <c r="I404" s="41"/>
      <c r="J404" s="41"/>
      <c r="K404" s="41"/>
      <c r="L404" s="41"/>
    </row>
    <row r="405" spans="5:12" s="39" customFormat="1" x14ac:dyDescent="0.3">
      <c r="E405" s="41"/>
      <c r="F405" s="41"/>
      <c r="G405" s="41"/>
      <c r="H405" s="41"/>
      <c r="I405" s="41"/>
      <c r="J405" s="41"/>
      <c r="K405" s="41"/>
      <c r="L405" s="41"/>
    </row>
    <row r="406" spans="5:12" s="39" customFormat="1" x14ac:dyDescent="0.3">
      <c r="E406" s="41"/>
      <c r="F406" s="41"/>
      <c r="G406" s="41"/>
      <c r="H406" s="41"/>
      <c r="I406" s="41"/>
      <c r="J406" s="41"/>
      <c r="K406" s="41"/>
      <c r="L406" s="41"/>
    </row>
    <row r="407" spans="5:12" s="39" customFormat="1" x14ac:dyDescent="0.3">
      <c r="E407" s="41"/>
      <c r="F407" s="41"/>
      <c r="G407" s="41"/>
      <c r="H407" s="41"/>
      <c r="I407" s="41"/>
      <c r="J407" s="41"/>
      <c r="K407" s="41"/>
      <c r="L407" s="41"/>
    </row>
    <row r="408" spans="5:12" s="39" customFormat="1" x14ac:dyDescent="0.3">
      <c r="E408" s="41"/>
      <c r="F408" s="41"/>
      <c r="G408" s="41"/>
      <c r="H408" s="41"/>
      <c r="I408" s="41"/>
      <c r="J408" s="41"/>
      <c r="K408" s="41"/>
      <c r="L408" s="41"/>
    </row>
    <row r="409" spans="5:12" s="39" customFormat="1" x14ac:dyDescent="0.3">
      <c r="E409" s="41"/>
      <c r="F409" s="41"/>
      <c r="G409" s="41"/>
      <c r="H409" s="41"/>
      <c r="I409" s="41"/>
      <c r="J409" s="41"/>
      <c r="K409" s="41"/>
      <c r="L409" s="41"/>
    </row>
    <row r="410" spans="5:12" s="39" customFormat="1" x14ac:dyDescent="0.3">
      <c r="E410" s="41"/>
      <c r="F410" s="41"/>
      <c r="G410" s="41"/>
      <c r="H410" s="41"/>
      <c r="I410" s="41"/>
      <c r="J410" s="41"/>
      <c r="K410" s="41"/>
      <c r="L410" s="41"/>
    </row>
    <row r="411" spans="5:12" s="39" customFormat="1" x14ac:dyDescent="0.3">
      <c r="E411" s="41"/>
      <c r="F411" s="41"/>
      <c r="G411" s="41"/>
      <c r="H411" s="41"/>
      <c r="I411" s="41"/>
      <c r="J411" s="41"/>
      <c r="K411" s="41"/>
      <c r="L411" s="41"/>
    </row>
    <row r="412" spans="5:12" s="39" customFormat="1" x14ac:dyDescent="0.3">
      <c r="E412" s="41"/>
      <c r="F412" s="41"/>
      <c r="G412" s="41"/>
      <c r="H412" s="41"/>
      <c r="I412" s="41"/>
      <c r="J412" s="41"/>
      <c r="K412" s="41"/>
      <c r="L412" s="41"/>
    </row>
    <row r="413" spans="5:12" s="39" customFormat="1" x14ac:dyDescent="0.3">
      <c r="E413" s="41"/>
      <c r="F413" s="41"/>
      <c r="G413" s="41"/>
      <c r="H413" s="41"/>
      <c r="I413" s="41"/>
      <c r="J413" s="41"/>
      <c r="K413" s="41"/>
      <c r="L413" s="41"/>
    </row>
    <row r="414" spans="5:12" s="39" customFormat="1" x14ac:dyDescent="0.3">
      <c r="E414" s="41"/>
      <c r="F414" s="41"/>
      <c r="G414" s="41"/>
      <c r="H414" s="41"/>
      <c r="I414" s="41"/>
      <c r="J414" s="41"/>
      <c r="K414" s="41"/>
      <c r="L414" s="41"/>
    </row>
    <row r="415" spans="5:12" s="39" customFormat="1" x14ac:dyDescent="0.3">
      <c r="E415" s="41"/>
      <c r="F415" s="41"/>
      <c r="G415" s="41"/>
      <c r="H415" s="41"/>
      <c r="I415" s="41"/>
      <c r="J415" s="41"/>
      <c r="K415" s="41"/>
      <c r="L415" s="41"/>
    </row>
    <row r="416" spans="5:12" s="39" customFormat="1" x14ac:dyDescent="0.3">
      <c r="E416" s="41"/>
      <c r="F416" s="41"/>
      <c r="G416" s="41"/>
      <c r="H416" s="41"/>
      <c r="I416" s="41"/>
      <c r="J416" s="41"/>
      <c r="K416" s="41"/>
      <c r="L416" s="41"/>
    </row>
    <row r="417" spans="5:12" s="39" customFormat="1" x14ac:dyDescent="0.3">
      <c r="E417" s="41"/>
      <c r="F417" s="41"/>
      <c r="G417" s="41"/>
      <c r="H417" s="41"/>
      <c r="I417" s="41"/>
      <c r="J417" s="41"/>
      <c r="K417" s="41"/>
      <c r="L417" s="41"/>
    </row>
    <row r="418" spans="5:12" s="39" customFormat="1" x14ac:dyDescent="0.3">
      <c r="E418" s="41"/>
      <c r="F418" s="41"/>
      <c r="G418" s="41"/>
      <c r="H418" s="41"/>
      <c r="I418" s="41"/>
      <c r="J418" s="41"/>
      <c r="K418" s="41"/>
      <c r="L418" s="41"/>
    </row>
    <row r="419" spans="5:12" s="39" customFormat="1" x14ac:dyDescent="0.3">
      <c r="E419" s="41"/>
      <c r="F419" s="41"/>
      <c r="G419" s="41"/>
      <c r="H419" s="41"/>
      <c r="I419" s="41"/>
      <c r="J419" s="41"/>
      <c r="K419" s="41"/>
      <c r="L419" s="41"/>
    </row>
    <row r="420" spans="5:12" s="39" customFormat="1" x14ac:dyDescent="0.3">
      <c r="E420" s="41"/>
      <c r="F420" s="41"/>
      <c r="G420" s="41"/>
      <c r="H420" s="41"/>
      <c r="I420" s="41"/>
      <c r="J420" s="41"/>
      <c r="K420" s="41"/>
      <c r="L420" s="41"/>
    </row>
    <row r="421" spans="5:12" s="39" customFormat="1" x14ac:dyDescent="0.3">
      <c r="E421" s="41"/>
      <c r="F421" s="41"/>
      <c r="G421" s="41"/>
      <c r="H421" s="41"/>
      <c r="I421" s="41"/>
      <c r="J421" s="41"/>
      <c r="K421" s="41"/>
      <c r="L421" s="41"/>
    </row>
    <row r="422" spans="5:12" s="39" customFormat="1" x14ac:dyDescent="0.3">
      <c r="E422" s="41"/>
      <c r="F422" s="41"/>
      <c r="G422" s="41"/>
      <c r="H422" s="41"/>
      <c r="I422" s="41"/>
      <c r="J422" s="41"/>
      <c r="K422" s="41"/>
      <c r="L422" s="41"/>
    </row>
    <row r="423" spans="5:12" s="39" customFormat="1" x14ac:dyDescent="0.3">
      <c r="E423" s="41"/>
      <c r="F423" s="41"/>
      <c r="G423" s="41"/>
      <c r="H423" s="41"/>
      <c r="I423" s="41"/>
      <c r="J423" s="41"/>
      <c r="K423" s="41"/>
      <c r="L423" s="41"/>
    </row>
    <row r="424" spans="5:12" s="39" customFormat="1" x14ac:dyDescent="0.3">
      <c r="E424" s="41"/>
      <c r="F424" s="41"/>
      <c r="G424" s="41"/>
      <c r="H424" s="41"/>
      <c r="I424" s="41"/>
      <c r="J424" s="41"/>
      <c r="K424" s="41"/>
      <c r="L424" s="41"/>
    </row>
    <row r="425" spans="5:12" s="39" customFormat="1" x14ac:dyDescent="0.3">
      <c r="E425" s="41"/>
      <c r="F425" s="41"/>
      <c r="G425" s="41"/>
      <c r="H425" s="41"/>
      <c r="I425" s="41"/>
      <c r="J425" s="41"/>
      <c r="K425" s="41"/>
      <c r="L425" s="41"/>
    </row>
    <row r="426" spans="5:12" s="39" customFormat="1" x14ac:dyDescent="0.3">
      <c r="E426" s="41"/>
      <c r="F426" s="41"/>
      <c r="G426" s="41"/>
      <c r="H426" s="41"/>
      <c r="I426" s="41"/>
      <c r="J426" s="41"/>
      <c r="K426" s="41"/>
      <c r="L426" s="41"/>
    </row>
    <row r="427" spans="5:12" s="39" customFormat="1" x14ac:dyDescent="0.3">
      <c r="E427" s="41"/>
      <c r="F427" s="41"/>
      <c r="G427" s="41"/>
      <c r="H427" s="41"/>
      <c r="I427" s="41"/>
      <c r="J427" s="41"/>
      <c r="K427" s="41"/>
      <c r="L427" s="41"/>
    </row>
    <row r="428" spans="5:12" s="39" customFormat="1" x14ac:dyDescent="0.3">
      <c r="E428" s="41"/>
      <c r="F428" s="41"/>
      <c r="G428" s="41"/>
      <c r="H428" s="41"/>
      <c r="I428" s="41"/>
      <c r="J428" s="41"/>
      <c r="K428" s="41"/>
      <c r="L428" s="41"/>
    </row>
    <row r="429" spans="5:12" s="39" customFormat="1" x14ac:dyDescent="0.3">
      <c r="E429" s="41"/>
      <c r="F429" s="41"/>
      <c r="G429" s="41"/>
      <c r="H429" s="41"/>
      <c r="I429" s="41"/>
      <c r="J429" s="41"/>
      <c r="K429" s="41"/>
      <c r="L429" s="41"/>
    </row>
    <row r="430" spans="5:12" s="39" customFormat="1" x14ac:dyDescent="0.3">
      <c r="E430" s="41"/>
      <c r="F430" s="41"/>
      <c r="G430" s="41"/>
      <c r="H430" s="41"/>
      <c r="I430" s="41"/>
      <c r="J430" s="41"/>
      <c r="K430" s="41"/>
      <c r="L430" s="41"/>
    </row>
    <row r="431" spans="5:12" s="39" customFormat="1" x14ac:dyDescent="0.3">
      <c r="E431" s="41"/>
      <c r="F431" s="41"/>
      <c r="G431" s="41"/>
      <c r="H431" s="41"/>
      <c r="I431" s="41"/>
      <c r="J431" s="41"/>
      <c r="K431" s="41"/>
      <c r="L431" s="41"/>
    </row>
    <row r="432" spans="5:12" s="39" customFormat="1" x14ac:dyDescent="0.3">
      <c r="E432" s="41"/>
      <c r="F432" s="41"/>
      <c r="G432" s="41"/>
      <c r="H432" s="41"/>
      <c r="I432" s="41"/>
      <c r="J432" s="41"/>
      <c r="K432" s="41"/>
      <c r="L432" s="41"/>
    </row>
    <row r="433" spans="5:12" s="39" customFormat="1" x14ac:dyDescent="0.3">
      <c r="E433" s="41"/>
      <c r="F433" s="41"/>
      <c r="G433" s="41"/>
      <c r="H433" s="41"/>
      <c r="I433" s="41"/>
      <c r="J433" s="41"/>
      <c r="K433" s="41"/>
      <c r="L433" s="41"/>
    </row>
    <row r="434" spans="5:12" s="39" customFormat="1" x14ac:dyDescent="0.3">
      <c r="E434" s="41"/>
      <c r="F434" s="41"/>
      <c r="G434" s="41"/>
      <c r="H434" s="41"/>
      <c r="I434" s="41"/>
      <c r="J434" s="41"/>
      <c r="K434" s="41"/>
      <c r="L434" s="41"/>
    </row>
    <row r="435" spans="5:12" s="39" customFormat="1" x14ac:dyDescent="0.3">
      <c r="E435" s="41"/>
      <c r="F435" s="41"/>
      <c r="G435" s="41"/>
      <c r="H435" s="41"/>
      <c r="I435" s="41"/>
      <c r="J435" s="41"/>
      <c r="K435" s="41"/>
      <c r="L435" s="41"/>
    </row>
    <row r="436" spans="5:12" s="39" customFormat="1" x14ac:dyDescent="0.3">
      <c r="E436" s="41"/>
      <c r="F436" s="41"/>
      <c r="G436" s="41"/>
      <c r="H436" s="41"/>
      <c r="I436" s="41"/>
      <c r="J436" s="41"/>
      <c r="K436" s="41"/>
      <c r="L436" s="41"/>
    </row>
    <row r="437" spans="5:12" s="39" customFormat="1" x14ac:dyDescent="0.3">
      <c r="E437" s="41"/>
      <c r="F437" s="41"/>
      <c r="G437" s="41"/>
      <c r="H437" s="41"/>
      <c r="I437" s="41"/>
      <c r="J437" s="41"/>
      <c r="K437" s="41"/>
      <c r="L437" s="41"/>
    </row>
    <row r="438" spans="5:12" s="39" customFormat="1" x14ac:dyDescent="0.3">
      <c r="E438" s="41"/>
      <c r="F438" s="41"/>
      <c r="G438" s="41"/>
      <c r="H438" s="41"/>
      <c r="I438" s="41"/>
      <c r="J438" s="41"/>
      <c r="K438" s="41"/>
      <c r="L438" s="41"/>
    </row>
    <row r="439" spans="5:12" s="39" customFormat="1" x14ac:dyDescent="0.3">
      <c r="E439" s="41"/>
      <c r="F439" s="41"/>
      <c r="G439" s="41"/>
      <c r="H439" s="41"/>
      <c r="I439" s="41"/>
      <c r="J439" s="41"/>
      <c r="K439" s="41"/>
      <c r="L439" s="41"/>
    </row>
    <row r="440" spans="5:12" s="39" customFormat="1" x14ac:dyDescent="0.3">
      <c r="E440" s="41"/>
      <c r="F440" s="41"/>
      <c r="G440" s="41"/>
      <c r="H440" s="41"/>
      <c r="I440" s="41"/>
      <c r="J440" s="41"/>
      <c r="K440" s="41"/>
      <c r="L440" s="41"/>
    </row>
    <row r="441" spans="5:12" s="39" customFormat="1" x14ac:dyDescent="0.3">
      <c r="E441" s="41"/>
      <c r="F441" s="41"/>
      <c r="G441" s="41"/>
      <c r="H441" s="41"/>
      <c r="I441" s="41"/>
      <c r="J441" s="41"/>
      <c r="K441" s="41"/>
      <c r="L441" s="41"/>
    </row>
    <row r="442" spans="5:12" s="39" customFormat="1" x14ac:dyDescent="0.3">
      <c r="E442" s="41"/>
      <c r="F442" s="41"/>
      <c r="G442" s="41"/>
      <c r="H442" s="41"/>
      <c r="I442" s="41"/>
      <c r="J442" s="41"/>
      <c r="K442" s="41"/>
      <c r="L442" s="41"/>
    </row>
    <row r="443" spans="5:12" s="39" customFormat="1" x14ac:dyDescent="0.3">
      <c r="E443" s="41"/>
      <c r="F443" s="41"/>
      <c r="G443" s="41"/>
      <c r="H443" s="41"/>
      <c r="I443" s="41"/>
      <c r="J443" s="41"/>
      <c r="K443" s="41"/>
      <c r="L443" s="41"/>
    </row>
    <row r="444" spans="5:12" s="39" customFormat="1" x14ac:dyDescent="0.3">
      <c r="E444" s="41"/>
      <c r="F444" s="41"/>
      <c r="G444" s="41"/>
      <c r="H444" s="41"/>
      <c r="I444" s="41"/>
      <c r="J444" s="41"/>
      <c r="K444" s="41"/>
      <c r="L444" s="41"/>
    </row>
    <row r="445" spans="5:12" s="39" customFormat="1" x14ac:dyDescent="0.3">
      <c r="E445" s="41"/>
      <c r="F445" s="41"/>
      <c r="G445" s="41"/>
      <c r="H445" s="41"/>
      <c r="I445" s="41"/>
      <c r="J445" s="41"/>
      <c r="K445" s="41"/>
      <c r="L445" s="41"/>
    </row>
    <row r="446" spans="5:12" s="39" customFormat="1" x14ac:dyDescent="0.3">
      <c r="E446" s="41"/>
      <c r="F446" s="41"/>
      <c r="G446" s="41"/>
      <c r="H446" s="41"/>
      <c r="I446" s="41"/>
      <c r="J446" s="41"/>
      <c r="K446" s="41"/>
      <c r="L446" s="41"/>
    </row>
    <row r="447" spans="5:12" s="39" customFormat="1" x14ac:dyDescent="0.3">
      <c r="E447" s="41"/>
      <c r="F447" s="41"/>
      <c r="G447" s="41"/>
      <c r="H447" s="41"/>
      <c r="I447" s="41"/>
      <c r="J447" s="41"/>
      <c r="K447" s="41"/>
      <c r="L447" s="41"/>
    </row>
    <row r="448" spans="5:12" s="39" customFormat="1" x14ac:dyDescent="0.3">
      <c r="E448" s="41"/>
      <c r="F448" s="41"/>
      <c r="G448" s="41"/>
      <c r="H448" s="41"/>
      <c r="I448" s="41"/>
      <c r="J448" s="41"/>
      <c r="K448" s="41"/>
      <c r="L448" s="41"/>
    </row>
    <row r="449" spans="5:12" s="39" customFormat="1" x14ac:dyDescent="0.3">
      <c r="E449" s="41"/>
      <c r="F449" s="41"/>
      <c r="G449" s="41"/>
      <c r="H449" s="41"/>
      <c r="I449" s="41"/>
      <c r="J449" s="41"/>
      <c r="K449" s="41"/>
      <c r="L449" s="41"/>
    </row>
    <row r="450" spans="5:12" s="39" customFormat="1" x14ac:dyDescent="0.3">
      <c r="E450" s="41"/>
      <c r="F450" s="41"/>
      <c r="G450" s="41"/>
      <c r="H450" s="41"/>
      <c r="I450" s="41"/>
      <c r="J450" s="41"/>
      <c r="K450" s="41"/>
      <c r="L450" s="41"/>
    </row>
    <row r="451" spans="5:12" s="39" customFormat="1" x14ac:dyDescent="0.3">
      <c r="E451" s="41"/>
      <c r="F451" s="41"/>
      <c r="G451" s="41"/>
      <c r="H451" s="41"/>
      <c r="I451" s="41"/>
      <c r="J451" s="41"/>
      <c r="K451" s="41"/>
      <c r="L451" s="41"/>
    </row>
    <row r="452" spans="5:12" s="39" customFormat="1" x14ac:dyDescent="0.3">
      <c r="E452" s="41"/>
      <c r="F452" s="41"/>
      <c r="G452" s="41"/>
      <c r="H452" s="41"/>
      <c r="I452" s="41"/>
      <c r="J452" s="41"/>
      <c r="K452" s="41"/>
      <c r="L452" s="41"/>
    </row>
    <row r="453" spans="5:12" s="39" customFormat="1" x14ac:dyDescent="0.3">
      <c r="E453" s="41"/>
      <c r="F453" s="41"/>
      <c r="G453" s="41"/>
      <c r="H453" s="41"/>
      <c r="I453" s="41"/>
      <c r="J453" s="41"/>
      <c r="K453" s="41"/>
      <c r="L453" s="41"/>
    </row>
    <row r="454" spans="5:12" s="39" customFormat="1" x14ac:dyDescent="0.3">
      <c r="E454" s="41"/>
      <c r="F454" s="41"/>
      <c r="G454" s="41"/>
      <c r="H454" s="41"/>
      <c r="I454" s="41"/>
      <c r="J454" s="41"/>
      <c r="K454" s="41"/>
      <c r="L454" s="41"/>
    </row>
    <row r="455" spans="5:12" s="39" customFormat="1" x14ac:dyDescent="0.3">
      <c r="E455" s="41"/>
      <c r="F455" s="41"/>
      <c r="G455" s="41"/>
      <c r="H455" s="41"/>
      <c r="I455" s="41"/>
      <c r="J455" s="41"/>
      <c r="K455" s="41"/>
      <c r="L455" s="41"/>
    </row>
    <row r="456" spans="5:12" s="39" customFormat="1" x14ac:dyDescent="0.3">
      <c r="E456" s="41"/>
      <c r="F456" s="41"/>
      <c r="G456" s="41"/>
      <c r="H456" s="41"/>
      <c r="I456" s="41"/>
      <c r="J456" s="41"/>
      <c r="K456" s="41"/>
      <c r="L456" s="41"/>
    </row>
    <row r="457" spans="5:12" s="39" customFormat="1" x14ac:dyDescent="0.3">
      <c r="E457" s="41"/>
      <c r="F457" s="41"/>
      <c r="G457" s="41"/>
      <c r="H457" s="41"/>
      <c r="I457" s="41"/>
      <c r="J457" s="41"/>
      <c r="K457" s="41"/>
      <c r="L457" s="41"/>
    </row>
    <row r="458" spans="5:12" s="39" customFormat="1" x14ac:dyDescent="0.3">
      <c r="E458" s="41"/>
      <c r="F458" s="41"/>
      <c r="G458" s="41"/>
      <c r="H458" s="41"/>
      <c r="I458" s="41"/>
      <c r="J458" s="41"/>
      <c r="K458" s="41"/>
      <c r="L458" s="41"/>
    </row>
    <row r="459" spans="5:12" s="39" customFormat="1" x14ac:dyDescent="0.3">
      <c r="E459" s="41"/>
      <c r="F459" s="41"/>
      <c r="G459" s="41"/>
      <c r="H459" s="41"/>
      <c r="I459" s="41"/>
      <c r="J459" s="41"/>
      <c r="K459" s="41"/>
      <c r="L459" s="41"/>
    </row>
    <row r="460" spans="5:12" s="39" customFormat="1" x14ac:dyDescent="0.3">
      <c r="E460" s="41"/>
      <c r="F460" s="41"/>
      <c r="G460" s="41"/>
      <c r="H460" s="41"/>
      <c r="I460" s="41"/>
      <c r="J460" s="41"/>
      <c r="K460" s="41"/>
      <c r="L460" s="41"/>
    </row>
    <row r="461" spans="5:12" s="39" customFormat="1" x14ac:dyDescent="0.3">
      <c r="E461" s="41"/>
      <c r="F461" s="41"/>
      <c r="G461" s="41"/>
      <c r="H461" s="41"/>
      <c r="I461" s="41"/>
      <c r="J461" s="41"/>
      <c r="K461" s="41"/>
      <c r="L461" s="41"/>
    </row>
    <row r="462" spans="5:12" s="39" customFormat="1" x14ac:dyDescent="0.3">
      <c r="E462" s="41"/>
      <c r="F462" s="41"/>
      <c r="G462" s="41"/>
      <c r="H462" s="41"/>
      <c r="I462" s="41"/>
      <c r="J462" s="41"/>
      <c r="K462" s="41"/>
      <c r="L462" s="41"/>
    </row>
    <row r="463" spans="5:12" s="39" customFormat="1" x14ac:dyDescent="0.3">
      <c r="E463" s="41"/>
      <c r="F463" s="41"/>
      <c r="G463" s="41"/>
      <c r="H463" s="41"/>
      <c r="I463" s="41"/>
      <c r="J463" s="41"/>
      <c r="K463" s="41"/>
      <c r="L463" s="41"/>
    </row>
    <row r="464" spans="5:12" s="39" customFormat="1" x14ac:dyDescent="0.3">
      <c r="E464" s="41"/>
      <c r="F464" s="41"/>
      <c r="G464" s="41"/>
      <c r="H464" s="41"/>
      <c r="I464" s="41"/>
      <c r="J464" s="41"/>
      <c r="K464" s="41"/>
      <c r="L464" s="41"/>
    </row>
    <row r="465" spans="5:12" s="39" customFormat="1" x14ac:dyDescent="0.3">
      <c r="E465" s="41"/>
      <c r="F465" s="41"/>
      <c r="G465" s="41"/>
      <c r="H465" s="41"/>
      <c r="I465" s="41"/>
      <c r="J465" s="41"/>
      <c r="K465" s="41"/>
      <c r="L465" s="41"/>
    </row>
    <row r="466" spans="5:12" s="39" customFormat="1" x14ac:dyDescent="0.3">
      <c r="E466" s="41"/>
      <c r="F466" s="41"/>
      <c r="G466" s="41"/>
      <c r="H466" s="41"/>
      <c r="I466" s="41"/>
      <c r="J466" s="41"/>
      <c r="K466" s="41"/>
      <c r="L466" s="41"/>
    </row>
    <row r="467" spans="5:12" s="39" customFormat="1" x14ac:dyDescent="0.3">
      <c r="E467" s="41"/>
      <c r="F467" s="41"/>
      <c r="G467" s="41"/>
      <c r="H467" s="41"/>
      <c r="I467" s="41"/>
      <c r="J467" s="41"/>
      <c r="K467" s="41"/>
      <c r="L467" s="41"/>
    </row>
    <row r="468" spans="5:12" s="39" customFormat="1" x14ac:dyDescent="0.3">
      <c r="E468" s="41"/>
      <c r="F468" s="41"/>
      <c r="G468" s="41"/>
      <c r="H468" s="41"/>
      <c r="I468" s="41"/>
      <c r="J468" s="41"/>
      <c r="K468" s="41"/>
      <c r="L468" s="41"/>
    </row>
    <row r="469" spans="5:12" s="39" customFormat="1" x14ac:dyDescent="0.3">
      <c r="E469" s="41"/>
      <c r="F469" s="41"/>
      <c r="G469" s="41"/>
      <c r="H469" s="41"/>
      <c r="I469" s="41"/>
      <c r="J469" s="41"/>
      <c r="K469" s="41"/>
      <c r="L469" s="41"/>
    </row>
    <row r="470" spans="5:12" s="39" customFormat="1" x14ac:dyDescent="0.3">
      <c r="E470" s="41"/>
      <c r="F470" s="41"/>
      <c r="G470" s="41"/>
      <c r="H470" s="41"/>
      <c r="I470" s="41"/>
      <c r="J470" s="41"/>
      <c r="K470" s="41"/>
      <c r="L470" s="41"/>
    </row>
    <row r="471" spans="5:12" s="39" customFormat="1" x14ac:dyDescent="0.3">
      <c r="E471" s="41"/>
      <c r="F471" s="41"/>
      <c r="G471" s="41"/>
      <c r="H471" s="41"/>
      <c r="I471" s="41"/>
      <c r="J471" s="41"/>
      <c r="K471" s="41"/>
      <c r="L471" s="41"/>
    </row>
    <row r="472" spans="5:12" s="39" customFormat="1" x14ac:dyDescent="0.3">
      <c r="E472" s="41"/>
      <c r="F472" s="41"/>
      <c r="G472" s="41"/>
      <c r="H472" s="41"/>
      <c r="I472" s="41"/>
      <c r="J472" s="41"/>
      <c r="K472" s="41"/>
      <c r="L472" s="41"/>
    </row>
    <row r="473" spans="5:12" s="39" customFormat="1" x14ac:dyDescent="0.3">
      <c r="E473" s="41"/>
      <c r="F473" s="41"/>
      <c r="G473" s="41"/>
      <c r="H473" s="41"/>
      <c r="I473" s="41"/>
      <c r="J473" s="41"/>
      <c r="K473" s="41"/>
      <c r="L473" s="41"/>
    </row>
    <row r="474" spans="5:12" s="39" customFormat="1" x14ac:dyDescent="0.3">
      <c r="E474" s="41"/>
      <c r="F474" s="41"/>
      <c r="G474" s="41"/>
      <c r="H474" s="41"/>
      <c r="I474" s="41"/>
      <c r="J474" s="41"/>
      <c r="K474" s="41"/>
      <c r="L474" s="41"/>
    </row>
    <row r="475" spans="5:12" s="39" customFormat="1" x14ac:dyDescent="0.3">
      <c r="E475" s="41"/>
      <c r="F475" s="41"/>
      <c r="G475" s="41"/>
      <c r="H475" s="41"/>
      <c r="I475" s="41"/>
      <c r="J475" s="41"/>
      <c r="K475" s="41"/>
      <c r="L475" s="41"/>
    </row>
    <row r="476" spans="5:12" s="39" customFormat="1" x14ac:dyDescent="0.3">
      <c r="E476" s="41"/>
      <c r="F476" s="41"/>
      <c r="G476" s="41"/>
      <c r="H476" s="41"/>
      <c r="I476" s="41"/>
      <c r="J476" s="41"/>
      <c r="K476" s="41"/>
      <c r="L476" s="41"/>
    </row>
    <row r="477" spans="5:12" s="39" customFormat="1" x14ac:dyDescent="0.3">
      <c r="E477" s="41"/>
      <c r="F477" s="41"/>
      <c r="G477" s="41"/>
      <c r="H477" s="41"/>
      <c r="I477" s="41"/>
      <c r="J477" s="41"/>
      <c r="K477" s="41"/>
      <c r="L477" s="41"/>
    </row>
    <row r="478" spans="5:12" s="39" customFormat="1" x14ac:dyDescent="0.3">
      <c r="E478" s="41"/>
      <c r="F478" s="41"/>
      <c r="G478" s="41"/>
      <c r="H478" s="41"/>
      <c r="I478" s="41"/>
      <c r="J478" s="41"/>
      <c r="K478" s="41"/>
      <c r="L478" s="41"/>
    </row>
    <row r="479" spans="5:12" s="39" customFormat="1" x14ac:dyDescent="0.3">
      <c r="E479" s="41"/>
      <c r="F479" s="41"/>
      <c r="G479" s="41"/>
      <c r="H479" s="41"/>
      <c r="I479" s="41"/>
      <c r="J479" s="41"/>
      <c r="K479" s="41"/>
      <c r="L479" s="41"/>
    </row>
    <row r="480" spans="5:12" s="39" customFormat="1" x14ac:dyDescent="0.3">
      <c r="E480" s="41"/>
      <c r="F480" s="41"/>
      <c r="G480" s="41"/>
      <c r="H480" s="41"/>
      <c r="I480" s="41"/>
      <c r="J480" s="41"/>
      <c r="K480" s="41"/>
      <c r="L480" s="41"/>
    </row>
    <row r="481" spans="5:12" s="39" customFormat="1" x14ac:dyDescent="0.3">
      <c r="E481" s="41"/>
      <c r="F481" s="41"/>
      <c r="G481" s="41"/>
      <c r="H481" s="41"/>
      <c r="I481" s="41"/>
      <c r="J481" s="41"/>
      <c r="K481" s="41"/>
      <c r="L481" s="41"/>
    </row>
    <row r="482" spans="5:12" s="39" customFormat="1" x14ac:dyDescent="0.3">
      <c r="E482" s="41"/>
      <c r="F482" s="41"/>
      <c r="G482" s="41"/>
      <c r="H482" s="41"/>
      <c r="I482" s="41"/>
      <c r="J482" s="41"/>
      <c r="K482" s="41"/>
      <c r="L482" s="41"/>
    </row>
    <row r="483" spans="5:12" s="39" customFormat="1" x14ac:dyDescent="0.3">
      <c r="E483" s="41"/>
      <c r="F483" s="41"/>
      <c r="G483" s="41"/>
      <c r="H483" s="41"/>
      <c r="I483" s="41"/>
      <c r="J483" s="41"/>
      <c r="K483" s="41"/>
      <c r="L483" s="41"/>
    </row>
    <row r="484" spans="5:12" s="39" customFormat="1" x14ac:dyDescent="0.3">
      <c r="E484" s="41"/>
      <c r="F484" s="41"/>
      <c r="G484" s="41"/>
      <c r="H484" s="41"/>
      <c r="I484" s="41"/>
      <c r="J484" s="41"/>
      <c r="K484" s="41"/>
      <c r="L484" s="41"/>
    </row>
    <row r="485" spans="5:12" s="39" customFormat="1" x14ac:dyDescent="0.3">
      <c r="E485" s="41"/>
      <c r="F485" s="41"/>
      <c r="G485" s="41"/>
      <c r="H485" s="41"/>
      <c r="I485" s="41"/>
      <c r="J485" s="41"/>
      <c r="K485" s="41"/>
      <c r="L485" s="41"/>
    </row>
    <row r="486" spans="5:12" s="39" customFormat="1" x14ac:dyDescent="0.3">
      <c r="E486" s="41"/>
      <c r="F486" s="41"/>
      <c r="G486" s="41"/>
      <c r="H486" s="41"/>
      <c r="I486" s="41"/>
      <c r="J486" s="41"/>
      <c r="K486" s="41"/>
      <c r="L486" s="41"/>
    </row>
    <row r="487" spans="5:12" s="39" customFormat="1" x14ac:dyDescent="0.3">
      <c r="E487" s="41"/>
      <c r="F487" s="41"/>
      <c r="G487" s="41"/>
      <c r="H487" s="41"/>
      <c r="I487" s="41"/>
      <c r="J487" s="41"/>
      <c r="K487" s="41"/>
      <c r="L487" s="41"/>
    </row>
    <row r="488" spans="5:12" s="39" customFormat="1" x14ac:dyDescent="0.3">
      <c r="E488" s="41"/>
      <c r="F488" s="41"/>
      <c r="G488" s="41"/>
      <c r="H488" s="41"/>
      <c r="I488" s="41"/>
      <c r="J488" s="41"/>
      <c r="K488" s="41"/>
      <c r="L488" s="41"/>
    </row>
    <row r="489" spans="5:12" s="39" customFormat="1" x14ac:dyDescent="0.3">
      <c r="E489" s="41"/>
      <c r="F489" s="41"/>
      <c r="G489" s="41"/>
      <c r="H489" s="41"/>
      <c r="I489" s="41"/>
      <c r="J489" s="41"/>
      <c r="K489" s="41"/>
      <c r="L489" s="41"/>
    </row>
    <row r="490" spans="5:12" s="39" customFormat="1" x14ac:dyDescent="0.3">
      <c r="E490" s="41"/>
      <c r="F490" s="41"/>
      <c r="G490" s="41"/>
      <c r="H490" s="41"/>
      <c r="I490" s="41"/>
      <c r="J490" s="41"/>
      <c r="K490" s="41"/>
      <c r="L490" s="41"/>
    </row>
    <row r="491" spans="5:12" s="39" customFormat="1" x14ac:dyDescent="0.3">
      <c r="E491" s="41"/>
      <c r="F491" s="41"/>
      <c r="G491" s="41"/>
      <c r="H491" s="41"/>
      <c r="I491" s="41"/>
      <c r="J491" s="41"/>
      <c r="K491" s="41"/>
      <c r="L491" s="41"/>
    </row>
    <row r="492" spans="5:12" s="39" customFormat="1" x14ac:dyDescent="0.3">
      <c r="E492" s="41"/>
      <c r="F492" s="41"/>
      <c r="G492" s="41"/>
      <c r="H492" s="41"/>
      <c r="I492" s="41"/>
      <c r="J492" s="41"/>
      <c r="K492" s="41"/>
      <c r="L492" s="41"/>
    </row>
    <row r="493" spans="5:12" s="39" customFormat="1" x14ac:dyDescent="0.3">
      <c r="E493" s="41"/>
      <c r="F493" s="41"/>
      <c r="G493" s="41"/>
      <c r="H493" s="41"/>
      <c r="I493" s="41"/>
      <c r="J493" s="41"/>
      <c r="K493" s="41"/>
      <c r="L493" s="41"/>
    </row>
    <row r="494" spans="5:12" s="39" customFormat="1" x14ac:dyDescent="0.3">
      <c r="E494" s="41"/>
      <c r="F494" s="41"/>
      <c r="G494" s="41"/>
      <c r="H494" s="41"/>
      <c r="I494" s="41"/>
      <c r="J494" s="41"/>
      <c r="K494" s="41"/>
      <c r="L494" s="41"/>
    </row>
    <row r="495" spans="5:12" s="39" customFormat="1" x14ac:dyDescent="0.3">
      <c r="E495" s="41"/>
      <c r="F495" s="41"/>
      <c r="G495" s="41"/>
      <c r="H495" s="41"/>
      <c r="I495" s="41"/>
      <c r="J495" s="41"/>
      <c r="K495" s="41"/>
      <c r="L495" s="41"/>
    </row>
    <row r="496" spans="5:12" s="39" customFormat="1" x14ac:dyDescent="0.3">
      <c r="E496" s="41"/>
      <c r="F496" s="41"/>
      <c r="G496" s="41"/>
      <c r="H496" s="41"/>
      <c r="I496" s="41"/>
      <c r="J496" s="41"/>
      <c r="K496" s="41"/>
      <c r="L496" s="41"/>
    </row>
    <row r="497" spans="5:12" s="39" customFormat="1" x14ac:dyDescent="0.3">
      <c r="E497" s="41"/>
      <c r="F497" s="41"/>
      <c r="G497" s="41"/>
      <c r="H497" s="41"/>
      <c r="I497" s="41"/>
      <c r="J497" s="41"/>
      <c r="K497" s="41"/>
      <c r="L497" s="41"/>
    </row>
    <row r="498" spans="5:12" s="39" customFormat="1" x14ac:dyDescent="0.3">
      <c r="E498" s="41"/>
      <c r="F498" s="41"/>
      <c r="G498" s="41"/>
      <c r="H498" s="41"/>
      <c r="I498" s="41"/>
      <c r="J498" s="41"/>
      <c r="K498" s="41"/>
      <c r="L498" s="41"/>
    </row>
    <row r="499" spans="5:12" s="39" customFormat="1" x14ac:dyDescent="0.3">
      <c r="E499" s="41"/>
      <c r="F499" s="41"/>
      <c r="G499" s="41"/>
      <c r="H499" s="41"/>
      <c r="I499" s="41"/>
      <c r="J499" s="41"/>
      <c r="K499" s="41"/>
      <c r="L499" s="41"/>
    </row>
    <row r="500" spans="5:12" s="39" customFormat="1" x14ac:dyDescent="0.3">
      <c r="E500" s="41"/>
      <c r="F500" s="41"/>
      <c r="G500" s="41"/>
      <c r="H500" s="41"/>
      <c r="I500" s="41"/>
      <c r="J500" s="41"/>
      <c r="K500" s="41"/>
      <c r="L500" s="41"/>
    </row>
    <row r="501" spans="5:12" s="39" customFormat="1" x14ac:dyDescent="0.3">
      <c r="E501" s="41"/>
      <c r="F501" s="41"/>
      <c r="G501" s="41"/>
      <c r="H501" s="41"/>
      <c r="I501" s="41"/>
      <c r="J501" s="41"/>
      <c r="K501" s="41"/>
      <c r="L501" s="41"/>
    </row>
    <row r="502" spans="5:12" s="39" customFormat="1" x14ac:dyDescent="0.3">
      <c r="E502" s="41"/>
      <c r="F502" s="41"/>
      <c r="G502" s="41"/>
      <c r="H502" s="41"/>
      <c r="I502" s="41"/>
      <c r="J502" s="41"/>
      <c r="K502" s="41"/>
      <c r="L502" s="41"/>
    </row>
    <row r="503" spans="5:12" s="39" customFormat="1" x14ac:dyDescent="0.3">
      <c r="E503" s="41"/>
      <c r="F503" s="41"/>
      <c r="G503" s="41"/>
      <c r="H503" s="41"/>
      <c r="I503" s="41"/>
      <c r="J503" s="41"/>
      <c r="K503" s="41"/>
      <c r="L503" s="41"/>
    </row>
    <row r="504" spans="5:12" s="39" customFormat="1" x14ac:dyDescent="0.3">
      <c r="E504" s="41"/>
      <c r="F504" s="41"/>
      <c r="G504" s="41"/>
      <c r="H504" s="41"/>
      <c r="I504" s="41"/>
      <c r="J504" s="41"/>
      <c r="K504" s="41"/>
      <c r="L504" s="41"/>
    </row>
    <row r="505" spans="5:12" s="39" customFormat="1" x14ac:dyDescent="0.3">
      <c r="E505" s="41"/>
      <c r="F505" s="41"/>
      <c r="G505" s="41"/>
      <c r="H505" s="41"/>
      <c r="I505" s="41"/>
      <c r="J505" s="41"/>
      <c r="K505" s="41"/>
      <c r="L505" s="41"/>
    </row>
    <row r="506" spans="5:12" s="39" customFormat="1" x14ac:dyDescent="0.3">
      <c r="E506" s="41"/>
      <c r="F506" s="41"/>
      <c r="G506" s="41"/>
      <c r="H506" s="41"/>
      <c r="I506" s="41"/>
      <c r="J506" s="41"/>
      <c r="K506" s="41"/>
      <c r="L506" s="41"/>
    </row>
    <row r="507" spans="5:12" s="39" customFormat="1" x14ac:dyDescent="0.3">
      <c r="E507" s="41"/>
      <c r="F507" s="41"/>
      <c r="G507" s="41"/>
      <c r="H507" s="41"/>
      <c r="I507" s="41"/>
      <c r="J507" s="41"/>
      <c r="K507" s="41"/>
      <c r="L507" s="41"/>
    </row>
    <row r="508" spans="5:12" s="39" customFormat="1" x14ac:dyDescent="0.3">
      <c r="E508" s="41"/>
      <c r="F508" s="41"/>
      <c r="G508" s="41"/>
      <c r="H508" s="41"/>
      <c r="I508" s="41"/>
      <c r="J508" s="41"/>
      <c r="K508" s="41"/>
      <c r="L508" s="41"/>
    </row>
    <row r="509" spans="5:12" s="39" customFormat="1" x14ac:dyDescent="0.3">
      <c r="E509" s="41"/>
      <c r="F509" s="41"/>
      <c r="G509" s="41"/>
      <c r="H509" s="41"/>
      <c r="I509" s="41"/>
      <c r="J509" s="41"/>
      <c r="K509" s="41"/>
      <c r="L509" s="41"/>
    </row>
    <row r="510" spans="5:12" s="39" customFormat="1" x14ac:dyDescent="0.3">
      <c r="E510" s="41"/>
      <c r="F510" s="41"/>
      <c r="G510" s="41"/>
      <c r="H510" s="41"/>
      <c r="I510" s="41"/>
      <c r="J510" s="41"/>
      <c r="K510" s="41"/>
      <c r="L510" s="41"/>
    </row>
    <row r="511" spans="5:12" s="39" customFormat="1" x14ac:dyDescent="0.3">
      <c r="E511" s="41"/>
      <c r="F511" s="41"/>
      <c r="G511" s="41"/>
      <c r="H511" s="41"/>
      <c r="I511" s="41"/>
      <c r="J511" s="41"/>
      <c r="K511" s="41"/>
      <c r="L511" s="41"/>
    </row>
    <row r="512" spans="5:12" s="39" customFormat="1" x14ac:dyDescent="0.3">
      <c r="E512" s="41"/>
      <c r="F512" s="41"/>
      <c r="G512" s="41"/>
      <c r="H512" s="41"/>
      <c r="I512" s="41"/>
      <c r="J512" s="41"/>
      <c r="K512" s="41"/>
      <c r="L512" s="41"/>
    </row>
    <row r="513" spans="5:12" s="39" customFormat="1" x14ac:dyDescent="0.3">
      <c r="E513" s="41"/>
      <c r="F513" s="41"/>
      <c r="G513" s="41"/>
      <c r="H513" s="41"/>
      <c r="I513" s="41"/>
      <c r="J513" s="41"/>
      <c r="K513" s="41"/>
      <c r="L513" s="41"/>
    </row>
    <row r="514" spans="5:12" s="39" customFormat="1" x14ac:dyDescent="0.3">
      <c r="E514" s="41"/>
      <c r="F514" s="41"/>
      <c r="G514" s="41"/>
      <c r="H514" s="41"/>
      <c r="I514" s="41"/>
      <c r="J514" s="41"/>
      <c r="K514" s="41"/>
      <c r="L514" s="41"/>
    </row>
    <row r="515" spans="5:12" s="39" customFormat="1" x14ac:dyDescent="0.3">
      <c r="E515" s="41"/>
      <c r="F515" s="41"/>
      <c r="G515" s="41"/>
      <c r="H515" s="41"/>
      <c r="I515" s="41"/>
      <c r="J515" s="41"/>
      <c r="K515" s="41"/>
      <c r="L515" s="41"/>
    </row>
    <row r="516" spans="5:12" s="39" customFormat="1" x14ac:dyDescent="0.3">
      <c r="E516" s="41"/>
      <c r="F516" s="41"/>
      <c r="G516" s="41"/>
      <c r="H516" s="41"/>
      <c r="I516" s="41"/>
      <c r="J516" s="41"/>
      <c r="K516" s="41"/>
      <c r="L516" s="41"/>
    </row>
    <row r="517" spans="5:12" s="39" customFormat="1" x14ac:dyDescent="0.3">
      <c r="E517" s="41"/>
      <c r="F517" s="41"/>
      <c r="G517" s="41"/>
      <c r="H517" s="41"/>
      <c r="I517" s="41"/>
      <c r="J517" s="41"/>
      <c r="K517" s="41"/>
      <c r="L517" s="41"/>
    </row>
    <row r="518" spans="5:12" s="39" customFormat="1" x14ac:dyDescent="0.3">
      <c r="E518" s="41"/>
      <c r="F518" s="41"/>
      <c r="G518" s="41"/>
      <c r="H518" s="41"/>
      <c r="I518" s="41"/>
      <c r="J518" s="41"/>
      <c r="K518" s="41"/>
      <c r="L518" s="41"/>
    </row>
    <row r="519" spans="5:12" s="39" customFormat="1" x14ac:dyDescent="0.3">
      <c r="E519" s="41"/>
      <c r="F519" s="41"/>
      <c r="G519" s="41"/>
      <c r="H519" s="41"/>
      <c r="I519" s="41"/>
      <c r="J519" s="41"/>
      <c r="K519" s="41"/>
      <c r="L519" s="41"/>
    </row>
    <row r="520" spans="5:12" s="39" customFormat="1" x14ac:dyDescent="0.3">
      <c r="E520" s="41"/>
      <c r="F520" s="41"/>
      <c r="G520" s="41"/>
      <c r="H520" s="41"/>
      <c r="I520" s="41"/>
      <c r="J520" s="41"/>
      <c r="K520" s="41"/>
      <c r="L520" s="41"/>
    </row>
    <row r="521" spans="5:12" s="39" customFormat="1" x14ac:dyDescent="0.3">
      <c r="E521" s="41"/>
      <c r="F521" s="41"/>
      <c r="G521" s="41"/>
      <c r="H521" s="41"/>
      <c r="I521" s="41"/>
      <c r="J521" s="41"/>
      <c r="K521" s="41"/>
      <c r="L521" s="41"/>
    </row>
    <row r="522" spans="5:12" s="39" customFormat="1" x14ac:dyDescent="0.3">
      <c r="E522" s="41"/>
      <c r="F522" s="41"/>
      <c r="G522" s="41"/>
      <c r="H522" s="41"/>
      <c r="I522" s="41"/>
      <c r="J522" s="41"/>
      <c r="K522" s="41"/>
      <c r="L522" s="41"/>
    </row>
    <row r="523" spans="5:12" s="39" customFormat="1" x14ac:dyDescent="0.3">
      <c r="E523" s="41"/>
      <c r="F523" s="41"/>
      <c r="G523" s="41"/>
      <c r="H523" s="41"/>
      <c r="I523" s="41"/>
      <c r="J523" s="41"/>
      <c r="K523" s="41"/>
      <c r="L523" s="41"/>
    </row>
    <row r="524" spans="5:12" s="39" customFormat="1" x14ac:dyDescent="0.3">
      <c r="E524" s="41"/>
      <c r="F524" s="41"/>
      <c r="G524" s="41"/>
      <c r="H524" s="41"/>
      <c r="I524" s="41"/>
      <c r="J524" s="41"/>
      <c r="K524" s="41"/>
      <c r="L524" s="41"/>
    </row>
    <row r="525" spans="5:12" s="39" customFormat="1" x14ac:dyDescent="0.3">
      <c r="E525" s="41"/>
      <c r="F525" s="41"/>
      <c r="G525" s="41"/>
      <c r="H525" s="41"/>
      <c r="I525" s="41"/>
      <c r="J525" s="41"/>
      <c r="K525" s="41"/>
      <c r="L525" s="41"/>
    </row>
    <row r="526" spans="5:12" s="39" customFormat="1" x14ac:dyDescent="0.3">
      <c r="E526" s="41"/>
      <c r="F526" s="41"/>
      <c r="G526" s="41"/>
      <c r="H526" s="41"/>
      <c r="I526" s="41"/>
      <c r="J526" s="41"/>
      <c r="K526" s="41"/>
      <c r="L526" s="41"/>
    </row>
    <row r="527" spans="5:12" s="39" customFormat="1" x14ac:dyDescent="0.3">
      <c r="E527" s="41"/>
      <c r="F527" s="41"/>
      <c r="G527" s="41"/>
      <c r="H527" s="41"/>
      <c r="I527" s="41"/>
      <c r="J527" s="41"/>
      <c r="K527" s="41"/>
      <c r="L527" s="41"/>
    </row>
    <row r="528" spans="5:12" s="39" customFormat="1" x14ac:dyDescent="0.3">
      <c r="E528" s="41"/>
      <c r="F528" s="41"/>
      <c r="G528" s="41"/>
      <c r="H528" s="41"/>
      <c r="I528" s="41"/>
      <c r="J528" s="41"/>
      <c r="K528" s="41"/>
      <c r="L528" s="41"/>
    </row>
    <row r="529" spans="5:12" s="39" customFormat="1" x14ac:dyDescent="0.3">
      <c r="E529" s="41"/>
      <c r="F529" s="41"/>
      <c r="G529" s="41"/>
      <c r="H529" s="41"/>
      <c r="I529" s="41"/>
      <c r="J529" s="41"/>
      <c r="K529" s="41"/>
      <c r="L529" s="41"/>
    </row>
    <row r="530" spans="5:12" s="39" customFormat="1" x14ac:dyDescent="0.3">
      <c r="E530" s="41"/>
      <c r="F530" s="41"/>
      <c r="G530" s="41"/>
      <c r="H530" s="41"/>
      <c r="I530" s="41"/>
      <c r="J530" s="41"/>
      <c r="K530" s="41"/>
      <c r="L530" s="41"/>
    </row>
    <row r="531" spans="5:12" s="39" customFormat="1" x14ac:dyDescent="0.3">
      <c r="E531" s="41"/>
      <c r="F531" s="41"/>
      <c r="G531" s="41"/>
      <c r="H531" s="41"/>
      <c r="I531" s="41"/>
      <c r="J531" s="41"/>
      <c r="K531" s="41"/>
      <c r="L531" s="41"/>
    </row>
    <row r="532" spans="5:12" s="39" customFormat="1" x14ac:dyDescent="0.3">
      <c r="E532" s="41"/>
      <c r="F532" s="41"/>
      <c r="G532" s="41"/>
      <c r="H532" s="41"/>
      <c r="I532" s="41"/>
      <c r="J532" s="41"/>
      <c r="K532" s="41"/>
      <c r="L532" s="41"/>
    </row>
    <row r="533" spans="5:12" s="39" customFormat="1" x14ac:dyDescent="0.3">
      <c r="E533" s="41"/>
      <c r="F533" s="41"/>
      <c r="G533" s="41"/>
      <c r="H533" s="41"/>
      <c r="I533" s="41"/>
      <c r="J533" s="41"/>
      <c r="K533" s="41"/>
      <c r="L533" s="41"/>
    </row>
    <row r="534" spans="5:12" s="39" customFormat="1" x14ac:dyDescent="0.3">
      <c r="E534" s="41"/>
      <c r="F534" s="41"/>
      <c r="G534" s="41"/>
      <c r="H534" s="41"/>
      <c r="I534" s="41"/>
      <c r="J534" s="41"/>
      <c r="K534" s="41"/>
      <c r="L534" s="41"/>
    </row>
    <row r="535" spans="5:12" s="39" customFormat="1" x14ac:dyDescent="0.3">
      <c r="E535" s="41"/>
      <c r="F535" s="41"/>
      <c r="G535" s="41"/>
      <c r="H535" s="41"/>
      <c r="I535" s="41"/>
      <c r="J535" s="41"/>
      <c r="K535" s="41"/>
      <c r="L535" s="41"/>
    </row>
    <row r="536" spans="5:12" s="39" customFormat="1" x14ac:dyDescent="0.3">
      <c r="E536" s="41"/>
      <c r="F536" s="41"/>
      <c r="G536" s="41"/>
      <c r="H536" s="41"/>
      <c r="I536" s="41"/>
      <c r="J536" s="41"/>
      <c r="K536" s="41"/>
      <c r="L536" s="41"/>
    </row>
    <row r="537" spans="5:12" s="39" customFormat="1" x14ac:dyDescent="0.3">
      <c r="E537" s="41"/>
      <c r="F537" s="41"/>
      <c r="G537" s="41"/>
      <c r="H537" s="41"/>
      <c r="I537" s="41"/>
      <c r="J537" s="41"/>
      <c r="K537" s="41"/>
      <c r="L537" s="41"/>
    </row>
    <row r="538" spans="5:12" s="39" customFormat="1" x14ac:dyDescent="0.3">
      <c r="E538" s="41"/>
      <c r="F538" s="41"/>
      <c r="G538" s="41"/>
      <c r="H538" s="41"/>
      <c r="I538" s="41"/>
      <c r="J538" s="41"/>
      <c r="K538" s="41"/>
      <c r="L538" s="41"/>
    </row>
    <row r="539" spans="5:12" s="39" customFormat="1" x14ac:dyDescent="0.3">
      <c r="E539" s="41"/>
      <c r="F539" s="41"/>
      <c r="G539" s="41"/>
      <c r="H539" s="41"/>
      <c r="I539" s="41"/>
      <c r="J539" s="41"/>
      <c r="K539" s="41"/>
      <c r="L539" s="41"/>
    </row>
    <row r="540" spans="5:12" s="39" customFormat="1" x14ac:dyDescent="0.3">
      <c r="E540" s="41"/>
      <c r="F540" s="41"/>
      <c r="G540" s="41"/>
      <c r="H540" s="41"/>
      <c r="I540" s="41"/>
      <c r="J540" s="41"/>
      <c r="K540" s="41"/>
      <c r="L540" s="41"/>
    </row>
    <row r="541" spans="5:12" s="39" customFormat="1" x14ac:dyDescent="0.3">
      <c r="E541" s="41"/>
      <c r="F541" s="41"/>
      <c r="G541" s="41"/>
      <c r="H541" s="41"/>
      <c r="I541" s="41"/>
      <c r="J541" s="41"/>
      <c r="K541" s="41"/>
      <c r="L541" s="41"/>
    </row>
    <row r="542" spans="5:12" s="39" customFormat="1" x14ac:dyDescent="0.3">
      <c r="E542" s="41"/>
      <c r="F542" s="41"/>
      <c r="G542" s="41"/>
      <c r="H542" s="41"/>
      <c r="I542" s="41"/>
      <c r="J542" s="41"/>
      <c r="K542" s="41"/>
      <c r="L542" s="41"/>
    </row>
    <row r="543" spans="5:12" s="39" customFormat="1" x14ac:dyDescent="0.3">
      <c r="E543" s="41"/>
      <c r="F543" s="41"/>
      <c r="G543" s="41"/>
      <c r="H543" s="41"/>
      <c r="I543" s="41"/>
      <c r="J543" s="41"/>
      <c r="K543" s="41"/>
      <c r="L543" s="41"/>
    </row>
    <row r="544" spans="5:12" s="39" customFormat="1" x14ac:dyDescent="0.3">
      <c r="E544" s="41"/>
      <c r="F544" s="41"/>
      <c r="G544" s="41"/>
      <c r="H544" s="41"/>
      <c r="I544" s="41"/>
      <c r="J544" s="41"/>
      <c r="K544" s="41"/>
      <c r="L544" s="41"/>
    </row>
    <row r="545" spans="5:12" s="39" customFormat="1" x14ac:dyDescent="0.3">
      <c r="E545" s="41"/>
      <c r="F545" s="41"/>
      <c r="G545" s="41"/>
      <c r="H545" s="41"/>
      <c r="I545" s="41"/>
      <c r="J545" s="41"/>
      <c r="K545" s="41"/>
      <c r="L545" s="41"/>
    </row>
    <row r="546" spans="5:12" s="39" customFormat="1" x14ac:dyDescent="0.3">
      <c r="E546" s="41"/>
      <c r="F546" s="41"/>
      <c r="G546" s="41"/>
      <c r="H546" s="41"/>
      <c r="I546" s="41"/>
      <c r="J546" s="41"/>
      <c r="K546" s="41"/>
      <c r="L546" s="41"/>
    </row>
    <row r="547" spans="5:12" s="39" customFormat="1" x14ac:dyDescent="0.3">
      <c r="E547" s="41"/>
      <c r="F547" s="41"/>
      <c r="G547" s="41"/>
      <c r="H547" s="41"/>
      <c r="I547" s="41"/>
      <c r="J547" s="41"/>
      <c r="K547" s="41"/>
      <c r="L547" s="41"/>
    </row>
    <row r="548" spans="5:12" s="39" customFormat="1" x14ac:dyDescent="0.3">
      <c r="E548" s="41"/>
      <c r="F548" s="41"/>
      <c r="G548" s="41"/>
      <c r="H548" s="41"/>
      <c r="I548" s="41"/>
      <c r="J548" s="41"/>
      <c r="K548" s="41"/>
      <c r="L548" s="41"/>
    </row>
    <row r="549" spans="5:12" s="39" customFormat="1" x14ac:dyDescent="0.3">
      <c r="E549" s="41"/>
      <c r="F549" s="41"/>
      <c r="G549" s="41"/>
      <c r="H549" s="41"/>
      <c r="I549" s="41"/>
      <c r="J549" s="41"/>
      <c r="K549" s="41"/>
      <c r="L549" s="41"/>
    </row>
    <row r="550" spans="5:12" s="39" customFormat="1" x14ac:dyDescent="0.3">
      <c r="E550" s="41"/>
      <c r="F550" s="41"/>
      <c r="G550" s="41"/>
      <c r="H550" s="41"/>
      <c r="I550" s="41"/>
      <c r="J550" s="41"/>
      <c r="K550" s="41"/>
      <c r="L550" s="41"/>
    </row>
    <row r="551" spans="5:12" s="39" customFormat="1" x14ac:dyDescent="0.3">
      <c r="E551" s="41"/>
      <c r="F551" s="41"/>
      <c r="G551" s="41"/>
      <c r="H551" s="41"/>
      <c r="I551" s="41"/>
      <c r="J551" s="41"/>
      <c r="K551" s="41"/>
      <c r="L551" s="41"/>
    </row>
    <row r="552" spans="5:12" s="39" customFormat="1" x14ac:dyDescent="0.3">
      <c r="E552" s="41"/>
      <c r="F552" s="41"/>
      <c r="G552" s="41"/>
      <c r="H552" s="41"/>
      <c r="I552" s="41"/>
      <c r="J552" s="41"/>
      <c r="K552" s="41"/>
      <c r="L552" s="41"/>
    </row>
    <row r="553" spans="5:12" s="39" customFormat="1" x14ac:dyDescent="0.3">
      <c r="E553" s="41"/>
      <c r="F553" s="41"/>
      <c r="G553" s="41"/>
      <c r="H553" s="41"/>
      <c r="I553" s="41"/>
      <c r="J553" s="41"/>
      <c r="K553" s="41"/>
      <c r="L553" s="41"/>
    </row>
    <row r="554" spans="5:12" s="39" customFormat="1" x14ac:dyDescent="0.3">
      <c r="E554" s="41"/>
      <c r="F554" s="41"/>
      <c r="G554" s="41"/>
      <c r="H554" s="41"/>
      <c r="I554" s="41"/>
      <c r="J554" s="41"/>
      <c r="K554" s="41"/>
      <c r="L554" s="41"/>
    </row>
    <row r="555" spans="5:12" s="39" customFormat="1" x14ac:dyDescent="0.3">
      <c r="E555" s="41"/>
      <c r="F555" s="41"/>
      <c r="G555" s="41"/>
      <c r="H555" s="41"/>
      <c r="I555" s="41"/>
      <c r="J555" s="41"/>
      <c r="K555" s="41"/>
      <c r="L555" s="41"/>
    </row>
    <row r="556" spans="5:12" s="39" customFormat="1" x14ac:dyDescent="0.3">
      <c r="E556" s="41"/>
      <c r="F556" s="41"/>
      <c r="G556" s="41"/>
      <c r="H556" s="41"/>
      <c r="I556" s="41"/>
      <c r="J556" s="41"/>
      <c r="K556" s="41"/>
      <c r="L556" s="41"/>
    </row>
    <row r="557" spans="5:12" s="39" customFormat="1" x14ac:dyDescent="0.3">
      <c r="E557" s="41"/>
      <c r="F557" s="41"/>
      <c r="G557" s="41"/>
      <c r="H557" s="41"/>
      <c r="I557" s="41"/>
      <c r="J557" s="41"/>
      <c r="K557" s="41"/>
      <c r="L557" s="41"/>
    </row>
    <row r="558" spans="5:12" s="39" customFormat="1" x14ac:dyDescent="0.3">
      <c r="E558" s="41"/>
      <c r="F558" s="41"/>
      <c r="G558" s="41"/>
      <c r="H558" s="41"/>
      <c r="I558" s="41"/>
      <c r="J558" s="41"/>
      <c r="K558" s="41"/>
      <c r="L558" s="41"/>
    </row>
    <row r="559" spans="5:12" s="39" customFormat="1" x14ac:dyDescent="0.3">
      <c r="E559" s="41"/>
      <c r="F559" s="41"/>
      <c r="G559" s="41"/>
      <c r="H559" s="41"/>
      <c r="I559" s="41"/>
      <c r="J559" s="41"/>
      <c r="K559" s="41"/>
      <c r="L559" s="41"/>
    </row>
    <row r="560" spans="5:12" s="39" customFormat="1" x14ac:dyDescent="0.3">
      <c r="E560" s="41"/>
      <c r="F560" s="41"/>
      <c r="G560" s="41"/>
      <c r="H560" s="41"/>
      <c r="I560" s="41"/>
      <c r="J560" s="41"/>
      <c r="K560" s="41"/>
      <c r="L560" s="41"/>
    </row>
    <row r="561" spans="5:12" s="39" customFormat="1" x14ac:dyDescent="0.3">
      <c r="E561" s="41"/>
      <c r="F561" s="41"/>
      <c r="G561" s="41"/>
      <c r="H561" s="41"/>
      <c r="I561" s="41"/>
      <c r="J561" s="41"/>
      <c r="K561" s="41"/>
      <c r="L561" s="41"/>
    </row>
    <row r="562" spans="5:12" s="39" customFormat="1" x14ac:dyDescent="0.3">
      <c r="E562" s="41"/>
      <c r="F562" s="41"/>
      <c r="G562" s="41"/>
      <c r="H562" s="41"/>
      <c r="I562" s="41"/>
      <c r="J562" s="41"/>
      <c r="K562" s="41"/>
      <c r="L562" s="41"/>
    </row>
    <row r="563" spans="5:12" s="39" customFormat="1" x14ac:dyDescent="0.3">
      <c r="E563" s="41"/>
      <c r="F563" s="41"/>
      <c r="G563" s="41"/>
      <c r="H563" s="41"/>
      <c r="I563" s="41"/>
      <c r="J563" s="41"/>
      <c r="K563" s="41"/>
      <c r="L563" s="41"/>
    </row>
    <row r="564" spans="5:12" s="39" customFormat="1" x14ac:dyDescent="0.3">
      <c r="E564" s="41"/>
      <c r="F564" s="41"/>
      <c r="G564" s="41"/>
      <c r="H564" s="41"/>
      <c r="I564" s="41"/>
      <c r="J564" s="41"/>
      <c r="K564" s="41"/>
      <c r="L564" s="41"/>
    </row>
    <row r="565" spans="5:12" s="39" customFormat="1" x14ac:dyDescent="0.3">
      <c r="E565" s="41"/>
      <c r="F565" s="41"/>
      <c r="G565" s="41"/>
      <c r="H565" s="41"/>
      <c r="I565" s="41"/>
      <c r="J565" s="41"/>
      <c r="K565" s="41"/>
      <c r="L565" s="41"/>
    </row>
    <row r="566" spans="5:12" s="39" customFormat="1" x14ac:dyDescent="0.3">
      <c r="E566" s="41"/>
      <c r="F566" s="41"/>
      <c r="G566" s="41"/>
      <c r="H566" s="41"/>
      <c r="I566" s="41"/>
      <c r="J566" s="41"/>
      <c r="K566" s="41"/>
      <c r="L566" s="41"/>
    </row>
    <row r="567" spans="5:12" s="39" customFormat="1" x14ac:dyDescent="0.3">
      <c r="E567" s="41"/>
      <c r="F567" s="41"/>
      <c r="G567" s="41"/>
      <c r="H567" s="41"/>
      <c r="I567" s="41"/>
      <c r="J567" s="41"/>
      <c r="K567" s="41"/>
      <c r="L567" s="41"/>
    </row>
    <row r="568" spans="5:12" s="39" customFormat="1" x14ac:dyDescent="0.3">
      <c r="E568" s="41"/>
      <c r="F568" s="41"/>
      <c r="G568" s="41"/>
      <c r="H568" s="41"/>
      <c r="I568" s="41"/>
      <c r="J568" s="41"/>
      <c r="K568" s="41"/>
      <c r="L568" s="41"/>
    </row>
    <row r="569" spans="5:12" s="39" customFormat="1" x14ac:dyDescent="0.3">
      <c r="E569" s="41"/>
      <c r="F569" s="41"/>
      <c r="G569" s="41"/>
      <c r="H569" s="41"/>
      <c r="I569" s="41"/>
      <c r="J569" s="41"/>
      <c r="K569" s="41"/>
      <c r="L569" s="41"/>
    </row>
    <row r="570" spans="5:12" s="39" customFormat="1" x14ac:dyDescent="0.3">
      <c r="E570" s="41"/>
      <c r="F570" s="41"/>
      <c r="G570" s="41"/>
      <c r="H570" s="41"/>
      <c r="I570" s="41"/>
      <c r="J570" s="41"/>
      <c r="K570" s="41"/>
      <c r="L570" s="41"/>
    </row>
    <row r="571" spans="5:12" s="39" customFormat="1" x14ac:dyDescent="0.3">
      <c r="E571" s="41"/>
      <c r="F571" s="41"/>
      <c r="G571" s="41"/>
      <c r="H571" s="41"/>
      <c r="I571" s="41"/>
      <c r="J571" s="41"/>
      <c r="K571" s="41"/>
      <c r="L571" s="41"/>
    </row>
    <row r="572" spans="5:12" s="39" customFormat="1" x14ac:dyDescent="0.3">
      <c r="E572" s="41"/>
      <c r="F572" s="41"/>
      <c r="G572" s="41"/>
      <c r="H572" s="41"/>
      <c r="I572" s="41"/>
      <c r="J572" s="41"/>
      <c r="K572" s="41"/>
      <c r="L572" s="41"/>
    </row>
    <row r="573" spans="5:12" s="39" customFormat="1" x14ac:dyDescent="0.3">
      <c r="E573" s="41"/>
      <c r="F573" s="41"/>
      <c r="G573" s="41"/>
      <c r="H573" s="41"/>
      <c r="I573" s="41"/>
      <c r="J573" s="41"/>
      <c r="K573" s="41"/>
      <c r="L573" s="41"/>
    </row>
    <row r="574" spans="5:12" s="39" customFormat="1" x14ac:dyDescent="0.3">
      <c r="E574" s="41"/>
      <c r="F574" s="41"/>
      <c r="G574" s="41"/>
      <c r="H574" s="41"/>
      <c r="I574" s="41"/>
      <c r="J574" s="41"/>
      <c r="K574" s="41"/>
      <c r="L574" s="41"/>
    </row>
    <row r="575" spans="5:12" s="39" customFormat="1" x14ac:dyDescent="0.3">
      <c r="E575" s="41"/>
      <c r="F575" s="41"/>
      <c r="G575" s="41"/>
      <c r="H575" s="41"/>
      <c r="I575" s="41"/>
      <c r="J575" s="41"/>
      <c r="K575" s="41"/>
      <c r="L575" s="41"/>
    </row>
    <row r="576" spans="5:12" s="39" customFormat="1" x14ac:dyDescent="0.3">
      <c r="E576" s="41"/>
      <c r="F576" s="41"/>
      <c r="G576" s="41"/>
      <c r="H576" s="41"/>
      <c r="I576" s="41"/>
      <c r="J576" s="41"/>
      <c r="K576" s="41"/>
      <c r="L576" s="41"/>
    </row>
    <row r="577" spans="5:12" s="39" customFormat="1" x14ac:dyDescent="0.3">
      <c r="E577" s="41"/>
      <c r="F577" s="41"/>
      <c r="G577" s="41"/>
      <c r="H577" s="41"/>
      <c r="I577" s="41"/>
      <c r="J577" s="41"/>
      <c r="K577" s="41"/>
      <c r="L577" s="41"/>
    </row>
    <row r="578" spans="5:12" s="39" customFormat="1" x14ac:dyDescent="0.3">
      <c r="E578" s="41"/>
      <c r="F578" s="41"/>
      <c r="G578" s="41"/>
      <c r="H578" s="41"/>
      <c r="I578" s="41"/>
      <c r="J578" s="41"/>
      <c r="K578" s="41"/>
      <c r="L578" s="41"/>
    </row>
    <row r="579" spans="5:12" s="39" customFormat="1" x14ac:dyDescent="0.3">
      <c r="E579" s="41"/>
      <c r="F579" s="41"/>
      <c r="G579" s="41"/>
      <c r="H579" s="41"/>
      <c r="I579" s="41"/>
      <c r="J579" s="41"/>
      <c r="K579" s="41"/>
      <c r="L579" s="41"/>
    </row>
    <row r="580" spans="5:12" s="39" customFormat="1" x14ac:dyDescent="0.3">
      <c r="E580" s="41"/>
      <c r="F580" s="41"/>
      <c r="G580" s="41"/>
      <c r="H580" s="41"/>
      <c r="I580" s="41"/>
      <c r="J580" s="41"/>
      <c r="K580" s="41"/>
      <c r="L580" s="41"/>
    </row>
    <row r="581" spans="5:12" s="39" customFormat="1" x14ac:dyDescent="0.3">
      <c r="E581" s="41"/>
      <c r="F581" s="41"/>
      <c r="G581" s="41"/>
      <c r="H581" s="41"/>
      <c r="I581" s="41"/>
      <c r="J581" s="41"/>
      <c r="K581" s="41"/>
      <c r="L581" s="41"/>
    </row>
    <row r="582" spans="5:12" s="39" customFormat="1" x14ac:dyDescent="0.3">
      <c r="E582" s="41"/>
      <c r="F582" s="41"/>
      <c r="G582" s="41"/>
      <c r="H582" s="41"/>
      <c r="I582" s="41"/>
      <c r="J582" s="41"/>
      <c r="K582" s="41"/>
      <c r="L582" s="41"/>
    </row>
    <row r="583" spans="5:12" s="39" customFormat="1" x14ac:dyDescent="0.3">
      <c r="E583" s="41"/>
      <c r="F583" s="41"/>
      <c r="G583" s="41"/>
      <c r="H583" s="41"/>
      <c r="I583" s="41"/>
      <c r="J583" s="41"/>
      <c r="K583" s="41"/>
      <c r="L583" s="41"/>
    </row>
    <row r="584" spans="5:12" s="39" customFormat="1" x14ac:dyDescent="0.3">
      <c r="E584" s="41"/>
      <c r="F584" s="41"/>
      <c r="G584" s="41"/>
      <c r="H584" s="41"/>
      <c r="I584" s="41"/>
      <c r="J584" s="41"/>
      <c r="K584" s="41"/>
      <c r="L584" s="41"/>
    </row>
    <row r="585" spans="5:12" s="39" customFormat="1" x14ac:dyDescent="0.3">
      <c r="E585" s="41"/>
      <c r="F585" s="41"/>
      <c r="G585" s="41"/>
      <c r="H585" s="41"/>
      <c r="I585" s="41"/>
      <c r="J585" s="41"/>
      <c r="K585" s="41"/>
      <c r="L585" s="41"/>
    </row>
    <row r="586" spans="5:12" s="39" customFormat="1" x14ac:dyDescent="0.3">
      <c r="E586" s="41"/>
      <c r="F586" s="41"/>
      <c r="G586" s="41"/>
      <c r="H586" s="41"/>
      <c r="I586" s="41"/>
      <c r="J586" s="41"/>
      <c r="K586" s="41"/>
      <c r="L586" s="41"/>
    </row>
    <row r="587" spans="5:12" s="39" customFormat="1" x14ac:dyDescent="0.3">
      <c r="E587" s="41"/>
      <c r="F587" s="41"/>
      <c r="G587" s="41"/>
      <c r="H587" s="41"/>
      <c r="I587" s="41"/>
      <c r="J587" s="41"/>
      <c r="K587" s="41"/>
      <c r="L587" s="41"/>
    </row>
    <row r="588" spans="5:12" s="39" customFormat="1" x14ac:dyDescent="0.3">
      <c r="E588" s="41"/>
      <c r="F588" s="41"/>
      <c r="G588" s="41"/>
      <c r="H588" s="41"/>
      <c r="I588" s="41"/>
      <c r="J588" s="41"/>
      <c r="K588" s="41"/>
      <c r="L588" s="41"/>
    </row>
    <row r="589" spans="5:12" s="39" customFormat="1" x14ac:dyDescent="0.3">
      <c r="E589" s="41"/>
      <c r="F589" s="41"/>
      <c r="G589" s="41"/>
      <c r="H589" s="41"/>
      <c r="I589" s="41"/>
      <c r="J589" s="41"/>
      <c r="K589" s="41"/>
      <c r="L589" s="41"/>
    </row>
    <row r="590" spans="5:12" s="39" customFormat="1" x14ac:dyDescent="0.3">
      <c r="E590" s="41"/>
      <c r="F590" s="41"/>
      <c r="G590" s="41"/>
      <c r="H590" s="41"/>
      <c r="I590" s="41"/>
      <c r="J590" s="41"/>
      <c r="K590" s="41"/>
      <c r="L590" s="41"/>
    </row>
    <row r="591" spans="5:12" s="39" customFormat="1" x14ac:dyDescent="0.3">
      <c r="E591" s="41"/>
      <c r="F591" s="41"/>
      <c r="G591" s="41"/>
      <c r="H591" s="41"/>
      <c r="I591" s="41"/>
      <c r="J591" s="41"/>
      <c r="K591" s="41"/>
      <c r="L591" s="41"/>
    </row>
    <row r="592" spans="5:12" s="39" customFormat="1" x14ac:dyDescent="0.3">
      <c r="E592" s="41"/>
      <c r="F592" s="41"/>
      <c r="G592" s="41"/>
      <c r="H592" s="41"/>
      <c r="I592" s="41"/>
      <c r="J592" s="41"/>
      <c r="K592" s="41"/>
      <c r="L592" s="41"/>
    </row>
    <row r="593" spans="5:12" s="39" customFormat="1" x14ac:dyDescent="0.3">
      <c r="E593" s="41"/>
      <c r="F593" s="41"/>
      <c r="G593" s="41"/>
      <c r="H593" s="41"/>
      <c r="I593" s="41"/>
      <c r="J593" s="41"/>
      <c r="K593" s="41"/>
      <c r="L593" s="41"/>
    </row>
    <row r="594" spans="5:12" s="39" customFormat="1" x14ac:dyDescent="0.3">
      <c r="E594" s="41"/>
      <c r="F594" s="41"/>
      <c r="G594" s="41"/>
      <c r="H594" s="41"/>
      <c r="I594" s="41"/>
      <c r="J594" s="41"/>
      <c r="K594" s="41"/>
      <c r="L594" s="41"/>
    </row>
    <row r="595" spans="5:12" s="39" customFormat="1" x14ac:dyDescent="0.3">
      <c r="E595" s="41"/>
      <c r="F595" s="41"/>
      <c r="G595" s="41"/>
      <c r="H595" s="41"/>
      <c r="I595" s="41"/>
      <c r="J595" s="41"/>
      <c r="K595" s="41"/>
      <c r="L595" s="41"/>
    </row>
    <row r="596" spans="5:12" s="39" customFormat="1" x14ac:dyDescent="0.3">
      <c r="E596" s="41"/>
      <c r="F596" s="41"/>
      <c r="G596" s="41"/>
      <c r="H596" s="41"/>
      <c r="I596" s="41"/>
      <c r="J596" s="41"/>
      <c r="K596" s="41"/>
      <c r="L596" s="41"/>
    </row>
    <row r="597" spans="5:12" s="39" customFormat="1" x14ac:dyDescent="0.3">
      <c r="E597" s="41"/>
      <c r="F597" s="41"/>
      <c r="G597" s="41"/>
      <c r="H597" s="41"/>
      <c r="I597" s="41"/>
      <c r="J597" s="41"/>
      <c r="K597" s="41"/>
      <c r="L597" s="41"/>
    </row>
    <row r="598" spans="5:12" s="39" customFormat="1" x14ac:dyDescent="0.3">
      <c r="E598" s="41"/>
      <c r="F598" s="41"/>
      <c r="G598" s="41"/>
      <c r="H598" s="41"/>
      <c r="I598" s="41"/>
      <c r="J598" s="41"/>
      <c r="K598" s="41"/>
      <c r="L598" s="41"/>
    </row>
    <row r="599" spans="5:12" s="39" customFormat="1" x14ac:dyDescent="0.3">
      <c r="E599" s="41"/>
      <c r="F599" s="41"/>
      <c r="G599" s="41"/>
      <c r="H599" s="41"/>
      <c r="I599" s="41"/>
      <c r="J599" s="41"/>
      <c r="K599" s="41"/>
      <c r="L599" s="41"/>
    </row>
    <row r="600" spans="5:12" s="39" customFormat="1" x14ac:dyDescent="0.3">
      <c r="E600" s="41"/>
      <c r="F600" s="41"/>
      <c r="G600" s="41"/>
      <c r="H600" s="41"/>
      <c r="I600" s="41"/>
      <c r="J600" s="41"/>
      <c r="K600" s="41"/>
      <c r="L600" s="41"/>
    </row>
    <row r="601" spans="5:12" s="39" customFormat="1" x14ac:dyDescent="0.3">
      <c r="E601" s="41"/>
      <c r="F601" s="41"/>
      <c r="G601" s="41"/>
      <c r="H601" s="41"/>
      <c r="I601" s="41"/>
      <c r="J601" s="41"/>
      <c r="K601" s="41"/>
      <c r="L601" s="41"/>
    </row>
    <row r="602" spans="5:12" s="39" customFormat="1" x14ac:dyDescent="0.3">
      <c r="E602" s="41"/>
      <c r="F602" s="41"/>
      <c r="G602" s="41"/>
      <c r="H602" s="41"/>
      <c r="I602" s="41"/>
      <c r="J602" s="41"/>
      <c r="K602" s="41"/>
      <c r="L602" s="41"/>
    </row>
    <row r="603" spans="5:12" s="39" customFormat="1" x14ac:dyDescent="0.3">
      <c r="E603" s="41"/>
      <c r="F603" s="41"/>
      <c r="G603" s="41"/>
      <c r="H603" s="41"/>
      <c r="I603" s="41"/>
      <c r="J603" s="41"/>
      <c r="K603" s="41"/>
      <c r="L603" s="41"/>
    </row>
    <row r="604" spans="5:12" s="39" customFormat="1" x14ac:dyDescent="0.3">
      <c r="E604" s="41"/>
      <c r="F604" s="41"/>
      <c r="G604" s="41"/>
      <c r="H604" s="41"/>
      <c r="I604" s="41"/>
      <c r="J604" s="41"/>
      <c r="K604" s="41"/>
      <c r="L604" s="41"/>
    </row>
    <row r="605" spans="5:12" s="39" customFormat="1" x14ac:dyDescent="0.3">
      <c r="E605" s="41"/>
      <c r="F605" s="41"/>
      <c r="G605" s="41"/>
      <c r="H605" s="41"/>
      <c r="I605" s="41"/>
      <c r="J605" s="41"/>
      <c r="K605" s="41"/>
      <c r="L605" s="41"/>
    </row>
    <row r="606" spans="5:12" s="39" customFormat="1" x14ac:dyDescent="0.3">
      <c r="E606" s="41"/>
      <c r="F606" s="41"/>
      <c r="G606" s="41"/>
      <c r="H606" s="41"/>
      <c r="I606" s="41"/>
      <c r="J606" s="41"/>
      <c r="K606" s="41"/>
      <c r="L606" s="41"/>
    </row>
    <row r="607" spans="5:12" s="39" customFormat="1" x14ac:dyDescent="0.3">
      <c r="E607" s="41"/>
      <c r="F607" s="41"/>
      <c r="G607" s="41"/>
      <c r="H607" s="41"/>
      <c r="I607" s="41"/>
      <c r="J607" s="41"/>
      <c r="K607" s="41"/>
      <c r="L607" s="41"/>
    </row>
    <row r="608" spans="5:12" s="39" customFormat="1" x14ac:dyDescent="0.3">
      <c r="E608" s="41"/>
      <c r="F608" s="41"/>
      <c r="G608" s="41"/>
      <c r="H608" s="41"/>
      <c r="I608" s="41"/>
      <c r="J608" s="41"/>
      <c r="K608" s="41"/>
      <c r="L608" s="41"/>
    </row>
    <row r="609" spans="5:12" s="39" customFormat="1" x14ac:dyDescent="0.3">
      <c r="E609" s="41"/>
      <c r="F609" s="41"/>
      <c r="G609" s="41"/>
      <c r="H609" s="41"/>
      <c r="I609" s="41"/>
      <c r="J609" s="41"/>
      <c r="K609" s="41"/>
      <c r="L609" s="41"/>
    </row>
    <row r="610" spans="5:12" s="39" customFormat="1" x14ac:dyDescent="0.3">
      <c r="E610" s="41"/>
      <c r="F610" s="41"/>
      <c r="G610" s="41"/>
      <c r="H610" s="41"/>
      <c r="I610" s="41"/>
      <c r="J610" s="41"/>
      <c r="K610" s="41"/>
      <c r="L610" s="41"/>
    </row>
    <row r="611" spans="5:12" s="39" customFormat="1" x14ac:dyDescent="0.3">
      <c r="E611" s="41"/>
      <c r="F611" s="41"/>
      <c r="G611" s="41"/>
      <c r="H611" s="41"/>
      <c r="I611" s="41"/>
      <c r="J611" s="41"/>
      <c r="K611" s="41"/>
      <c r="L611" s="41"/>
    </row>
    <row r="612" spans="5:12" s="39" customFormat="1" x14ac:dyDescent="0.3">
      <c r="E612" s="41"/>
      <c r="F612" s="41"/>
      <c r="G612" s="41"/>
      <c r="H612" s="41"/>
      <c r="I612" s="41"/>
      <c r="J612" s="41"/>
      <c r="K612" s="41"/>
      <c r="L612" s="41"/>
    </row>
    <row r="613" spans="5:12" s="39" customFormat="1" x14ac:dyDescent="0.3">
      <c r="E613" s="41"/>
      <c r="F613" s="41"/>
      <c r="G613" s="41"/>
      <c r="H613" s="41"/>
      <c r="I613" s="41"/>
      <c r="J613" s="41"/>
      <c r="K613" s="41"/>
      <c r="L613" s="41"/>
    </row>
    <row r="614" spans="5:12" s="39" customFormat="1" x14ac:dyDescent="0.3">
      <c r="E614" s="41"/>
      <c r="F614" s="41"/>
      <c r="G614" s="41"/>
      <c r="H614" s="41"/>
      <c r="I614" s="41"/>
      <c r="J614" s="41"/>
      <c r="K614" s="41"/>
      <c r="L614" s="41"/>
    </row>
    <row r="615" spans="5:12" s="39" customFormat="1" x14ac:dyDescent="0.3">
      <c r="E615" s="41"/>
      <c r="F615" s="41"/>
      <c r="G615" s="41"/>
      <c r="H615" s="41"/>
      <c r="I615" s="41"/>
      <c r="J615" s="41"/>
      <c r="K615" s="41"/>
      <c r="L615" s="41"/>
    </row>
    <row r="616" spans="5:12" s="39" customFormat="1" x14ac:dyDescent="0.3">
      <c r="E616" s="41"/>
      <c r="F616" s="41"/>
      <c r="G616" s="41"/>
      <c r="H616" s="41"/>
      <c r="I616" s="41"/>
      <c r="J616" s="41"/>
      <c r="K616" s="41"/>
      <c r="L616" s="41"/>
    </row>
    <row r="617" spans="5:12" s="39" customFormat="1" x14ac:dyDescent="0.3">
      <c r="E617" s="41"/>
      <c r="F617" s="41"/>
      <c r="G617" s="41"/>
      <c r="H617" s="41"/>
      <c r="I617" s="41"/>
      <c r="J617" s="41"/>
      <c r="K617" s="41"/>
      <c r="L617" s="41"/>
    </row>
    <row r="618" spans="5:12" s="39" customFormat="1" x14ac:dyDescent="0.3">
      <c r="E618" s="41"/>
      <c r="F618" s="41"/>
      <c r="G618" s="41"/>
      <c r="H618" s="41"/>
      <c r="I618" s="41"/>
      <c r="J618" s="41"/>
      <c r="K618" s="41"/>
      <c r="L618" s="41"/>
    </row>
    <row r="619" spans="5:12" s="39" customFormat="1" x14ac:dyDescent="0.3">
      <c r="E619" s="41"/>
      <c r="F619" s="41"/>
      <c r="G619" s="41"/>
      <c r="H619" s="41"/>
      <c r="I619" s="41"/>
      <c r="J619" s="41"/>
      <c r="K619" s="41"/>
      <c r="L619" s="41"/>
    </row>
    <row r="620" spans="5:12" s="39" customFormat="1" x14ac:dyDescent="0.3">
      <c r="E620" s="41"/>
      <c r="F620" s="41"/>
      <c r="G620" s="41"/>
      <c r="H620" s="41"/>
      <c r="I620" s="41"/>
      <c r="J620" s="41"/>
      <c r="K620" s="41"/>
      <c r="L620" s="41"/>
    </row>
    <row r="621" spans="5:12" s="39" customFormat="1" x14ac:dyDescent="0.3">
      <c r="E621" s="41"/>
      <c r="F621" s="41"/>
      <c r="G621" s="41"/>
      <c r="H621" s="41"/>
      <c r="I621" s="41"/>
      <c r="J621" s="41"/>
      <c r="K621" s="41"/>
      <c r="L621" s="41"/>
    </row>
    <row r="622" spans="5:12" s="39" customFormat="1" x14ac:dyDescent="0.3">
      <c r="E622" s="41"/>
      <c r="F622" s="41"/>
      <c r="G622" s="41"/>
      <c r="H622" s="41"/>
      <c r="I622" s="41"/>
      <c r="J622" s="41"/>
      <c r="K622" s="41"/>
      <c r="L622" s="41"/>
    </row>
    <row r="623" spans="5:12" s="39" customFormat="1" x14ac:dyDescent="0.3">
      <c r="E623" s="41"/>
      <c r="F623" s="41"/>
      <c r="G623" s="41"/>
      <c r="H623" s="41"/>
      <c r="I623" s="41"/>
      <c r="J623" s="41"/>
      <c r="K623" s="41"/>
      <c r="L623" s="41"/>
    </row>
    <row r="624" spans="5:12" s="39" customFormat="1" x14ac:dyDescent="0.3">
      <c r="E624" s="41"/>
      <c r="F624" s="41"/>
      <c r="G624" s="41"/>
      <c r="H624" s="41"/>
      <c r="I624" s="41"/>
      <c r="J624" s="41"/>
      <c r="K624" s="41"/>
      <c r="L624" s="41"/>
    </row>
    <row r="625" spans="5:12" s="39" customFormat="1" x14ac:dyDescent="0.3">
      <c r="E625" s="41"/>
      <c r="F625" s="41"/>
      <c r="G625" s="41"/>
      <c r="H625" s="41"/>
      <c r="I625" s="41"/>
      <c r="J625" s="41"/>
      <c r="K625" s="41"/>
      <c r="L625" s="41"/>
    </row>
    <row r="626" spans="5:12" s="39" customFormat="1" x14ac:dyDescent="0.3">
      <c r="E626" s="41"/>
      <c r="F626" s="41"/>
      <c r="G626" s="41"/>
      <c r="H626" s="41"/>
      <c r="I626" s="41"/>
      <c r="J626" s="41"/>
      <c r="K626" s="41"/>
      <c r="L626" s="41"/>
    </row>
    <row r="627" spans="5:12" s="39" customFormat="1" x14ac:dyDescent="0.3">
      <c r="E627" s="41"/>
      <c r="F627" s="41"/>
      <c r="G627" s="41"/>
      <c r="H627" s="41"/>
      <c r="I627" s="41"/>
      <c r="J627" s="41"/>
      <c r="K627" s="41"/>
      <c r="L627" s="41"/>
    </row>
    <row r="628" spans="5:12" s="39" customFormat="1" x14ac:dyDescent="0.3">
      <c r="E628" s="41"/>
      <c r="F628" s="41"/>
      <c r="G628" s="41"/>
      <c r="H628" s="41"/>
      <c r="I628" s="41"/>
      <c r="J628" s="41"/>
      <c r="K628" s="41"/>
      <c r="L628" s="41"/>
    </row>
    <row r="629" spans="5:12" s="39" customFormat="1" x14ac:dyDescent="0.3">
      <c r="E629" s="41"/>
      <c r="F629" s="41"/>
      <c r="G629" s="41"/>
      <c r="H629" s="41"/>
      <c r="I629" s="41"/>
      <c r="J629" s="41"/>
      <c r="K629" s="41"/>
      <c r="L629" s="41"/>
    </row>
    <row r="630" spans="5:12" s="39" customFormat="1" x14ac:dyDescent="0.3">
      <c r="E630" s="41"/>
      <c r="F630" s="41"/>
      <c r="G630" s="41"/>
      <c r="H630" s="41"/>
      <c r="I630" s="41"/>
      <c r="J630" s="41"/>
      <c r="K630" s="41"/>
      <c r="L630" s="41"/>
    </row>
    <row r="631" spans="5:12" s="39" customFormat="1" x14ac:dyDescent="0.3">
      <c r="E631" s="41"/>
      <c r="F631" s="41"/>
      <c r="G631" s="41"/>
      <c r="H631" s="41"/>
      <c r="I631" s="41"/>
      <c r="J631" s="41"/>
      <c r="K631" s="41"/>
      <c r="L631" s="41"/>
    </row>
    <row r="632" spans="5:12" s="39" customFormat="1" x14ac:dyDescent="0.3">
      <c r="E632" s="41"/>
      <c r="F632" s="41"/>
      <c r="G632" s="41"/>
      <c r="H632" s="41"/>
      <c r="I632" s="41"/>
      <c r="J632" s="41"/>
      <c r="K632" s="41"/>
      <c r="L632" s="41"/>
    </row>
    <row r="633" spans="5:12" s="39" customFormat="1" x14ac:dyDescent="0.3">
      <c r="E633" s="41"/>
      <c r="F633" s="41"/>
      <c r="G633" s="41"/>
      <c r="H633" s="41"/>
      <c r="I633" s="41"/>
      <c r="J633" s="41"/>
      <c r="K633" s="41"/>
      <c r="L633" s="41"/>
    </row>
    <row r="634" spans="5:12" s="39" customFormat="1" x14ac:dyDescent="0.3">
      <c r="E634" s="41"/>
      <c r="F634" s="41"/>
      <c r="G634" s="41"/>
      <c r="H634" s="41"/>
      <c r="I634" s="41"/>
      <c r="J634" s="41"/>
      <c r="K634" s="41"/>
      <c r="L634" s="41"/>
    </row>
    <row r="635" spans="5:12" s="39" customFormat="1" x14ac:dyDescent="0.3">
      <c r="E635" s="41"/>
      <c r="F635" s="41"/>
      <c r="G635" s="41"/>
      <c r="H635" s="41"/>
      <c r="I635" s="41"/>
      <c r="J635" s="41"/>
      <c r="K635" s="41"/>
      <c r="L635" s="41"/>
    </row>
    <row r="636" spans="5:12" s="39" customFormat="1" x14ac:dyDescent="0.3">
      <c r="E636" s="41"/>
      <c r="F636" s="41"/>
      <c r="G636" s="41"/>
      <c r="H636" s="41"/>
      <c r="I636" s="41"/>
      <c r="J636" s="41"/>
      <c r="K636" s="41"/>
      <c r="L636" s="41"/>
    </row>
    <row r="637" spans="5:12" s="39" customFormat="1" x14ac:dyDescent="0.3">
      <c r="E637" s="41"/>
      <c r="F637" s="41"/>
      <c r="G637" s="41"/>
      <c r="H637" s="41"/>
      <c r="I637" s="41"/>
      <c r="J637" s="41"/>
      <c r="K637" s="41"/>
      <c r="L637" s="41"/>
    </row>
    <row r="638" spans="5:12" s="39" customFormat="1" x14ac:dyDescent="0.3">
      <c r="E638" s="41"/>
      <c r="F638" s="41"/>
      <c r="G638" s="41"/>
      <c r="H638" s="41"/>
      <c r="I638" s="41"/>
      <c r="J638" s="41"/>
      <c r="K638" s="41"/>
      <c r="L638" s="41"/>
    </row>
    <row r="639" spans="5:12" s="39" customFormat="1" x14ac:dyDescent="0.3">
      <c r="E639" s="41"/>
      <c r="F639" s="41"/>
      <c r="G639" s="41"/>
      <c r="H639" s="41"/>
      <c r="I639" s="41"/>
      <c r="J639" s="41"/>
      <c r="K639" s="41"/>
      <c r="L639" s="41"/>
    </row>
    <row r="640" spans="5:12" s="39" customFormat="1" x14ac:dyDescent="0.3">
      <c r="E640" s="41"/>
      <c r="F640" s="41"/>
      <c r="G640" s="41"/>
      <c r="H640" s="41"/>
      <c r="I640" s="41"/>
      <c r="J640" s="41"/>
      <c r="K640" s="41"/>
      <c r="L640" s="41"/>
    </row>
    <row r="641" spans="5:12" s="39" customFormat="1" x14ac:dyDescent="0.3">
      <c r="E641" s="41"/>
      <c r="F641" s="41"/>
      <c r="G641" s="41"/>
      <c r="H641" s="41"/>
      <c r="I641" s="41"/>
      <c r="J641" s="41"/>
      <c r="K641" s="41"/>
      <c r="L641" s="41"/>
    </row>
    <row r="642" spans="5:12" s="39" customFormat="1" x14ac:dyDescent="0.3">
      <c r="E642" s="41"/>
      <c r="F642" s="41"/>
      <c r="G642" s="41"/>
      <c r="H642" s="41"/>
      <c r="I642" s="41"/>
      <c r="J642" s="41"/>
      <c r="K642" s="41"/>
      <c r="L642" s="41"/>
    </row>
    <row r="643" spans="5:12" s="39" customFormat="1" x14ac:dyDescent="0.3">
      <c r="E643" s="41"/>
      <c r="F643" s="41"/>
      <c r="G643" s="41"/>
      <c r="H643" s="41"/>
      <c r="I643" s="41"/>
      <c r="J643" s="41"/>
      <c r="K643" s="41"/>
      <c r="L643" s="41"/>
    </row>
    <row r="644" spans="5:12" s="39" customFormat="1" x14ac:dyDescent="0.3">
      <c r="E644" s="41"/>
      <c r="F644" s="41"/>
      <c r="G644" s="41"/>
      <c r="H644" s="41"/>
      <c r="I644" s="41"/>
      <c r="J644" s="41"/>
      <c r="K644" s="41"/>
      <c r="L644" s="41"/>
    </row>
    <row r="645" spans="5:12" s="39" customFormat="1" x14ac:dyDescent="0.3">
      <c r="E645" s="41"/>
      <c r="F645" s="41"/>
      <c r="G645" s="41"/>
      <c r="H645" s="41"/>
      <c r="I645" s="41"/>
      <c r="J645" s="41"/>
      <c r="K645" s="41"/>
      <c r="L645" s="41"/>
    </row>
    <row r="646" spans="5:12" s="39" customFormat="1" x14ac:dyDescent="0.3">
      <c r="E646" s="41"/>
      <c r="F646" s="41"/>
      <c r="G646" s="41"/>
      <c r="H646" s="41"/>
      <c r="I646" s="41"/>
      <c r="J646" s="41"/>
      <c r="K646" s="41"/>
      <c r="L646" s="41"/>
    </row>
    <row r="647" spans="5:12" s="39" customFormat="1" x14ac:dyDescent="0.3">
      <c r="E647" s="41"/>
      <c r="F647" s="41"/>
      <c r="G647" s="41"/>
      <c r="H647" s="41"/>
      <c r="I647" s="41"/>
      <c r="J647" s="41"/>
      <c r="K647" s="41"/>
      <c r="L647" s="41"/>
    </row>
    <row r="648" spans="5:12" s="39" customFormat="1" x14ac:dyDescent="0.3">
      <c r="E648" s="41"/>
      <c r="F648" s="41"/>
      <c r="G648" s="41"/>
      <c r="H648" s="41"/>
      <c r="I648" s="41"/>
      <c r="J648" s="41"/>
      <c r="K648" s="41"/>
      <c r="L648" s="41"/>
    </row>
    <row r="649" spans="5:12" s="39" customFormat="1" x14ac:dyDescent="0.3">
      <c r="E649" s="41"/>
      <c r="F649" s="41"/>
      <c r="G649" s="41"/>
      <c r="H649" s="41"/>
      <c r="I649" s="41"/>
      <c r="J649" s="41"/>
      <c r="K649" s="41"/>
      <c r="L649" s="41"/>
    </row>
    <row r="650" spans="5:12" s="39" customFormat="1" x14ac:dyDescent="0.3">
      <c r="E650" s="41"/>
      <c r="F650" s="41"/>
      <c r="G650" s="41"/>
      <c r="H650" s="41"/>
      <c r="I650" s="41"/>
      <c r="J650" s="41"/>
      <c r="K650" s="41"/>
      <c r="L650" s="41"/>
    </row>
    <row r="651" spans="5:12" s="39" customFormat="1" x14ac:dyDescent="0.3">
      <c r="E651" s="41"/>
      <c r="F651" s="41"/>
      <c r="G651" s="41"/>
      <c r="H651" s="41"/>
      <c r="I651" s="41"/>
      <c r="J651" s="41"/>
      <c r="K651" s="41"/>
      <c r="L651" s="41"/>
    </row>
    <row r="652" spans="5:12" s="39" customFormat="1" x14ac:dyDescent="0.3">
      <c r="E652" s="41"/>
      <c r="F652" s="41"/>
      <c r="G652" s="41"/>
      <c r="H652" s="41"/>
      <c r="I652" s="41"/>
      <c r="J652" s="41"/>
      <c r="K652" s="41"/>
      <c r="L652" s="41"/>
    </row>
    <row r="653" spans="5:12" s="39" customFormat="1" x14ac:dyDescent="0.3">
      <c r="E653" s="41"/>
      <c r="F653" s="41"/>
      <c r="G653" s="41"/>
      <c r="H653" s="41"/>
      <c r="I653" s="41"/>
      <c r="J653" s="41"/>
      <c r="K653" s="41"/>
      <c r="L653" s="41"/>
    </row>
    <row r="654" spans="5:12" s="39" customFormat="1" x14ac:dyDescent="0.3">
      <c r="E654" s="41"/>
      <c r="F654" s="41"/>
      <c r="G654" s="41"/>
      <c r="H654" s="41"/>
      <c r="I654" s="41"/>
      <c r="J654" s="41"/>
      <c r="K654" s="41"/>
      <c r="L654" s="41"/>
    </row>
    <row r="655" spans="5:12" s="39" customFormat="1" x14ac:dyDescent="0.3">
      <c r="E655" s="41"/>
      <c r="F655" s="41"/>
      <c r="G655" s="41"/>
      <c r="H655" s="41"/>
      <c r="I655" s="41"/>
      <c r="J655" s="41"/>
      <c r="K655" s="41"/>
      <c r="L655" s="41"/>
    </row>
    <row r="656" spans="5:12" s="39" customFormat="1" x14ac:dyDescent="0.3">
      <c r="E656" s="41"/>
      <c r="F656" s="41"/>
      <c r="G656" s="41"/>
      <c r="H656" s="41"/>
      <c r="I656" s="41"/>
      <c r="J656" s="41"/>
      <c r="K656" s="41"/>
      <c r="L656" s="41"/>
    </row>
    <row r="657" spans="5:12" s="39" customFormat="1" x14ac:dyDescent="0.3">
      <c r="E657" s="41"/>
      <c r="F657" s="41"/>
      <c r="G657" s="41"/>
      <c r="H657" s="41"/>
      <c r="I657" s="41"/>
      <c r="J657" s="41"/>
      <c r="K657" s="41"/>
      <c r="L657" s="41"/>
    </row>
    <row r="658" spans="5:12" s="39" customFormat="1" x14ac:dyDescent="0.3">
      <c r="E658" s="41"/>
      <c r="F658" s="41"/>
      <c r="G658" s="41"/>
      <c r="H658" s="41"/>
      <c r="I658" s="41"/>
      <c r="J658" s="41"/>
      <c r="K658" s="41"/>
      <c r="L658" s="41"/>
    </row>
    <row r="659" spans="5:12" s="39" customFormat="1" x14ac:dyDescent="0.3">
      <c r="E659" s="41"/>
      <c r="F659" s="41"/>
      <c r="G659" s="41"/>
      <c r="H659" s="41"/>
      <c r="I659" s="41"/>
      <c r="J659" s="41"/>
      <c r="K659" s="41"/>
      <c r="L659" s="41"/>
    </row>
    <row r="660" spans="5:12" s="39" customFormat="1" x14ac:dyDescent="0.3">
      <c r="E660" s="41"/>
      <c r="F660" s="41"/>
      <c r="G660" s="41"/>
      <c r="H660" s="41"/>
      <c r="I660" s="41"/>
      <c r="J660" s="41"/>
      <c r="K660" s="41"/>
      <c r="L660" s="41"/>
    </row>
    <row r="661" spans="5:12" s="39" customFormat="1" x14ac:dyDescent="0.3">
      <c r="E661" s="41"/>
      <c r="F661" s="41"/>
      <c r="G661" s="41"/>
      <c r="H661" s="41"/>
      <c r="I661" s="41"/>
      <c r="J661" s="41"/>
      <c r="K661" s="41"/>
      <c r="L661" s="41"/>
    </row>
    <row r="662" spans="5:12" s="39" customFormat="1" x14ac:dyDescent="0.3">
      <c r="E662" s="41"/>
      <c r="F662" s="41"/>
      <c r="G662" s="41"/>
      <c r="H662" s="41"/>
      <c r="I662" s="41"/>
      <c r="J662" s="41"/>
      <c r="K662" s="41"/>
      <c r="L662" s="41"/>
    </row>
    <row r="663" spans="5:12" s="39" customFormat="1" x14ac:dyDescent="0.3">
      <c r="E663" s="41"/>
      <c r="F663" s="41"/>
      <c r="G663" s="41"/>
      <c r="H663" s="41"/>
      <c r="I663" s="41"/>
      <c r="J663" s="41"/>
      <c r="K663" s="41"/>
      <c r="L663" s="41"/>
    </row>
    <row r="664" spans="5:12" s="39" customFormat="1" x14ac:dyDescent="0.3">
      <c r="E664" s="41"/>
      <c r="F664" s="41"/>
      <c r="G664" s="41"/>
      <c r="H664" s="41"/>
      <c r="I664" s="41"/>
      <c r="J664" s="41"/>
      <c r="K664" s="41"/>
      <c r="L664" s="41"/>
    </row>
    <row r="665" spans="5:12" s="39" customFormat="1" x14ac:dyDescent="0.3">
      <c r="E665" s="41"/>
      <c r="F665" s="41"/>
      <c r="G665" s="41"/>
      <c r="H665" s="41"/>
      <c r="I665" s="41"/>
      <c r="J665" s="41"/>
      <c r="K665" s="41"/>
      <c r="L665" s="41"/>
    </row>
    <row r="666" spans="5:12" s="39" customFormat="1" x14ac:dyDescent="0.3">
      <c r="E666" s="41"/>
      <c r="F666" s="41"/>
      <c r="G666" s="41"/>
      <c r="H666" s="41"/>
      <c r="I666" s="41"/>
      <c r="J666" s="41"/>
      <c r="K666" s="41"/>
      <c r="L666" s="41"/>
    </row>
    <row r="667" spans="5:12" s="39" customFormat="1" x14ac:dyDescent="0.3">
      <c r="E667" s="41"/>
      <c r="F667" s="41"/>
      <c r="G667" s="41"/>
      <c r="H667" s="41"/>
      <c r="I667" s="41"/>
      <c r="J667" s="41"/>
      <c r="K667" s="41"/>
      <c r="L667" s="41"/>
    </row>
    <row r="668" spans="5:12" s="39" customFormat="1" x14ac:dyDescent="0.3">
      <c r="E668" s="41"/>
      <c r="F668" s="41"/>
      <c r="G668" s="41"/>
      <c r="H668" s="41"/>
      <c r="I668" s="41"/>
      <c r="J668" s="41"/>
      <c r="K668" s="41"/>
      <c r="L668" s="41"/>
    </row>
    <row r="669" spans="5:12" s="39" customFormat="1" x14ac:dyDescent="0.3">
      <c r="E669" s="41"/>
      <c r="F669" s="41"/>
      <c r="G669" s="41"/>
      <c r="H669" s="41"/>
      <c r="I669" s="41"/>
      <c r="J669" s="41"/>
      <c r="K669" s="41"/>
      <c r="L669" s="41"/>
    </row>
    <row r="670" spans="5:12" s="39" customFormat="1" x14ac:dyDescent="0.3">
      <c r="E670" s="41"/>
      <c r="F670" s="41"/>
      <c r="G670" s="41"/>
      <c r="H670" s="41"/>
      <c r="I670" s="41"/>
      <c r="J670" s="41"/>
      <c r="K670" s="41"/>
      <c r="L670" s="41"/>
    </row>
    <row r="671" spans="5:12" s="39" customFormat="1" x14ac:dyDescent="0.3">
      <c r="E671" s="41"/>
      <c r="F671" s="41"/>
      <c r="G671" s="41"/>
      <c r="H671" s="41"/>
      <c r="I671" s="41"/>
      <c r="J671" s="41"/>
      <c r="K671" s="41"/>
      <c r="L671" s="41"/>
    </row>
    <row r="672" spans="5:12" s="39" customFormat="1" x14ac:dyDescent="0.3">
      <c r="E672" s="41"/>
      <c r="F672" s="41"/>
      <c r="G672" s="41"/>
      <c r="H672" s="41"/>
      <c r="I672" s="41"/>
      <c r="J672" s="41"/>
      <c r="K672" s="41"/>
      <c r="L672" s="41"/>
    </row>
    <row r="673" spans="5:12" s="39" customFormat="1" x14ac:dyDescent="0.3">
      <c r="E673" s="41"/>
      <c r="F673" s="41"/>
      <c r="G673" s="41"/>
      <c r="H673" s="41"/>
      <c r="I673" s="41"/>
      <c r="J673" s="41"/>
      <c r="K673" s="41"/>
      <c r="L673" s="41"/>
    </row>
    <row r="674" spans="5:12" s="39" customFormat="1" x14ac:dyDescent="0.3">
      <c r="E674" s="41"/>
      <c r="F674" s="41"/>
      <c r="G674" s="41"/>
      <c r="H674" s="41"/>
      <c r="I674" s="41"/>
      <c r="J674" s="41"/>
      <c r="K674" s="41"/>
      <c r="L674" s="41"/>
    </row>
    <row r="675" spans="5:12" s="39" customFormat="1" x14ac:dyDescent="0.3">
      <c r="E675" s="41"/>
      <c r="F675" s="41"/>
      <c r="G675" s="41"/>
      <c r="H675" s="41"/>
      <c r="I675" s="41"/>
      <c r="J675" s="41"/>
      <c r="K675" s="41"/>
      <c r="L675" s="41"/>
    </row>
    <row r="676" spans="5:12" s="39" customFormat="1" x14ac:dyDescent="0.3">
      <c r="E676" s="41"/>
      <c r="F676" s="41"/>
      <c r="G676" s="41"/>
      <c r="H676" s="41"/>
      <c r="I676" s="41"/>
      <c r="J676" s="41"/>
      <c r="K676" s="41"/>
      <c r="L676" s="41"/>
    </row>
    <row r="677" spans="5:12" s="39" customFormat="1" x14ac:dyDescent="0.3">
      <c r="E677" s="41"/>
      <c r="F677" s="41"/>
      <c r="G677" s="41"/>
      <c r="H677" s="41"/>
      <c r="I677" s="41"/>
      <c r="J677" s="41"/>
      <c r="K677" s="41"/>
      <c r="L677" s="41"/>
    </row>
    <row r="678" spans="5:12" s="39" customFormat="1" x14ac:dyDescent="0.3">
      <c r="E678" s="41"/>
      <c r="F678" s="41"/>
      <c r="G678" s="41"/>
      <c r="H678" s="41"/>
      <c r="I678" s="41"/>
      <c r="J678" s="41"/>
      <c r="K678" s="41"/>
      <c r="L678" s="41"/>
    </row>
    <row r="679" spans="5:12" s="39" customFormat="1" x14ac:dyDescent="0.3">
      <c r="E679" s="41"/>
      <c r="F679" s="41"/>
      <c r="G679" s="41"/>
      <c r="H679" s="41"/>
      <c r="I679" s="41"/>
      <c r="J679" s="41"/>
      <c r="K679" s="41"/>
      <c r="L679" s="41"/>
    </row>
    <row r="680" spans="5:12" s="39" customFormat="1" x14ac:dyDescent="0.3">
      <c r="E680" s="41"/>
      <c r="F680" s="41"/>
      <c r="G680" s="41"/>
      <c r="H680" s="41"/>
      <c r="I680" s="41"/>
      <c r="J680" s="41"/>
      <c r="K680" s="41"/>
      <c r="L680" s="41"/>
    </row>
    <row r="681" spans="5:12" s="39" customFormat="1" x14ac:dyDescent="0.3">
      <c r="E681" s="41"/>
      <c r="F681" s="41"/>
      <c r="G681" s="41"/>
      <c r="H681" s="41"/>
      <c r="I681" s="41"/>
      <c r="J681" s="41"/>
      <c r="K681" s="41"/>
      <c r="L681" s="41"/>
    </row>
    <row r="682" spans="5:12" s="39" customFormat="1" x14ac:dyDescent="0.3">
      <c r="E682" s="41"/>
      <c r="F682" s="41"/>
      <c r="G682" s="41"/>
      <c r="H682" s="41"/>
      <c r="I682" s="41"/>
      <c r="J682" s="41"/>
      <c r="K682" s="41"/>
      <c r="L682" s="41"/>
    </row>
    <row r="683" spans="5:12" s="39" customFormat="1" x14ac:dyDescent="0.3">
      <c r="E683" s="41"/>
      <c r="F683" s="41"/>
      <c r="G683" s="41"/>
      <c r="H683" s="41"/>
      <c r="I683" s="41"/>
      <c r="J683" s="41"/>
      <c r="K683" s="41"/>
      <c r="L683" s="41"/>
    </row>
    <row r="684" spans="5:12" s="39" customFormat="1" x14ac:dyDescent="0.3">
      <c r="E684" s="41"/>
      <c r="F684" s="41"/>
      <c r="G684" s="41"/>
      <c r="H684" s="41"/>
      <c r="I684" s="41"/>
      <c r="J684" s="41"/>
      <c r="K684" s="41"/>
      <c r="L684" s="41"/>
    </row>
    <row r="685" spans="5:12" s="39" customFormat="1" x14ac:dyDescent="0.3">
      <c r="E685" s="41"/>
      <c r="F685" s="41"/>
      <c r="G685" s="41"/>
      <c r="H685" s="41"/>
      <c r="I685" s="41"/>
      <c r="J685" s="41"/>
      <c r="K685" s="41"/>
      <c r="L685" s="41"/>
    </row>
    <row r="686" spans="5:12" s="39" customFormat="1" x14ac:dyDescent="0.3">
      <c r="E686" s="41"/>
      <c r="F686" s="41"/>
      <c r="G686" s="41"/>
      <c r="H686" s="41"/>
      <c r="I686" s="41"/>
      <c r="J686" s="41"/>
      <c r="K686" s="41"/>
      <c r="L686" s="41"/>
    </row>
    <row r="687" spans="5:12" s="39" customFormat="1" x14ac:dyDescent="0.3">
      <c r="E687" s="41"/>
      <c r="F687" s="41"/>
      <c r="G687" s="41"/>
      <c r="H687" s="41"/>
      <c r="I687" s="41"/>
      <c r="J687" s="41"/>
      <c r="K687" s="41"/>
      <c r="L687" s="41"/>
    </row>
    <row r="688" spans="5:12" s="39" customFormat="1" x14ac:dyDescent="0.3">
      <c r="E688" s="41"/>
      <c r="F688" s="41"/>
      <c r="G688" s="41"/>
      <c r="H688" s="41"/>
      <c r="I688" s="41"/>
      <c r="J688" s="41"/>
      <c r="K688" s="41"/>
      <c r="L688" s="41"/>
    </row>
    <row r="689" spans="5:12" s="39" customFormat="1" x14ac:dyDescent="0.3">
      <c r="E689" s="41"/>
      <c r="F689" s="41"/>
      <c r="G689" s="41"/>
      <c r="H689" s="41"/>
      <c r="I689" s="41"/>
      <c r="J689" s="41"/>
      <c r="K689" s="41"/>
      <c r="L689" s="41"/>
    </row>
    <row r="690" spans="5:12" s="39" customFormat="1" x14ac:dyDescent="0.3">
      <c r="E690" s="41"/>
      <c r="F690" s="41"/>
      <c r="G690" s="41"/>
      <c r="H690" s="41"/>
      <c r="I690" s="41"/>
      <c r="J690" s="41"/>
      <c r="K690" s="41"/>
      <c r="L690" s="41"/>
    </row>
    <row r="691" spans="5:12" s="39" customFormat="1" x14ac:dyDescent="0.3">
      <c r="E691" s="41"/>
      <c r="F691" s="41"/>
      <c r="G691" s="41"/>
      <c r="H691" s="41"/>
      <c r="I691" s="41"/>
      <c r="J691" s="41"/>
      <c r="K691" s="41"/>
      <c r="L691" s="41"/>
    </row>
    <row r="692" spans="5:12" s="39" customFormat="1" x14ac:dyDescent="0.3">
      <c r="E692" s="41"/>
      <c r="F692" s="41"/>
      <c r="G692" s="41"/>
      <c r="H692" s="41"/>
      <c r="I692" s="41"/>
      <c r="J692" s="41"/>
      <c r="K692" s="41"/>
      <c r="L692" s="41"/>
    </row>
    <row r="693" spans="5:12" s="39" customFormat="1" x14ac:dyDescent="0.3">
      <c r="E693" s="41"/>
      <c r="F693" s="41"/>
      <c r="G693" s="41"/>
      <c r="H693" s="41"/>
      <c r="I693" s="41"/>
      <c r="J693" s="41"/>
      <c r="K693" s="41"/>
      <c r="L693" s="41"/>
    </row>
    <row r="694" spans="5:12" s="39" customFormat="1" x14ac:dyDescent="0.3">
      <c r="E694" s="41"/>
      <c r="F694" s="41"/>
      <c r="G694" s="41"/>
      <c r="H694" s="41"/>
      <c r="I694" s="41"/>
      <c r="J694" s="41"/>
      <c r="K694" s="41"/>
      <c r="L694" s="41"/>
    </row>
    <row r="695" spans="5:12" s="39" customFormat="1" x14ac:dyDescent="0.3">
      <c r="E695" s="41"/>
      <c r="F695" s="41"/>
      <c r="G695" s="41"/>
      <c r="H695" s="41"/>
      <c r="I695" s="41"/>
      <c r="J695" s="41"/>
      <c r="K695" s="41"/>
      <c r="L695" s="41"/>
    </row>
    <row r="696" spans="5:12" s="39" customFormat="1" x14ac:dyDescent="0.3">
      <c r="E696" s="41"/>
      <c r="F696" s="41"/>
      <c r="G696" s="41"/>
      <c r="H696" s="41"/>
      <c r="I696" s="41"/>
      <c r="J696" s="41"/>
      <c r="K696" s="41"/>
      <c r="L696" s="41"/>
    </row>
    <row r="697" spans="5:12" s="39" customFormat="1" x14ac:dyDescent="0.3">
      <c r="E697" s="41"/>
      <c r="F697" s="41"/>
      <c r="G697" s="41"/>
      <c r="H697" s="41"/>
      <c r="I697" s="41"/>
      <c r="J697" s="41"/>
      <c r="K697" s="41"/>
      <c r="L697" s="41"/>
    </row>
    <row r="698" spans="5:12" s="39" customFormat="1" x14ac:dyDescent="0.3">
      <c r="E698" s="41"/>
      <c r="F698" s="41"/>
      <c r="G698" s="41"/>
      <c r="H698" s="41"/>
      <c r="I698" s="41"/>
      <c r="J698" s="41"/>
      <c r="K698" s="41"/>
      <c r="L698" s="41"/>
    </row>
    <row r="699" spans="5:12" s="39" customFormat="1" x14ac:dyDescent="0.3">
      <c r="E699" s="41"/>
      <c r="F699" s="41"/>
      <c r="G699" s="41"/>
      <c r="H699" s="41"/>
      <c r="I699" s="41"/>
      <c r="J699" s="41"/>
      <c r="K699" s="41"/>
      <c r="L699" s="41"/>
    </row>
    <row r="700" spans="5:12" s="39" customFormat="1" x14ac:dyDescent="0.3">
      <c r="E700" s="41"/>
      <c r="F700" s="41"/>
      <c r="G700" s="41"/>
      <c r="H700" s="41"/>
      <c r="I700" s="41"/>
      <c r="J700" s="41"/>
      <c r="K700" s="41"/>
      <c r="L700" s="41"/>
    </row>
    <row r="701" spans="5:12" s="39" customFormat="1" x14ac:dyDescent="0.3">
      <c r="E701" s="41"/>
      <c r="F701" s="41"/>
      <c r="G701" s="41"/>
      <c r="H701" s="41"/>
      <c r="I701" s="41"/>
      <c r="J701" s="41"/>
      <c r="K701" s="41"/>
      <c r="L701" s="41"/>
    </row>
    <row r="702" spans="5:12" s="39" customFormat="1" x14ac:dyDescent="0.3">
      <c r="E702" s="41"/>
      <c r="F702" s="41"/>
      <c r="G702" s="41"/>
      <c r="H702" s="41"/>
      <c r="I702" s="41"/>
      <c r="J702" s="41"/>
      <c r="K702" s="41"/>
      <c r="L702" s="41"/>
    </row>
    <row r="703" spans="5:12" s="39" customFormat="1" x14ac:dyDescent="0.3">
      <c r="E703" s="41"/>
      <c r="F703" s="41"/>
      <c r="G703" s="41"/>
      <c r="H703" s="41"/>
      <c r="I703" s="41"/>
      <c r="J703" s="41"/>
      <c r="K703" s="41"/>
      <c r="L703" s="41"/>
    </row>
    <row r="704" spans="5:12" s="39" customFormat="1" x14ac:dyDescent="0.3">
      <c r="E704" s="41"/>
      <c r="F704" s="41"/>
      <c r="G704" s="41"/>
      <c r="H704" s="41"/>
      <c r="I704" s="41"/>
      <c r="J704" s="41"/>
      <c r="K704" s="41"/>
      <c r="L704" s="41"/>
    </row>
    <row r="705" spans="5:12" s="39" customFormat="1" x14ac:dyDescent="0.3">
      <c r="E705" s="41"/>
      <c r="F705" s="41"/>
      <c r="G705" s="41"/>
      <c r="H705" s="41"/>
      <c r="I705" s="41"/>
      <c r="J705" s="41"/>
      <c r="K705" s="41"/>
      <c r="L705" s="41"/>
    </row>
    <row r="706" spans="5:12" s="39" customFormat="1" x14ac:dyDescent="0.3">
      <c r="E706" s="41"/>
      <c r="F706" s="41"/>
      <c r="G706" s="41"/>
      <c r="H706" s="41"/>
      <c r="I706" s="41"/>
      <c r="J706" s="41"/>
      <c r="K706" s="41"/>
      <c r="L706" s="41"/>
    </row>
    <row r="707" spans="5:12" s="39" customFormat="1" x14ac:dyDescent="0.3">
      <c r="E707" s="41"/>
      <c r="F707" s="41"/>
      <c r="G707" s="41"/>
      <c r="H707" s="41"/>
      <c r="I707" s="41"/>
      <c r="J707" s="41"/>
      <c r="K707" s="41"/>
      <c r="L707" s="41"/>
    </row>
    <row r="708" spans="5:12" s="39" customFormat="1" x14ac:dyDescent="0.3">
      <c r="E708" s="41"/>
      <c r="F708" s="41"/>
      <c r="G708" s="41"/>
      <c r="H708" s="41"/>
      <c r="I708" s="41"/>
      <c r="J708" s="41"/>
      <c r="K708" s="41"/>
      <c r="L708" s="41"/>
    </row>
    <row r="709" spans="5:12" s="39" customFormat="1" x14ac:dyDescent="0.3">
      <c r="E709" s="41"/>
      <c r="F709" s="41"/>
      <c r="G709" s="41"/>
      <c r="H709" s="41"/>
      <c r="I709" s="41"/>
      <c r="J709" s="41"/>
      <c r="K709" s="41"/>
      <c r="L709" s="41"/>
    </row>
    <row r="710" spans="5:12" s="39" customFormat="1" x14ac:dyDescent="0.3">
      <c r="E710" s="41"/>
      <c r="F710" s="41"/>
      <c r="G710" s="41"/>
      <c r="H710" s="41"/>
      <c r="I710" s="41"/>
      <c r="J710" s="41"/>
      <c r="K710" s="41"/>
      <c r="L710" s="41"/>
    </row>
    <row r="711" spans="5:12" s="39" customFormat="1" x14ac:dyDescent="0.3">
      <c r="E711" s="41"/>
      <c r="F711" s="41"/>
      <c r="G711" s="41"/>
      <c r="H711" s="41"/>
      <c r="I711" s="41"/>
      <c r="J711" s="41"/>
      <c r="K711" s="41"/>
      <c r="L711" s="41"/>
    </row>
    <row r="712" spans="5:12" s="39" customFormat="1" x14ac:dyDescent="0.3">
      <c r="E712" s="41"/>
      <c r="F712" s="41"/>
      <c r="G712" s="41"/>
      <c r="H712" s="41"/>
      <c r="I712" s="41"/>
      <c r="J712" s="41"/>
      <c r="K712" s="41"/>
      <c r="L712" s="41"/>
    </row>
    <row r="713" spans="5:12" s="39" customFormat="1" x14ac:dyDescent="0.3">
      <c r="E713" s="41"/>
      <c r="F713" s="41"/>
      <c r="G713" s="41"/>
      <c r="H713" s="41"/>
      <c r="I713" s="41"/>
      <c r="J713" s="41"/>
      <c r="K713" s="41"/>
      <c r="L713" s="41"/>
    </row>
    <row r="714" spans="5:12" s="39" customFormat="1" x14ac:dyDescent="0.3">
      <c r="E714" s="41"/>
      <c r="F714" s="41"/>
      <c r="G714" s="41"/>
      <c r="H714" s="41"/>
      <c r="I714" s="41"/>
      <c r="J714" s="41"/>
      <c r="K714" s="41"/>
      <c r="L714" s="41"/>
    </row>
    <row r="715" spans="5:12" s="39" customFormat="1" x14ac:dyDescent="0.3">
      <c r="E715" s="41"/>
      <c r="F715" s="41"/>
      <c r="G715" s="41"/>
      <c r="H715" s="41"/>
      <c r="I715" s="41"/>
      <c r="J715" s="41"/>
      <c r="K715" s="41"/>
      <c r="L715" s="41"/>
    </row>
    <row r="716" spans="5:12" s="39" customFormat="1" x14ac:dyDescent="0.3">
      <c r="E716" s="41"/>
      <c r="F716" s="41"/>
      <c r="G716" s="41"/>
      <c r="H716" s="41"/>
      <c r="I716" s="41"/>
      <c r="J716" s="41"/>
      <c r="K716" s="41"/>
      <c r="L716" s="41"/>
    </row>
    <row r="717" spans="5:12" s="39" customFormat="1" x14ac:dyDescent="0.3">
      <c r="E717" s="41"/>
      <c r="F717" s="41"/>
      <c r="G717" s="41"/>
      <c r="H717" s="41"/>
      <c r="I717" s="41"/>
      <c r="J717" s="41"/>
      <c r="K717" s="41"/>
      <c r="L717" s="41"/>
    </row>
    <row r="718" spans="5:12" s="39" customFormat="1" x14ac:dyDescent="0.3">
      <c r="E718" s="41"/>
      <c r="F718" s="41"/>
      <c r="G718" s="41"/>
      <c r="H718" s="41"/>
      <c r="I718" s="41"/>
      <c r="J718" s="41"/>
      <c r="K718" s="41"/>
      <c r="L718" s="41"/>
    </row>
    <row r="719" spans="5:12" s="39" customFormat="1" x14ac:dyDescent="0.3">
      <c r="E719" s="41"/>
      <c r="F719" s="41"/>
      <c r="G719" s="41"/>
      <c r="H719" s="41"/>
      <c r="I719" s="41"/>
      <c r="J719" s="41"/>
      <c r="K719" s="41"/>
      <c r="L719" s="41"/>
    </row>
    <row r="720" spans="5:12" s="39" customFormat="1" x14ac:dyDescent="0.3">
      <c r="E720" s="41"/>
      <c r="F720" s="41"/>
      <c r="G720" s="41"/>
      <c r="H720" s="41"/>
      <c r="I720" s="41"/>
      <c r="J720" s="41"/>
      <c r="K720" s="41"/>
      <c r="L720" s="41"/>
    </row>
    <row r="721" spans="5:12" s="39" customFormat="1" x14ac:dyDescent="0.3">
      <c r="E721" s="41"/>
      <c r="F721" s="41"/>
      <c r="G721" s="41"/>
      <c r="H721" s="41"/>
      <c r="I721" s="41"/>
      <c r="J721" s="41"/>
      <c r="K721" s="41"/>
      <c r="L721" s="41"/>
    </row>
    <row r="722" spans="5:12" s="39" customFormat="1" x14ac:dyDescent="0.3">
      <c r="E722" s="41"/>
      <c r="F722" s="41"/>
      <c r="G722" s="41"/>
      <c r="H722" s="41"/>
      <c r="I722" s="41"/>
      <c r="J722" s="41"/>
      <c r="K722" s="41"/>
      <c r="L722" s="41"/>
    </row>
    <row r="723" spans="5:12" s="39" customFormat="1" x14ac:dyDescent="0.3">
      <c r="E723" s="41"/>
      <c r="F723" s="41"/>
      <c r="G723" s="41"/>
      <c r="H723" s="41"/>
      <c r="I723" s="41"/>
      <c r="J723" s="41"/>
      <c r="K723" s="41"/>
      <c r="L723" s="41"/>
    </row>
    <row r="724" spans="5:12" s="39" customFormat="1" x14ac:dyDescent="0.3">
      <c r="E724" s="41"/>
      <c r="F724" s="41"/>
      <c r="G724" s="41"/>
      <c r="H724" s="41"/>
      <c r="I724" s="41"/>
      <c r="J724" s="41"/>
      <c r="K724" s="41"/>
      <c r="L724" s="41"/>
    </row>
    <row r="725" spans="5:12" s="39" customFormat="1" x14ac:dyDescent="0.3">
      <c r="E725" s="41"/>
      <c r="F725" s="41"/>
      <c r="G725" s="41"/>
      <c r="H725" s="41"/>
      <c r="I725" s="41"/>
      <c r="J725" s="41"/>
      <c r="K725" s="41"/>
      <c r="L725" s="41"/>
    </row>
    <row r="726" spans="5:12" s="39" customFormat="1" x14ac:dyDescent="0.3">
      <c r="E726" s="41"/>
      <c r="F726" s="41"/>
      <c r="G726" s="41"/>
      <c r="H726" s="41"/>
      <c r="I726" s="41"/>
      <c r="J726" s="41"/>
      <c r="K726" s="41"/>
      <c r="L726" s="41"/>
    </row>
    <row r="727" spans="5:12" s="39" customFormat="1" x14ac:dyDescent="0.3">
      <c r="E727" s="41"/>
      <c r="F727" s="41"/>
      <c r="G727" s="41"/>
      <c r="H727" s="41"/>
      <c r="I727" s="41"/>
      <c r="J727" s="41"/>
      <c r="K727" s="41"/>
      <c r="L727" s="41"/>
    </row>
    <row r="728" spans="5:12" s="39" customFormat="1" x14ac:dyDescent="0.3">
      <c r="E728" s="41"/>
      <c r="F728" s="41"/>
      <c r="G728" s="41"/>
      <c r="H728" s="41"/>
      <c r="I728" s="41"/>
      <c r="J728" s="41"/>
      <c r="K728" s="41"/>
      <c r="L728" s="41"/>
    </row>
    <row r="729" spans="5:12" s="39" customFormat="1" x14ac:dyDescent="0.3">
      <c r="E729" s="41"/>
      <c r="F729" s="41"/>
      <c r="G729" s="41"/>
      <c r="H729" s="41"/>
      <c r="I729" s="41"/>
      <c r="J729" s="41"/>
      <c r="K729" s="41"/>
      <c r="L729" s="41"/>
    </row>
    <row r="730" spans="5:12" s="39" customFormat="1" x14ac:dyDescent="0.3">
      <c r="E730" s="41"/>
      <c r="F730" s="41"/>
      <c r="G730" s="41"/>
      <c r="H730" s="41"/>
      <c r="I730" s="41"/>
      <c r="J730" s="41"/>
      <c r="K730" s="41"/>
      <c r="L730" s="41"/>
    </row>
    <row r="731" spans="5:12" s="39" customFormat="1" x14ac:dyDescent="0.3">
      <c r="E731" s="41"/>
      <c r="F731" s="41"/>
      <c r="G731" s="41"/>
      <c r="H731" s="41"/>
      <c r="I731" s="41"/>
      <c r="J731" s="41"/>
      <c r="K731" s="41"/>
      <c r="L731" s="41"/>
    </row>
    <row r="732" spans="5:12" s="39" customFormat="1" x14ac:dyDescent="0.3">
      <c r="E732" s="41"/>
      <c r="F732" s="41"/>
      <c r="G732" s="41"/>
      <c r="H732" s="41"/>
      <c r="I732" s="41"/>
      <c r="J732" s="41"/>
      <c r="K732" s="41"/>
      <c r="L732" s="41"/>
    </row>
    <row r="733" spans="5:12" s="39" customFormat="1" x14ac:dyDescent="0.3">
      <c r="E733" s="41"/>
      <c r="F733" s="41"/>
      <c r="G733" s="41"/>
      <c r="H733" s="41"/>
      <c r="I733" s="41"/>
      <c r="J733" s="41"/>
      <c r="K733" s="41"/>
      <c r="L733" s="41"/>
    </row>
    <row r="734" spans="5:12" s="39" customFormat="1" x14ac:dyDescent="0.3">
      <c r="E734" s="41"/>
      <c r="F734" s="41"/>
      <c r="G734" s="41"/>
      <c r="H734" s="41"/>
      <c r="I734" s="41"/>
      <c r="J734" s="41"/>
      <c r="K734" s="41"/>
      <c r="L734" s="41"/>
    </row>
    <row r="735" spans="5:12" s="39" customFormat="1" x14ac:dyDescent="0.3">
      <c r="E735" s="41"/>
      <c r="F735" s="41"/>
      <c r="G735" s="41"/>
      <c r="H735" s="41"/>
      <c r="I735" s="41"/>
      <c r="J735" s="41"/>
      <c r="K735" s="41"/>
      <c r="L735" s="41"/>
    </row>
    <row r="736" spans="5:12" s="39" customFormat="1" x14ac:dyDescent="0.3">
      <c r="E736" s="41"/>
      <c r="F736" s="41"/>
      <c r="G736" s="41"/>
      <c r="H736" s="41"/>
      <c r="I736" s="41"/>
      <c r="J736" s="41"/>
      <c r="K736" s="41"/>
      <c r="L736" s="41"/>
    </row>
    <row r="737" spans="5:12" s="39" customFormat="1" x14ac:dyDescent="0.3">
      <c r="E737" s="41"/>
      <c r="F737" s="41"/>
      <c r="G737" s="41"/>
      <c r="H737" s="41"/>
      <c r="I737" s="41"/>
      <c r="J737" s="41"/>
      <c r="K737" s="41"/>
      <c r="L737" s="41"/>
    </row>
    <row r="738" spans="5:12" s="39" customFormat="1" x14ac:dyDescent="0.3">
      <c r="E738" s="41"/>
      <c r="F738" s="41"/>
      <c r="G738" s="41"/>
      <c r="H738" s="41"/>
      <c r="I738" s="41"/>
      <c r="J738" s="41"/>
      <c r="K738" s="41"/>
      <c r="L738" s="41"/>
    </row>
    <row r="739" spans="5:12" s="39" customFormat="1" x14ac:dyDescent="0.3">
      <c r="E739" s="41"/>
      <c r="F739" s="41"/>
      <c r="G739" s="41"/>
      <c r="H739" s="41"/>
      <c r="I739" s="41"/>
      <c r="J739" s="41"/>
      <c r="K739" s="41"/>
      <c r="L739" s="41"/>
    </row>
    <row r="740" spans="5:12" s="39" customFormat="1" x14ac:dyDescent="0.3">
      <c r="E740" s="41"/>
      <c r="F740" s="41"/>
      <c r="G740" s="41"/>
      <c r="H740" s="41"/>
      <c r="I740" s="41"/>
      <c r="J740" s="41"/>
      <c r="K740" s="41"/>
      <c r="L740" s="41"/>
    </row>
    <row r="741" spans="5:12" s="39" customFormat="1" x14ac:dyDescent="0.3">
      <c r="E741" s="41"/>
      <c r="F741" s="41"/>
      <c r="G741" s="41"/>
      <c r="H741" s="41"/>
      <c r="I741" s="41"/>
      <c r="J741" s="41"/>
      <c r="K741" s="41"/>
      <c r="L741" s="41"/>
    </row>
    <row r="742" spans="5:12" s="39" customFormat="1" x14ac:dyDescent="0.3">
      <c r="E742" s="41"/>
      <c r="F742" s="41"/>
      <c r="G742" s="41"/>
      <c r="H742" s="41"/>
      <c r="I742" s="41"/>
      <c r="J742" s="41"/>
      <c r="K742" s="41"/>
      <c r="L742" s="41"/>
    </row>
    <row r="743" spans="5:12" s="39" customFormat="1" x14ac:dyDescent="0.3">
      <c r="E743" s="41"/>
      <c r="F743" s="41"/>
      <c r="G743" s="41"/>
      <c r="H743" s="41"/>
      <c r="I743" s="41"/>
      <c r="J743" s="41"/>
      <c r="K743" s="41"/>
      <c r="L743" s="41"/>
    </row>
    <row r="744" spans="5:12" s="39" customFormat="1" x14ac:dyDescent="0.3">
      <c r="E744" s="41"/>
      <c r="F744" s="41"/>
      <c r="G744" s="41"/>
      <c r="H744" s="41"/>
      <c r="I744" s="41"/>
      <c r="J744" s="41"/>
      <c r="K744" s="41"/>
      <c r="L744" s="41"/>
    </row>
    <row r="745" spans="5:12" s="39" customFormat="1" x14ac:dyDescent="0.3">
      <c r="E745" s="41"/>
      <c r="F745" s="41"/>
      <c r="G745" s="41"/>
      <c r="H745" s="41"/>
      <c r="I745" s="41"/>
      <c r="J745" s="41"/>
      <c r="K745" s="41"/>
      <c r="L745" s="41"/>
    </row>
    <row r="746" spans="5:12" s="39" customFormat="1" x14ac:dyDescent="0.3">
      <c r="E746" s="41"/>
      <c r="F746" s="41"/>
      <c r="G746" s="41"/>
      <c r="H746" s="41"/>
      <c r="I746" s="41"/>
      <c r="J746" s="41"/>
      <c r="K746" s="41"/>
      <c r="L746" s="41"/>
    </row>
    <row r="747" spans="5:12" s="39" customFormat="1" x14ac:dyDescent="0.3">
      <c r="E747" s="41"/>
      <c r="F747" s="41"/>
      <c r="G747" s="41"/>
      <c r="H747" s="41"/>
      <c r="I747" s="41"/>
      <c r="J747" s="41"/>
      <c r="K747" s="41"/>
      <c r="L747" s="41"/>
    </row>
    <row r="748" spans="5:12" s="39" customFormat="1" x14ac:dyDescent="0.3">
      <c r="E748" s="41"/>
      <c r="F748" s="41"/>
      <c r="G748" s="41"/>
      <c r="H748" s="41"/>
      <c r="I748" s="41"/>
      <c r="J748" s="41"/>
      <c r="K748" s="41"/>
      <c r="L748" s="41"/>
    </row>
    <row r="749" spans="5:12" s="39" customFormat="1" x14ac:dyDescent="0.3">
      <c r="E749" s="41"/>
      <c r="F749" s="41"/>
      <c r="G749" s="41"/>
      <c r="H749" s="41"/>
      <c r="I749" s="41"/>
      <c r="J749" s="41"/>
      <c r="K749" s="41"/>
      <c r="L749" s="41"/>
    </row>
    <row r="750" spans="5:12" s="39" customFormat="1" x14ac:dyDescent="0.3">
      <c r="E750" s="41"/>
      <c r="F750" s="41"/>
      <c r="G750" s="41"/>
      <c r="H750" s="41"/>
      <c r="I750" s="41"/>
      <c r="J750" s="41"/>
      <c r="K750" s="41"/>
      <c r="L750" s="41"/>
    </row>
    <row r="751" spans="5:12" s="39" customFormat="1" x14ac:dyDescent="0.3">
      <c r="E751" s="41"/>
      <c r="F751" s="41"/>
      <c r="G751" s="41"/>
      <c r="H751" s="41"/>
      <c r="I751" s="41"/>
      <c r="J751" s="41"/>
      <c r="K751" s="41"/>
      <c r="L751" s="41"/>
    </row>
    <row r="752" spans="5:12" s="39" customFormat="1" x14ac:dyDescent="0.3">
      <c r="E752" s="41"/>
      <c r="F752" s="41"/>
      <c r="G752" s="41"/>
      <c r="H752" s="41"/>
      <c r="I752" s="41"/>
      <c r="J752" s="41"/>
      <c r="K752" s="41"/>
      <c r="L752" s="41"/>
    </row>
    <row r="753" spans="5:12" s="39" customFormat="1" x14ac:dyDescent="0.3">
      <c r="E753" s="41"/>
      <c r="F753" s="41"/>
      <c r="G753" s="41"/>
      <c r="H753" s="41"/>
      <c r="I753" s="41"/>
      <c r="J753" s="41"/>
      <c r="K753" s="41"/>
      <c r="L753" s="41"/>
    </row>
    <row r="754" spans="5:12" s="39" customFormat="1" x14ac:dyDescent="0.3">
      <c r="E754" s="41"/>
      <c r="F754" s="41"/>
      <c r="G754" s="41"/>
      <c r="H754" s="41"/>
      <c r="I754" s="41"/>
      <c r="J754" s="41"/>
      <c r="K754" s="41"/>
      <c r="L754" s="41"/>
    </row>
    <row r="755" spans="5:12" s="39" customFormat="1" x14ac:dyDescent="0.3">
      <c r="E755" s="41"/>
      <c r="F755" s="41"/>
      <c r="G755" s="41"/>
      <c r="H755" s="41"/>
      <c r="I755" s="41"/>
      <c r="J755" s="41"/>
      <c r="K755" s="41"/>
      <c r="L755" s="41"/>
    </row>
    <row r="756" spans="5:12" s="39" customFormat="1" x14ac:dyDescent="0.3">
      <c r="E756" s="41"/>
      <c r="F756" s="41"/>
      <c r="G756" s="41"/>
      <c r="H756" s="41"/>
      <c r="I756" s="41"/>
      <c r="J756" s="41"/>
      <c r="K756" s="41"/>
      <c r="L756" s="41"/>
    </row>
    <row r="757" spans="5:12" s="39" customFormat="1" x14ac:dyDescent="0.3">
      <c r="E757" s="41"/>
      <c r="F757" s="41"/>
      <c r="G757" s="41"/>
      <c r="H757" s="41"/>
      <c r="I757" s="41"/>
      <c r="J757" s="41"/>
      <c r="K757" s="41"/>
      <c r="L757" s="41"/>
    </row>
    <row r="758" spans="5:12" s="39" customFormat="1" x14ac:dyDescent="0.3">
      <c r="E758" s="41"/>
      <c r="F758" s="41"/>
      <c r="G758" s="41"/>
      <c r="H758" s="41"/>
      <c r="I758" s="41"/>
      <c r="J758" s="41"/>
      <c r="K758" s="41"/>
      <c r="L758" s="41"/>
    </row>
    <row r="759" spans="5:12" s="39" customFormat="1" x14ac:dyDescent="0.3">
      <c r="E759" s="41"/>
      <c r="F759" s="41"/>
      <c r="G759" s="41"/>
      <c r="H759" s="41"/>
      <c r="I759" s="41"/>
      <c r="J759" s="41"/>
      <c r="K759" s="41"/>
      <c r="L759" s="41"/>
    </row>
    <row r="760" spans="5:12" s="39" customFormat="1" x14ac:dyDescent="0.3">
      <c r="E760" s="41"/>
      <c r="F760" s="41"/>
      <c r="G760" s="41"/>
      <c r="H760" s="41"/>
      <c r="I760" s="41"/>
      <c r="J760" s="41"/>
      <c r="K760" s="41"/>
      <c r="L760" s="41"/>
    </row>
    <row r="761" spans="5:12" s="39" customFormat="1" x14ac:dyDescent="0.3">
      <c r="E761" s="41"/>
      <c r="F761" s="41"/>
      <c r="G761" s="41"/>
      <c r="H761" s="41"/>
      <c r="I761" s="41"/>
      <c r="J761" s="41"/>
      <c r="K761" s="41"/>
      <c r="L761" s="41"/>
    </row>
    <row r="762" spans="5:12" s="39" customFormat="1" x14ac:dyDescent="0.3">
      <c r="E762" s="41"/>
      <c r="F762" s="41"/>
      <c r="G762" s="41"/>
      <c r="H762" s="41"/>
      <c r="I762" s="41"/>
      <c r="J762" s="41"/>
      <c r="K762" s="41"/>
      <c r="L762" s="41"/>
    </row>
    <row r="763" spans="5:12" s="39" customFormat="1" x14ac:dyDescent="0.3">
      <c r="E763" s="41"/>
      <c r="F763" s="41"/>
      <c r="G763" s="41"/>
      <c r="H763" s="41"/>
      <c r="I763" s="41"/>
      <c r="J763" s="41"/>
      <c r="K763" s="41"/>
      <c r="L763" s="41"/>
    </row>
    <row r="764" spans="5:12" s="39" customFormat="1" x14ac:dyDescent="0.3">
      <c r="E764" s="41"/>
      <c r="F764" s="41"/>
      <c r="G764" s="41"/>
      <c r="H764" s="41"/>
      <c r="I764" s="41"/>
      <c r="J764" s="41"/>
      <c r="K764" s="41"/>
      <c r="L764" s="41"/>
    </row>
    <row r="765" spans="5:12" s="39" customFormat="1" x14ac:dyDescent="0.3">
      <c r="E765" s="41"/>
      <c r="F765" s="41"/>
      <c r="G765" s="41"/>
      <c r="H765" s="41"/>
      <c r="I765" s="41"/>
      <c r="J765" s="41"/>
      <c r="K765" s="41"/>
      <c r="L765" s="41"/>
    </row>
    <row r="766" spans="5:12" s="39" customFormat="1" x14ac:dyDescent="0.3">
      <c r="E766" s="41"/>
      <c r="F766" s="41"/>
      <c r="G766" s="41"/>
      <c r="H766" s="41"/>
      <c r="I766" s="41"/>
      <c r="J766" s="41"/>
      <c r="K766" s="41"/>
      <c r="L766" s="41"/>
    </row>
    <row r="767" spans="5:12" s="39" customFormat="1" x14ac:dyDescent="0.3">
      <c r="E767" s="41"/>
      <c r="F767" s="41"/>
      <c r="G767" s="41"/>
      <c r="H767" s="41"/>
      <c r="I767" s="41"/>
      <c r="J767" s="41"/>
      <c r="K767" s="41"/>
      <c r="L767" s="41"/>
    </row>
    <row r="768" spans="5:12" s="39" customFormat="1" x14ac:dyDescent="0.3">
      <c r="E768" s="41"/>
      <c r="F768" s="41"/>
      <c r="G768" s="41"/>
      <c r="H768" s="41"/>
      <c r="I768" s="41"/>
      <c r="J768" s="41"/>
      <c r="K768" s="41"/>
      <c r="L768" s="41"/>
    </row>
    <row r="769" spans="5:12" s="39" customFormat="1" x14ac:dyDescent="0.3">
      <c r="E769" s="41"/>
      <c r="F769" s="41"/>
      <c r="G769" s="41"/>
      <c r="H769" s="41"/>
      <c r="I769" s="41"/>
      <c r="J769" s="41"/>
      <c r="K769" s="41"/>
      <c r="L769" s="41"/>
    </row>
    <row r="770" spans="5:12" s="39" customFormat="1" x14ac:dyDescent="0.3">
      <c r="E770" s="41"/>
      <c r="F770" s="41"/>
      <c r="G770" s="41"/>
      <c r="H770" s="41"/>
      <c r="I770" s="41"/>
      <c r="J770" s="41"/>
      <c r="K770" s="41"/>
      <c r="L770" s="41"/>
    </row>
    <row r="771" spans="5:12" s="39" customFormat="1" x14ac:dyDescent="0.3">
      <c r="E771" s="41"/>
      <c r="F771" s="41"/>
      <c r="G771" s="41"/>
      <c r="H771" s="41"/>
      <c r="I771" s="41"/>
      <c r="J771" s="41"/>
      <c r="K771" s="41"/>
      <c r="L771" s="41"/>
    </row>
    <row r="772" spans="5:12" s="39" customFormat="1" x14ac:dyDescent="0.3">
      <c r="E772" s="41"/>
      <c r="F772" s="41"/>
      <c r="G772" s="41"/>
      <c r="H772" s="41"/>
      <c r="I772" s="41"/>
      <c r="J772" s="41"/>
      <c r="K772" s="41"/>
      <c r="L772" s="41"/>
    </row>
    <row r="773" spans="5:12" s="39" customFormat="1" x14ac:dyDescent="0.3">
      <c r="E773" s="41"/>
      <c r="F773" s="41"/>
      <c r="G773" s="41"/>
      <c r="H773" s="41"/>
      <c r="I773" s="41"/>
      <c r="J773" s="41"/>
      <c r="K773" s="41"/>
      <c r="L773" s="41"/>
    </row>
    <row r="774" spans="5:12" s="39" customFormat="1" x14ac:dyDescent="0.3">
      <c r="E774" s="41"/>
      <c r="F774" s="41"/>
      <c r="G774" s="41"/>
      <c r="H774" s="41"/>
      <c r="I774" s="41"/>
      <c r="J774" s="41"/>
      <c r="K774" s="41"/>
      <c r="L774" s="41"/>
    </row>
    <row r="775" spans="5:12" s="39" customFormat="1" x14ac:dyDescent="0.3">
      <c r="E775" s="41"/>
      <c r="F775" s="41"/>
      <c r="G775" s="41"/>
      <c r="H775" s="41"/>
      <c r="I775" s="41"/>
      <c r="J775" s="41"/>
      <c r="K775" s="41"/>
      <c r="L775" s="41"/>
    </row>
    <row r="776" spans="5:12" s="39" customFormat="1" x14ac:dyDescent="0.3">
      <c r="E776" s="41"/>
      <c r="F776" s="41"/>
      <c r="G776" s="41"/>
      <c r="H776" s="41"/>
      <c r="I776" s="41"/>
      <c r="J776" s="41"/>
      <c r="K776" s="41"/>
      <c r="L776" s="41"/>
    </row>
    <row r="777" spans="5:12" s="39" customFormat="1" x14ac:dyDescent="0.3">
      <c r="E777" s="41"/>
      <c r="F777" s="41"/>
      <c r="G777" s="41"/>
      <c r="H777" s="41"/>
      <c r="I777" s="41"/>
      <c r="J777" s="41"/>
      <c r="K777" s="41"/>
      <c r="L777" s="41"/>
    </row>
    <row r="778" spans="5:12" s="39" customFormat="1" x14ac:dyDescent="0.3">
      <c r="E778" s="41"/>
      <c r="F778" s="41"/>
      <c r="G778" s="41"/>
      <c r="H778" s="41"/>
      <c r="I778" s="41"/>
      <c r="J778" s="41"/>
      <c r="K778" s="41"/>
      <c r="L778" s="41"/>
    </row>
    <row r="779" spans="5:12" s="39" customFormat="1" x14ac:dyDescent="0.3">
      <c r="E779" s="41"/>
      <c r="F779" s="41"/>
      <c r="G779" s="41"/>
      <c r="H779" s="41"/>
      <c r="I779" s="41"/>
      <c r="J779" s="41"/>
      <c r="K779" s="41"/>
      <c r="L779" s="41"/>
    </row>
    <row r="780" spans="5:12" s="39" customFormat="1" x14ac:dyDescent="0.3">
      <c r="E780" s="41"/>
      <c r="F780" s="41"/>
      <c r="G780" s="41"/>
      <c r="H780" s="41"/>
      <c r="I780" s="41"/>
      <c r="J780" s="41"/>
      <c r="K780" s="41"/>
      <c r="L780" s="41"/>
    </row>
    <row r="781" spans="5:12" s="39" customFormat="1" x14ac:dyDescent="0.3">
      <c r="E781" s="41"/>
      <c r="F781" s="41"/>
      <c r="G781" s="41"/>
      <c r="H781" s="41"/>
      <c r="I781" s="41"/>
      <c r="J781" s="41"/>
      <c r="K781" s="41"/>
      <c r="L781" s="41"/>
    </row>
    <row r="782" spans="5:12" s="39" customFormat="1" x14ac:dyDescent="0.3">
      <c r="E782" s="41"/>
      <c r="F782" s="41"/>
      <c r="G782" s="41"/>
      <c r="H782" s="41"/>
      <c r="I782" s="41"/>
      <c r="J782" s="41"/>
      <c r="K782" s="41"/>
      <c r="L782" s="41"/>
    </row>
    <row r="783" spans="5:12" s="39" customFormat="1" x14ac:dyDescent="0.3">
      <c r="E783" s="41"/>
      <c r="F783" s="41"/>
      <c r="G783" s="41"/>
      <c r="H783" s="41"/>
      <c r="I783" s="41"/>
      <c r="J783" s="41"/>
      <c r="K783" s="41"/>
      <c r="L783" s="41"/>
    </row>
    <row r="784" spans="5:12" s="39" customFormat="1" x14ac:dyDescent="0.3">
      <c r="E784" s="41"/>
      <c r="F784" s="41"/>
      <c r="G784" s="41"/>
      <c r="H784" s="41"/>
      <c r="I784" s="41"/>
      <c r="J784" s="41"/>
      <c r="K784" s="41"/>
      <c r="L784" s="41"/>
    </row>
    <row r="785" spans="5:12" s="39" customFormat="1" x14ac:dyDescent="0.3">
      <c r="E785" s="41"/>
      <c r="F785" s="41"/>
      <c r="G785" s="41"/>
      <c r="H785" s="41"/>
      <c r="I785" s="41"/>
      <c r="J785" s="41"/>
      <c r="K785" s="41"/>
      <c r="L785" s="41"/>
    </row>
    <row r="786" spans="5:12" s="39" customFormat="1" x14ac:dyDescent="0.3">
      <c r="E786" s="41"/>
      <c r="F786" s="41"/>
      <c r="G786" s="41"/>
      <c r="H786" s="41"/>
      <c r="I786" s="41"/>
      <c r="J786" s="41"/>
      <c r="K786" s="41"/>
      <c r="L786" s="41"/>
    </row>
    <row r="787" spans="5:12" s="39" customFormat="1" x14ac:dyDescent="0.3">
      <c r="E787" s="41"/>
      <c r="F787" s="41"/>
      <c r="G787" s="41"/>
      <c r="H787" s="41"/>
      <c r="I787" s="41"/>
      <c r="J787" s="41"/>
      <c r="K787" s="41"/>
      <c r="L787" s="41"/>
    </row>
    <row r="788" spans="5:12" s="39" customFormat="1" x14ac:dyDescent="0.3">
      <c r="E788" s="41"/>
      <c r="F788" s="41"/>
      <c r="G788" s="41"/>
      <c r="H788" s="41"/>
      <c r="I788" s="41"/>
      <c r="J788" s="41"/>
      <c r="K788" s="41"/>
      <c r="L788" s="41"/>
    </row>
    <row r="789" spans="5:12" s="39" customFormat="1" x14ac:dyDescent="0.3">
      <c r="E789" s="41"/>
      <c r="F789" s="41"/>
      <c r="G789" s="41"/>
      <c r="H789" s="41"/>
      <c r="I789" s="41"/>
      <c r="J789" s="41"/>
      <c r="K789" s="41"/>
      <c r="L789" s="41"/>
    </row>
    <row r="790" spans="5:12" s="39" customFormat="1" x14ac:dyDescent="0.3">
      <c r="E790" s="41"/>
      <c r="F790" s="41"/>
      <c r="G790" s="41"/>
      <c r="H790" s="41"/>
      <c r="I790" s="41"/>
      <c r="J790" s="41"/>
      <c r="K790" s="41"/>
      <c r="L790" s="41"/>
    </row>
    <row r="791" spans="5:12" s="39" customFormat="1" x14ac:dyDescent="0.3">
      <c r="E791" s="41"/>
      <c r="F791" s="41"/>
      <c r="G791" s="41"/>
      <c r="H791" s="41"/>
      <c r="I791" s="41"/>
      <c r="J791" s="41"/>
      <c r="K791" s="41"/>
      <c r="L791" s="41"/>
    </row>
    <row r="792" spans="5:12" s="39" customFormat="1" x14ac:dyDescent="0.3">
      <c r="E792" s="41"/>
      <c r="F792" s="41"/>
      <c r="G792" s="41"/>
      <c r="H792" s="41"/>
      <c r="I792" s="41"/>
      <c r="J792" s="41"/>
      <c r="K792" s="41"/>
      <c r="L792" s="41"/>
    </row>
    <row r="793" spans="5:12" s="39" customFormat="1" x14ac:dyDescent="0.3">
      <c r="E793" s="41"/>
      <c r="F793" s="41"/>
      <c r="G793" s="41"/>
      <c r="H793" s="41"/>
      <c r="I793" s="41"/>
      <c r="J793" s="41"/>
      <c r="K793" s="41"/>
      <c r="L793" s="41"/>
    </row>
    <row r="794" spans="5:12" s="39" customFormat="1" x14ac:dyDescent="0.3">
      <c r="E794" s="41"/>
      <c r="F794" s="41"/>
      <c r="G794" s="41"/>
      <c r="H794" s="41"/>
      <c r="I794" s="41"/>
      <c r="J794" s="41"/>
      <c r="K794" s="41"/>
      <c r="L794" s="41"/>
    </row>
    <row r="795" spans="5:12" s="39" customFormat="1" x14ac:dyDescent="0.3">
      <c r="E795" s="41"/>
      <c r="F795" s="41"/>
      <c r="G795" s="41"/>
      <c r="H795" s="41"/>
      <c r="I795" s="41"/>
      <c r="J795" s="41"/>
      <c r="K795" s="41"/>
      <c r="L795" s="41"/>
    </row>
    <row r="796" spans="5:12" s="39" customFormat="1" x14ac:dyDescent="0.3">
      <c r="E796" s="41"/>
      <c r="F796" s="41"/>
      <c r="G796" s="41"/>
      <c r="H796" s="41"/>
      <c r="I796" s="41"/>
      <c r="J796" s="41"/>
      <c r="K796" s="41"/>
      <c r="L796" s="41"/>
    </row>
    <row r="797" spans="5:12" s="39" customFormat="1" x14ac:dyDescent="0.3">
      <c r="E797" s="41"/>
      <c r="F797" s="41"/>
      <c r="G797" s="41"/>
      <c r="H797" s="41"/>
      <c r="I797" s="41"/>
      <c r="J797" s="41"/>
      <c r="K797" s="41"/>
      <c r="L797" s="41"/>
    </row>
    <row r="798" spans="5:12" s="39" customFormat="1" x14ac:dyDescent="0.3">
      <c r="E798" s="41"/>
      <c r="F798" s="41"/>
      <c r="G798" s="41"/>
      <c r="H798" s="41"/>
      <c r="I798" s="41"/>
      <c r="J798" s="41"/>
      <c r="K798" s="41"/>
      <c r="L798" s="41"/>
    </row>
    <row r="799" spans="5:12" s="39" customFormat="1" x14ac:dyDescent="0.3">
      <c r="E799" s="41"/>
      <c r="F799" s="41"/>
      <c r="G799" s="41"/>
      <c r="H799" s="41"/>
      <c r="I799" s="41"/>
      <c r="J799" s="41"/>
      <c r="K799" s="41"/>
      <c r="L799" s="41"/>
    </row>
    <row r="800" spans="5:12" s="39" customFormat="1" x14ac:dyDescent="0.3">
      <c r="E800" s="41"/>
      <c r="F800" s="41"/>
      <c r="G800" s="41"/>
      <c r="H800" s="41"/>
      <c r="I800" s="41"/>
      <c r="J800" s="41"/>
      <c r="K800" s="41"/>
      <c r="L800" s="41"/>
    </row>
    <row r="801" spans="5:12" s="39" customFormat="1" x14ac:dyDescent="0.3">
      <c r="E801" s="41"/>
      <c r="F801" s="41"/>
      <c r="G801" s="41"/>
      <c r="H801" s="41"/>
      <c r="I801" s="41"/>
      <c r="J801" s="41"/>
      <c r="K801" s="41"/>
      <c r="L801" s="41"/>
    </row>
    <row r="802" spans="5:12" s="39" customFormat="1" x14ac:dyDescent="0.3">
      <c r="E802" s="41"/>
      <c r="F802" s="41"/>
      <c r="G802" s="41"/>
      <c r="H802" s="41"/>
      <c r="I802" s="41"/>
      <c r="J802" s="41"/>
      <c r="K802" s="41"/>
      <c r="L802" s="41"/>
    </row>
    <row r="803" spans="5:12" s="39" customFormat="1" x14ac:dyDescent="0.3">
      <c r="E803" s="41"/>
      <c r="F803" s="41"/>
      <c r="G803" s="41"/>
      <c r="H803" s="41"/>
      <c r="I803" s="41"/>
      <c r="J803" s="41"/>
      <c r="K803" s="41"/>
      <c r="L803" s="41"/>
    </row>
    <row r="804" spans="5:12" s="39" customFormat="1" x14ac:dyDescent="0.3">
      <c r="E804" s="41"/>
      <c r="F804" s="41"/>
      <c r="G804" s="41"/>
      <c r="H804" s="41"/>
      <c r="I804" s="41"/>
      <c r="J804" s="41"/>
      <c r="K804" s="41"/>
      <c r="L804" s="41"/>
    </row>
    <row r="805" spans="5:12" s="39" customFormat="1" x14ac:dyDescent="0.3">
      <c r="E805" s="41"/>
      <c r="F805" s="41"/>
      <c r="G805" s="41"/>
      <c r="H805" s="41"/>
      <c r="I805" s="41"/>
      <c r="J805" s="41"/>
      <c r="K805" s="41"/>
      <c r="L805" s="41"/>
    </row>
    <row r="806" spans="5:12" s="39" customFormat="1" x14ac:dyDescent="0.3">
      <c r="E806" s="41"/>
      <c r="F806" s="41"/>
      <c r="G806" s="41"/>
      <c r="H806" s="41"/>
      <c r="I806" s="41"/>
      <c r="J806" s="41"/>
      <c r="K806" s="41"/>
      <c r="L806" s="41"/>
    </row>
    <row r="807" spans="5:12" s="39" customFormat="1" x14ac:dyDescent="0.3">
      <c r="E807" s="41"/>
      <c r="F807" s="41"/>
      <c r="G807" s="41"/>
      <c r="H807" s="41"/>
      <c r="I807" s="41"/>
      <c r="J807" s="41"/>
      <c r="K807" s="41"/>
      <c r="L807" s="41"/>
    </row>
    <row r="808" spans="5:12" s="39" customFormat="1" x14ac:dyDescent="0.3">
      <c r="E808" s="41"/>
      <c r="F808" s="41"/>
      <c r="G808" s="41"/>
      <c r="H808" s="41"/>
      <c r="I808" s="41"/>
      <c r="J808" s="41"/>
      <c r="K808" s="41"/>
      <c r="L808" s="41"/>
    </row>
    <row r="809" spans="5:12" s="39" customFormat="1" x14ac:dyDescent="0.3">
      <c r="E809" s="41"/>
      <c r="F809" s="41"/>
      <c r="G809" s="41"/>
      <c r="H809" s="41"/>
      <c r="I809" s="41"/>
      <c r="J809" s="41"/>
      <c r="K809" s="41"/>
      <c r="L809" s="41"/>
    </row>
    <row r="810" spans="5:12" s="39" customFormat="1" x14ac:dyDescent="0.3">
      <c r="E810" s="41"/>
      <c r="F810" s="41"/>
      <c r="G810" s="41"/>
      <c r="H810" s="41"/>
      <c r="I810" s="41"/>
      <c r="J810" s="41"/>
      <c r="K810" s="41"/>
      <c r="L810" s="41"/>
    </row>
    <row r="811" spans="5:12" s="39" customFormat="1" x14ac:dyDescent="0.3">
      <c r="E811" s="41"/>
      <c r="F811" s="41"/>
      <c r="G811" s="41"/>
      <c r="H811" s="41"/>
      <c r="I811" s="41"/>
      <c r="J811" s="41"/>
      <c r="K811" s="41"/>
      <c r="L811" s="41"/>
    </row>
    <row r="812" spans="5:12" s="39" customFormat="1" x14ac:dyDescent="0.3">
      <c r="E812" s="41"/>
      <c r="F812" s="41"/>
      <c r="G812" s="41"/>
      <c r="H812" s="41"/>
      <c r="I812" s="41"/>
      <c r="J812" s="41"/>
      <c r="K812" s="41"/>
      <c r="L812" s="41"/>
    </row>
    <row r="813" spans="5:12" s="39" customFormat="1" x14ac:dyDescent="0.3">
      <c r="E813" s="41"/>
      <c r="F813" s="41"/>
      <c r="G813" s="41"/>
      <c r="H813" s="41"/>
      <c r="I813" s="41"/>
      <c r="J813" s="41"/>
      <c r="K813" s="41"/>
      <c r="L813" s="41"/>
    </row>
    <row r="814" spans="5:12" s="39" customFormat="1" x14ac:dyDescent="0.3">
      <c r="E814" s="41"/>
      <c r="F814" s="41"/>
      <c r="G814" s="41"/>
      <c r="H814" s="41"/>
      <c r="I814" s="41"/>
      <c r="J814" s="41"/>
      <c r="K814" s="41"/>
      <c r="L814" s="41"/>
    </row>
    <row r="815" spans="5:12" s="39" customFormat="1" x14ac:dyDescent="0.3">
      <c r="E815" s="41"/>
      <c r="F815" s="41"/>
      <c r="G815" s="41"/>
      <c r="H815" s="41"/>
      <c r="I815" s="41"/>
      <c r="J815" s="41"/>
      <c r="K815" s="41"/>
      <c r="L815" s="41"/>
    </row>
    <row r="816" spans="5:12" s="39" customFormat="1" x14ac:dyDescent="0.3">
      <c r="E816" s="41"/>
      <c r="F816" s="41"/>
      <c r="G816" s="41"/>
      <c r="H816" s="41"/>
      <c r="I816" s="41"/>
      <c r="J816" s="41"/>
      <c r="K816" s="41"/>
      <c r="L816" s="41"/>
    </row>
    <row r="817" spans="5:12" s="39" customFormat="1" x14ac:dyDescent="0.3">
      <c r="E817" s="41"/>
      <c r="F817" s="41"/>
      <c r="G817" s="41"/>
      <c r="H817" s="41"/>
      <c r="I817" s="41"/>
      <c r="J817" s="41"/>
      <c r="K817" s="41"/>
      <c r="L817" s="41"/>
    </row>
    <row r="818" spans="5:12" s="39" customFormat="1" x14ac:dyDescent="0.3">
      <c r="E818" s="41"/>
      <c r="F818" s="41"/>
      <c r="G818" s="41"/>
      <c r="H818" s="41"/>
      <c r="I818" s="41"/>
      <c r="J818" s="41"/>
      <c r="K818" s="41"/>
      <c r="L818" s="41"/>
    </row>
    <row r="819" spans="5:12" s="39" customFormat="1" x14ac:dyDescent="0.3">
      <c r="E819" s="41"/>
      <c r="F819" s="41"/>
      <c r="G819" s="41"/>
      <c r="H819" s="41"/>
      <c r="I819" s="41"/>
      <c r="J819" s="41"/>
      <c r="K819" s="41"/>
      <c r="L819" s="41"/>
    </row>
    <row r="820" spans="5:12" s="39" customFormat="1" x14ac:dyDescent="0.3">
      <c r="E820" s="41"/>
      <c r="F820" s="41"/>
      <c r="G820" s="41"/>
      <c r="H820" s="41"/>
      <c r="I820" s="41"/>
      <c r="J820" s="41"/>
      <c r="K820" s="41"/>
      <c r="L820" s="41"/>
    </row>
    <row r="821" spans="5:12" s="39" customFormat="1" x14ac:dyDescent="0.3">
      <c r="E821" s="41"/>
      <c r="F821" s="41"/>
      <c r="G821" s="41"/>
      <c r="H821" s="41"/>
      <c r="I821" s="41"/>
      <c r="J821" s="41"/>
      <c r="K821" s="41"/>
      <c r="L821" s="41"/>
    </row>
    <row r="822" spans="5:12" s="39" customFormat="1" x14ac:dyDescent="0.3">
      <c r="E822" s="41"/>
      <c r="F822" s="41"/>
      <c r="G822" s="41"/>
      <c r="H822" s="41"/>
      <c r="I822" s="41"/>
      <c r="J822" s="41"/>
      <c r="K822" s="41"/>
      <c r="L822" s="41"/>
    </row>
    <row r="823" spans="5:12" s="39" customFormat="1" x14ac:dyDescent="0.3">
      <c r="E823" s="41"/>
      <c r="F823" s="41"/>
      <c r="G823" s="41"/>
      <c r="H823" s="41"/>
      <c r="I823" s="41"/>
      <c r="J823" s="41"/>
      <c r="K823" s="41"/>
      <c r="L823" s="41"/>
    </row>
    <row r="824" spans="5:12" s="39" customFormat="1" x14ac:dyDescent="0.3">
      <c r="E824" s="41"/>
      <c r="F824" s="41"/>
      <c r="G824" s="41"/>
      <c r="H824" s="41"/>
      <c r="I824" s="41"/>
      <c r="J824" s="41"/>
      <c r="K824" s="41"/>
      <c r="L824" s="41"/>
    </row>
    <row r="825" spans="5:12" s="39" customFormat="1" x14ac:dyDescent="0.3">
      <c r="E825" s="41"/>
      <c r="F825" s="41"/>
      <c r="G825" s="41"/>
      <c r="H825" s="41"/>
      <c r="I825" s="41"/>
      <c r="J825" s="41"/>
      <c r="K825" s="41"/>
      <c r="L825" s="41"/>
    </row>
    <row r="826" spans="5:12" s="39" customFormat="1" x14ac:dyDescent="0.3">
      <c r="E826" s="41"/>
      <c r="F826" s="41"/>
      <c r="G826" s="41"/>
      <c r="H826" s="41"/>
      <c r="I826" s="41"/>
      <c r="J826" s="41"/>
      <c r="K826" s="41"/>
      <c r="L826" s="41"/>
    </row>
    <row r="827" spans="5:12" s="39" customFormat="1" x14ac:dyDescent="0.3">
      <c r="E827" s="41"/>
      <c r="F827" s="41"/>
      <c r="G827" s="41"/>
      <c r="H827" s="41"/>
      <c r="I827" s="41"/>
      <c r="J827" s="41"/>
      <c r="K827" s="41"/>
      <c r="L827" s="41"/>
    </row>
    <row r="828" spans="5:12" s="39" customFormat="1" x14ac:dyDescent="0.3">
      <c r="E828" s="41"/>
      <c r="F828" s="41"/>
      <c r="G828" s="41"/>
      <c r="H828" s="41"/>
      <c r="I828" s="41"/>
      <c r="J828" s="41"/>
      <c r="K828" s="41"/>
      <c r="L828" s="41"/>
    </row>
    <row r="829" spans="5:12" s="39" customFormat="1" x14ac:dyDescent="0.3">
      <c r="E829" s="41"/>
      <c r="F829" s="41"/>
      <c r="G829" s="41"/>
      <c r="H829" s="41"/>
      <c r="I829" s="41"/>
      <c r="J829" s="41"/>
      <c r="K829" s="41"/>
      <c r="L829" s="41"/>
    </row>
    <row r="830" spans="5:12" s="39" customFormat="1" x14ac:dyDescent="0.3">
      <c r="E830" s="41"/>
      <c r="F830" s="41"/>
      <c r="G830" s="41"/>
      <c r="H830" s="41"/>
      <c r="I830" s="41"/>
      <c r="J830" s="41"/>
      <c r="K830" s="41"/>
      <c r="L830" s="41"/>
    </row>
    <row r="831" spans="5:12" s="39" customFormat="1" x14ac:dyDescent="0.3">
      <c r="E831" s="41"/>
      <c r="F831" s="41"/>
      <c r="G831" s="41"/>
      <c r="H831" s="41"/>
      <c r="I831" s="41"/>
      <c r="J831" s="41"/>
      <c r="K831" s="41"/>
      <c r="L831" s="41"/>
    </row>
    <row r="832" spans="5:12" s="39" customFormat="1" x14ac:dyDescent="0.3">
      <c r="E832" s="41"/>
      <c r="F832" s="41"/>
      <c r="G832" s="41"/>
      <c r="H832" s="41"/>
      <c r="I832" s="41"/>
      <c r="J832" s="41"/>
      <c r="K832" s="41"/>
      <c r="L832" s="41"/>
    </row>
    <row r="833" spans="5:12" s="39" customFormat="1" x14ac:dyDescent="0.3">
      <c r="E833" s="41"/>
      <c r="F833" s="41"/>
      <c r="G833" s="41"/>
      <c r="H833" s="41"/>
      <c r="I833" s="41"/>
      <c r="J833" s="41"/>
      <c r="K833" s="41"/>
      <c r="L833" s="41"/>
    </row>
    <row r="834" spans="5:12" s="39" customFormat="1" x14ac:dyDescent="0.3">
      <c r="E834" s="41"/>
      <c r="F834" s="41"/>
      <c r="G834" s="41"/>
      <c r="H834" s="41"/>
      <c r="I834" s="41"/>
      <c r="J834" s="41"/>
      <c r="K834" s="41"/>
      <c r="L834" s="41"/>
    </row>
    <row r="835" spans="5:12" s="39" customFormat="1" x14ac:dyDescent="0.3">
      <c r="E835" s="41"/>
      <c r="F835" s="41"/>
      <c r="G835" s="41"/>
      <c r="H835" s="41"/>
      <c r="I835" s="41"/>
      <c r="J835" s="41"/>
      <c r="K835" s="41"/>
      <c r="L835" s="41"/>
    </row>
    <row r="836" spans="5:12" s="39" customFormat="1" x14ac:dyDescent="0.3">
      <c r="E836" s="41"/>
      <c r="F836" s="41"/>
      <c r="G836" s="41"/>
      <c r="H836" s="41"/>
      <c r="I836" s="41"/>
      <c r="J836" s="41"/>
      <c r="K836" s="41"/>
      <c r="L836" s="41"/>
    </row>
    <row r="837" spans="5:12" s="39" customFormat="1" x14ac:dyDescent="0.3">
      <c r="E837" s="41"/>
      <c r="F837" s="41"/>
      <c r="G837" s="41"/>
      <c r="H837" s="41"/>
      <c r="I837" s="41"/>
      <c r="J837" s="41"/>
      <c r="K837" s="41"/>
      <c r="L837" s="41"/>
    </row>
    <row r="838" spans="5:12" s="39" customFormat="1" x14ac:dyDescent="0.3">
      <c r="E838" s="41"/>
      <c r="F838" s="41"/>
      <c r="G838" s="41"/>
      <c r="H838" s="41"/>
      <c r="I838" s="41"/>
      <c r="J838" s="41"/>
      <c r="K838" s="41"/>
      <c r="L838" s="41"/>
    </row>
    <row r="839" spans="5:12" s="39" customFormat="1" x14ac:dyDescent="0.3">
      <c r="E839" s="41"/>
      <c r="F839" s="41"/>
      <c r="G839" s="41"/>
      <c r="H839" s="41"/>
      <c r="I839" s="41"/>
      <c r="J839" s="41"/>
      <c r="K839" s="41"/>
      <c r="L839" s="41"/>
    </row>
    <row r="840" spans="5:12" s="39" customFormat="1" x14ac:dyDescent="0.3">
      <c r="E840" s="41"/>
      <c r="F840" s="41"/>
      <c r="G840" s="41"/>
      <c r="H840" s="41"/>
      <c r="I840" s="41"/>
      <c r="J840" s="41"/>
      <c r="K840" s="41"/>
      <c r="L840" s="41"/>
    </row>
    <row r="841" spans="5:12" s="39" customFormat="1" x14ac:dyDescent="0.3">
      <c r="E841" s="41"/>
      <c r="F841" s="41"/>
      <c r="G841" s="41"/>
      <c r="H841" s="41"/>
      <c r="I841" s="41"/>
      <c r="J841" s="41"/>
      <c r="K841" s="41"/>
      <c r="L841" s="41"/>
    </row>
    <row r="842" spans="5:12" s="39" customFormat="1" x14ac:dyDescent="0.3">
      <c r="E842" s="41"/>
      <c r="F842" s="41"/>
      <c r="G842" s="41"/>
      <c r="H842" s="41"/>
      <c r="I842" s="41"/>
      <c r="J842" s="41"/>
      <c r="K842" s="41"/>
      <c r="L842" s="41"/>
    </row>
    <row r="843" spans="5:12" s="39" customFormat="1" x14ac:dyDescent="0.3">
      <c r="E843" s="41"/>
      <c r="F843" s="41"/>
      <c r="G843" s="41"/>
      <c r="H843" s="41"/>
      <c r="I843" s="41"/>
      <c r="J843" s="41"/>
      <c r="K843" s="41"/>
      <c r="L843" s="41"/>
    </row>
    <row r="844" spans="5:12" s="39" customFormat="1" x14ac:dyDescent="0.3">
      <c r="E844" s="41"/>
      <c r="F844" s="41"/>
      <c r="G844" s="41"/>
      <c r="H844" s="41"/>
      <c r="I844" s="41"/>
      <c r="J844" s="41"/>
      <c r="K844" s="41"/>
      <c r="L844" s="41"/>
    </row>
    <row r="845" spans="5:12" s="39" customFormat="1" x14ac:dyDescent="0.3">
      <c r="E845" s="41"/>
      <c r="F845" s="41"/>
      <c r="G845" s="41"/>
      <c r="H845" s="41"/>
      <c r="I845" s="41"/>
      <c r="J845" s="41"/>
      <c r="K845" s="41"/>
      <c r="L845" s="41"/>
    </row>
    <row r="846" spans="5:12" s="39" customFormat="1" x14ac:dyDescent="0.3">
      <c r="E846" s="41"/>
      <c r="F846" s="41"/>
      <c r="G846" s="41"/>
      <c r="H846" s="41"/>
      <c r="I846" s="41"/>
      <c r="J846" s="41"/>
      <c r="K846" s="41"/>
      <c r="L846" s="41"/>
    </row>
    <row r="847" spans="5:12" s="39" customFormat="1" x14ac:dyDescent="0.3">
      <c r="E847" s="41"/>
      <c r="F847" s="41"/>
      <c r="G847" s="41"/>
      <c r="H847" s="41"/>
      <c r="I847" s="41"/>
      <c r="J847" s="41"/>
      <c r="K847" s="41"/>
      <c r="L847" s="41"/>
    </row>
    <row r="848" spans="5:12" s="39" customFormat="1" x14ac:dyDescent="0.3">
      <c r="E848" s="41"/>
      <c r="F848" s="41"/>
      <c r="G848" s="41"/>
      <c r="H848" s="41"/>
      <c r="I848" s="41"/>
      <c r="J848" s="41"/>
      <c r="K848" s="41"/>
      <c r="L848" s="41"/>
    </row>
    <row r="849" spans="5:12" s="39" customFormat="1" x14ac:dyDescent="0.3">
      <c r="E849" s="41"/>
      <c r="F849" s="41"/>
      <c r="G849" s="41"/>
      <c r="H849" s="41"/>
      <c r="I849" s="41"/>
      <c r="J849" s="41"/>
      <c r="K849" s="41"/>
      <c r="L849" s="41"/>
    </row>
    <row r="850" spans="5:12" s="39" customFormat="1" x14ac:dyDescent="0.3">
      <c r="E850" s="41"/>
      <c r="F850" s="41"/>
      <c r="G850" s="41"/>
      <c r="H850" s="41"/>
      <c r="I850" s="41"/>
      <c r="J850" s="41"/>
      <c r="K850" s="41"/>
      <c r="L850" s="41"/>
    </row>
    <row r="851" spans="5:12" s="39" customFormat="1" x14ac:dyDescent="0.3">
      <c r="E851" s="41"/>
      <c r="F851" s="41"/>
      <c r="G851" s="41"/>
      <c r="H851" s="41"/>
      <c r="I851" s="41"/>
      <c r="J851" s="41"/>
      <c r="K851" s="41"/>
      <c r="L851" s="41"/>
    </row>
    <row r="852" spans="5:12" s="39" customFormat="1" x14ac:dyDescent="0.3">
      <c r="E852" s="41"/>
      <c r="F852" s="41"/>
      <c r="G852" s="41"/>
      <c r="H852" s="41"/>
      <c r="I852" s="41"/>
      <c r="J852" s="41"/>
      <c r="K852" s="41"/>
      <c r="L852" s="41"/>
    </row>
    <row r="853" spans="5:12" s="39" customFormat="1" x14ac:dyDescent="0.3">
      <c r="E853" s="41"/>
      <c r="F853" s="41"/>
      <c r="G853" s="41"/>
      <c r="H853" s="41"/>
      <c r="I853" s="41"/>
      <c r="J853" s="41"/>
      <c r="K853" s="41"/>
      <c r="L853" s="41"/>
    </row>
    <row r="854" spans="5:12" s="39" customFormat="1" x14ac:dyDescent="0.3">
      <c r="E854" s="41"/>
      <c r="F854" s="41"/>
      <c r="G854" s="41"/>
      <c r="H854" s="41"/>
      <c r="I854" s="41"/>
      <c r="J854" s="41"/>
      <c r="K854" s="41"/>
      <c r="L854" s="41"/>
    </row>
    <row r="855" spans="5:12" s="39" customFormat="1" x14ac:dyDescent="0.3">
      <c r="E855" s="41"/>
      <c r="F855" s="41"/>
      <c r="G855" s="41"/>
      <c r="H855" s="41"/>
      <c r="I855" s="41"/>
      <c r="J855" s="41"/>
      <c r="K855" s="41"/>
      <c r="L855" s="41"/>
    </row>
    <row r="856" spans="5:12" s="39" customFormat="1" x14ac:dyDescent="0.3">
      <c r="E856" s="41"/>
      <c r="F856" s="41"/>
      <c r="G856" s="41"/>
      <c r="H856" s="41"/>
      <c r="I856" s="41"/>
      <c r="J856" s="41"/>
      <c r="K856" s="41"/>
      <c r="L856" s="41"/>
    </row>
    <row r="857" spans="5:12" s="39" customFormat="1" x14ac:dyDescent="0.3">
      <c r="E857" s="41"/>
      <c r="F857" s="41"/>
      <c r="G857" s="41"/>
      <c r="H857" s="41"/>
      <c r="I857" s="41"/>
      <c r="J857" s="41"/>
      <c r="K857" s="41"/>
      <c r="L857" s="41"/>
    </row>
    <row r="858" spans="5:12" s="39" customFormat="1" x14ac:dyDescent="0.3">
      <c r="E858" s="41"/>
      <c r="F858" s="41"/>
      <c r="G858" s="41"/>
      <c r="H858" s="41"/>
      <c r="I858" s="41"/>
      <c r="J858" s="41"/>
      <c r="K858" s="41"/>
      <c r="L858" s="41"/>
    </row>
    <row r="859" spans="5:12" s="39" customFormat="1" x14ac:dyDescent="0.3">
      <c r="E859" s="41"/>
      <c r="F859" s="41"/>
      <c r="G859" s="41"/>
      <c r="H859" s="41"/>
      <c r="I859" s="41"/>
      <c r="J859" s="41"/>
      <c r="K859" s="41"/>
      <c r="L859" s="41"/>
    </row>
    <row r="860" spans="5:12" s="39" customFormat="1" x14ac:dyDescent="0.3">
      <c r="E860" s="41"/>
      <c r="F860" s="41"/>
      <c r="G860" s="41"/>
      <c r="H860" s="41"/>
      <c r="I860" s="41"/>
      <c r="J860" s="41"/>
      <c r="K860" s="41"/>
      <c r="L860" s="41"/>
    </row>
    <row r="861" spans="5:12" s="39" customFormat="1" x14ac:dyDescent="0.3">
      <c r="E861" s="41"/>
      <c r="F861" s="41"/>
      <c r="G861" s="41"/>
      <c r="H861" s="41"/>
      <c r="I861" s="41"/>
      <c r="J861" s="41"/>
      <c r="K861" s="41"/>
      <c r="L861" s="41"/>
    </row>
    <row r="862" spans="5:12" s="39" customFormat="1" x14ac:dyDescent="0.3">
      <c r="E862" s="41"/>
      <c r="F862" s="41"/>
      <c r="G862" s="41"/>
      <c r="H862" s="41"/>
      <c r="I862" s="41"/>
      <c r="J862" s="41"/>
      <c r="K862" s="41"/>
      <c r="L862" s="41"/>
    </row>
    <row r="863" spans="5:12" s="39" customFormat="1" x14ac:dyDescent="0.3">
      <c r="E863" s="41"/>
      <c r="F863" s="41"/>
      <c r="G863" s="41"/>
      <c r="H863" s="41"/>
      <c r="I863" s="41"/>
      <c r="J863" s="41"/>
      <c r="K863" s="41"/>
      <c r="L863" s="41"/>
    </row>
    <row r="864" spans="5:12" s="39" customFormat="1" x14ac:dyDescent="0.3">
      <c r="E864" s="41"/>
      <c r="F864" s="41"/>
      <c r="G864" s="41"/>
      <c r="H864" s="41"/>
      <c r="I864" s="41"/>
      <c r="J864" s="41"/>
      <c r="K864" s="41"/>
      <c r="L864" s="41"/>
    </row>
    <row r="865" spans="5:12" s="39" customFormat="1" x14ac:dyDescent="0.3">
      <c r="E865" s="41"/>
      <c r="F865" s="41"/>
      <c r="G865" s="41"/>
      <c r="H865" s="41"/>
      <c r="I865" s="41"/>
      <c r="J865" s="41"/>
      <c r="K865" s="41"/>
      <c r="L865" s="41"/>
    </row>
    <row r="866" spans="5:12" s="39" customFormat="1" x14ac:dyDescent="0.3">
      <c r="E866" s="41"/>
      <c r="F866" s="41"/>
      <c r="G866" s="41"/>
      <c r="H866" s="41"/>
      <c r="I866" s="41"/>
      <c r="J866" s="41"/>
      <c r="K866" s="41"/>
      <c r="L866" s="41"/>
    </row>
    <row r="867" spans="5:12" s="39" customFormat="1" x14ac:dyDescent="0.3">
      <c r="E867" s="41"/>
      <c r="F867" s="41"/>
      <c r="G867" s="41"/>
      <c r="H867" s="41"/>
      <c r="I867" s="41"/>
      <c r="J867" s="41"/>
      <c r="K867" s="41"/>
      <c r="L867" s="41"/>
    </row>
    <row r="868" spans="5:12" s="39" customFormat="1" x14ac:dyDescent="0.3">
      <c r="E868" s="41"/>
      <c r="F868" s="41"/>
      <c r="G868" s="41"/>
      <c r="H868" s="41"/>
      <c r="I868" s="41"/>
      <c r="J868" s="41"/>
      <c r="K868" s="41"/>
      <c r="L868" s="41"/>
    </row>
    <row r="869" spans="5:12" s="39" customFormat="1" x14ac:dyDescent="0.3">
      <c r="E869" s="41"/>
      <c r="F869" s="41"/>
      <c r="G869" s="41"/>
      <c r="H869" s="41"/>
      <c r="I869" s="41"/>
      <c r="J869" s="41"/>
      <c r="K869" s="41"/>
      <c r="L869" s="41"/>
    </row>
    <row r="870" spans="5:12" s="39" customFormat="1" x14ac:dyDescent="0.3">
      <c r="E870" s="41"/>
      <c r="F870" s="41"/>
      <c r="G870" s="41"/>
      <c r="H870" s="41"/>
      <c r="I870" s="41"/>
      <c r="J870" s="41"/>
      <c r="K870" s="41"/>
      <c r="L870" s="41"/>
    </row>
    <row r="871" spans="5:12" s="39" customFormat="1" x14ac:dyDescent="0.3">
      <c r="E871" s="41"/>
      <c r="F871" s="41"/>
      <c r="G871" s="41"/>
      <c r="H871" s="41"/>
      <c r="I871" s="41"/>
      <c r="J871" s="41"/>
      <c r="K871" s="41"/>
      <c r="L871" s="41"/>
    </row>
    <row r="872" spans="5:12" s="39" customFormat="1" x14ac:dyDescent="0.3">
      <c r="E872" s="41"/>
      <c r="F872" s="41"/>
      <c r="G872" s="41"/>
      <c r="H872" s="41"/>
      <c r="I872" s="41"/>
      <c r="J872" s="41"/>
      <c r="K872" s="41"/>
      <c r="L872" s="41"/>
    </row>
    <row r="873" spans="5:12" s="39" customFormat="1" x14ac:dyDescent="0.3">
      <c r="E873" s="41"/>
      <c r="F873" s="41"/>
      <c r="G873" s="41"/>
      <c r="H873" s="41"/>
      <c r="I873" s="41"/>
      <c r="J873" s="41"/>
      <c r="K873" s="41"/>
      <c r="L873" s="41"/>
    </row>
    <row r="874" spans="5:12" s="39" customFormat="1" x14ac:dyDescent="0.3">
      <c r="E874" s="41"/>
      <c r="F874" s="41"/>
      <c r="G874" s="41"/>
      <c r="H874" s="41"/>
      <c r="I874" s="41"/>
      <c r="J874" s="41"/>
      <c r="K874" s="41"/>
      <c r="L874" s="41"/>
    </row>
    <row r="875" spans="5:12" s="39" customFormat="1" x14ac:dyDescent="0.3">
      <c r="E875" s="41"/>
      <c r="F875" s="41"/>
      <c r="G875" s="41"/>
      <c r="H875" s="41"/>
      <c r="I875" s="41"/>
      <c r="J875" s="41"/>
      <c r="K875" s="41"/>
      <c r="L875" s="41"/>
    </row>
    <row r="876" spans="5:12" s="39" customFormat="1" x14ac:dyDescent="0.3">
      <c r="E876" s="41"/>
      <c r="F876" s="41"/>
      <c r="G876" s="41"/>
      <c r="H876" s="41"/>
      <c r="I876" s="41"/>
      <c r="J876" s="41"/>
      <c r="K876" s="41"/>
      <c r="L876" s="41"/>
    </row>
    <row r="877" spans="5:12" s="39" customFormat="1" x14ac:dyDescent="0.3">
      <c r="E877" s="41"/>
      <c r="F877" s="41"/>
      <c r="G877" s="41"/>
      <c r="H877" s="41"/>
      <c r="I877" s="41"/>
      <c r="J877" s="41"/>
      <c r="K877" s="41"/>
      <c r="L877" s="41"/>
    </row>
    <row r="878" spans="5:12" s="39" customFormat="1" x14ac:dyDescent="0.3">
      <c r="E878" s="41"/>
      <c r="F878" s="41"/>
      <c r="G878" s="41"/>
      <c r="H878" s="41"/>
      <c r="I878" s="41"/>
      <c r="J878" s="41"/>
      <c r="K878" s="41"/>
      <c r="L878" s="41"/>
    </row>
    <row r="879" spans="5:12" s="39" customFormat="1" x14ac:dyDescent="0.3">
      <c r="E879" s="41"/>
      <c r="F879" s="41"/>
      <c r="G879" s="41"/>
      <c r="H879" s="41"/>
      <c r="I879" s="41"/>
      <c r="J879" s="41"/>
      <c r="K879" s="41"/>
      <c r="L879" s="41"/>
    </row>
    <row r="880" spans="5:12" s="39" customFormat="1" x14ac:dyDescent="0.3">
      <c r="E880" s="41"/>
      <c r="F880" s="41"/>
      <c r="G880" s="41"/>
      <c r="H880" s="41"/>
      <c r="I880" s="41"/>
      <c r="J880" s="41"/>
      <c r="K880" s="41"/>
      <c r="L880" s="41"/>
    </row>
    <row r="881" spans="5:12" s="39" customFormat="1" x14ac:dyDescent="0.3">
      <c r="E881" s="41"/>
      <c r="F881" s="41"/>
      <c r="G881" s="41"/>
      <c r="H881" s="41"/>
      <c r="I881" s="41"/>
      <c r="J881" s="41"/>
      <c r="K881" s="41"/>
      <c r="L881" s="41"/>
    </row>
    <row r="882" spans="5:12" s="39" customFormat="1" x14ac:dyDescent="0.3">
      <c r="E882" s="41"/>
      <c r="F882" s="41"/>
      <c r="G882" s="41"/>
      <c r="H882" s="41"/>
      <c r="I882" s="41"/>
      <c r="J882" s="41"/>
      <c r="K882" s="41"/>
      <c r="L882" s="41"/>
    </row>
    <row r="883" spans="5:12" s="39" customFormat="1" x14ac:dyDescent="0.3">
      <c r="E883" s="41"/>
      <c r="F883" s="41"/>
      <c r="G883" s="41"/>
      <c r="H883" s="41"/>
      <c r="I883" s="41"/>
      <c r="J883" s="41"/>
      <c r="K883" s="41"/>
      <c r="L883" s="41"/>
    </row>
    <row r="884" spans="5:12" s="39" customFormat="1" x14ac:dyDescent="0.3">
      <c r="E884" s="41"/>
      <c r="F884" s="41"/>
      <c r="G884" s="41"/>
      <c r="H884" s="41"/>
      <c r="I884" s="41"/>
      <c r="J884" s="41"/>
      <c r="K884" s="41"/>
      <c r="L884" s="41"/>
    </row>
    <row r="885" spans="5:12" s="39" customFormat="1" x14ac:dyDescent="0.3">
      <c r="E885" s="41"/>
      <c r="F885" s="41"/>
      <c r="G885" s="41"/>
      <c r="H885" s="41"/>
      <c r="I885" s="41"/>
      <c r="J885" s="41"/>
      <c r="K885" s="41"/>
      <c r="L885" s="41"/>
    </row>
    <row r="886" spans="5:12" s="39" customFormat="1" x14ac:dyDescent="0.3">
      <c r="E886" s="41"/>
      <c r="F886" s="41"/>
      <c r="G886" s="41"/>
      <c r="H886" s="41"/>
      <c r="I886" s="41"/>
      <c r="J886" s="41"/>
      <c r="K886" s="41"/>
      <c r="L886" s="41"/>
    </row>
    <row r="887" spans="5:12" s="39" customFormat="1" x14ac:dyDescent="0.3">
      <c r="E887" s="41"/>
      <c r="F887" s="41"/>
      <c r="G887" s="41"/>
      <c r="H887" s="41"/>
      <c r="I887" s="41"/>
      <c r="J887" s="41"/>
      <c r="K887" s="41"/>
      <c r="L887" s="41"/>
    </row>
    <row r="888" spans="5:12" s="39" customFormat="1" x14ac:dyDescent="0.3">
      <c r="E888" s="41"/>
      <c r="F888" s="41"/>
      <c r="G888" s="41"/>
      <c r="H888" s="41"/>
      <c r="I888" s="41"/>
      <c r="J888" s="41"/>
      <c r="K888" s="41"/>
      <c r="L888" s="41"/>
    </row>
    <row r="889" spans="5:12" s="39" customFormat="1" x14ac:dyDescent="0.3">
      <c r="E889" s="41"/>
      <c r="F889" s="41"/>
      <c r="G889" s="41"/>
      <c r="H889" s="41"/>
      <c r="I889" s="41"/>
      <c r="J889" s="41"/>
      <c r="K889" s="41"/>
      <c r="L889" s="41"/>
    </row>
    <row r="890" spans="5:12" s="39" customFormat="1" x14ac:dyDescent="0.3">
      <c r="E890" s="41"/>
      <c r="F890" s="41"/>
      <c r="G890" s="41"/>
      <c r="H890" s="41"/>
      <c r="I890" s="41"/>
      <c r="J890" s="41"/>
      <c r="K890" s="41"/>
      <c r="L890" s="41"/>
    </row>
    <row r="891" spans="5:12" s="39" customFormat="1" x14ac:dyDescent="0.3">
      <c r="E891" s="41"/>
      <c r="F891" s="41"/>
      <c r="G891" s="41"/>
      <c r="H891" s="41"/>
      <c r="I891" s="41"/>
      <c r="J891" s="41"/>
      <c r="K891" s="41"/>
      <c r="L891" s="41"/>
    </row>
    <row r="892" spans="5:12" s="39" customFormat="1" x14ac:dyDescent="0.3">
      <c r="E892" s="41"/>
      <c r="F892" s="41"/>
      <c r="G892" s="41"/>
      <c r="H892" s="41"/>
      <c r="I892" s="41"/>
      <c r="J892" s="41"/>
      <c r="K892" s="41"/>
      <c r="L892" s="41"/>
    </row>
    <row r="893" spans="5:12" s="39" customFormat="1" x14ac:dyDescent="0.3">
      <c r="E893" s="41"/>
      <c r="F893" s="41"/>
      <c r="G893" s="41"/>
      <c r="H893" s="41"/>
      <c r="I893" s="41"/>
      <c r="J893" s="41"/>
      <c r="K893" s="41"/>
      <c r="L893" s="41"/>
    </row>
    <row r="894" spans="5:12" s="39" customFormat="1" x14ac:dyDescent="0.3">
      <c r="E894" s="41"/>
      <c r="F894" s="41"/>
      <c r="G894" s="41"/>
      <c r="H894" s="41"/>
      <c r="I894" s="41"/>
      <c r="J894" s="41"/>
      <c r="K894" s="41"/>
      <c r="L894" s="41"/>
    </row>
    <row r="895" spans="5:12" s="39" customFormat="1" x14ac:dyDescent="0.3">
      <c r="E895" s="41"/>
      <c r="F895" s="41"/>
      <c r="G895" s="41"/>
      <c r="H895" s="41"/>
      <c r="I895" s="41"/>
      <c r="J895" s="41"/>
      <c r="K895" s="41"/>
      <c r="L895" s="41"/>
    </row>
    <row r="896" spans="5:12" s="39" customFormat="1" x14ac:dyDescent="0.3">
      <c r="E896" s="41"/>
      <c r="F896" s="41"/>
      <c r="G896" s="41"/>
      <c r="H896" s="41"/>
      <c r="I896" s="41"/>
      <c r="J896" s="41"/>
      <c r="K896" s="41"/>
      <c r="L896" s="41"/>
    </row>
    <row r="897" spans="5:12" s="39" customFormat="1" x14ac:dyDescent="0.3">
      <c r="E897" s="41"/>
      <c r="F897" s="41"/>
      <c r="G897" s="41"/>
      <c r="H897" s="41"/>
      <c r="I897" s="41"/>
      <c r="J897" s="41"/>
      <c r="K897" s="41"/>
      <c r="L897" s="41"/>
    </row>
    <row r="898" spans="5:12" s="39" customFormat="1" x14ac:dyDescent="0.3">
      <c r="E898" s="41"/>
      <c r="F898" s="41"/>
      <c r="G898" s="41"/>
      <c r="H898" s="41"/>
      <c r="I898" s="41"/>
      <c r="J898" s="41"/>
      <c r="K898" s="41"/>
      <c r="L898" s="41"/>
    </row>
    <row r="899" spans="5:12" s="39" customFormat="1" x14ac:dyDescent="0.3">
      <c r="E899" s="41"/>
      <c r="F899" s="41"/>
      <c r="G899" s="41"/>
      <c r="H899" s="41"/>
      <c r="I899" s="41"/>
      <c r="J899" s="41"/>
      <c r="K899" s="41"/>
      <c r="L899" s="41"/>
    </row>
    <row r="900" spans="5:12" s="39" customFormat="1" x14ac:dyDescent="0.3">
      <c r="E900" s="41"/>
      <c r="F900" s="41"/>
      <c r="G900" s="41"/>
      <c r="H900" s="41"/>
      <c r="I900" s="41"/>
      <c r="J900" s="41"/>
      <c r="K900" s="41"/>
      <c r="L900" s="41"/>
    </row>
    <row r="901" spans="5:12" s="39" customFormat="1" x14ac:dyDescent="0.3">
      <c r="E901" s="41"/>
      <c r="F901" s="41"/>
      <c r="G901" s="41"/>
      <c r="H901" s="41"/>
      <c r="I901" s="41"/>
      <c r="J901" s="41"/>
      <c r="K901" s="41"/>
      <c r="L901" s="41"/>
    </row>
    <row r="902" spans="5:12" s="39" customFormat="1" x14ac:dyDescent="0.3">
      <c r="E902" s="41"/>
      <c r="F902" s="41"/>
      <c r="G902" s="41"/>
      <c r="H902" s="41"/>
      <c r="I902" s="41"/>
      <c r="J902" s="41"/>
      <c r="K902" s="41"/>
      <c r="L902" s="41"/>
    </row>
    <row r="903" spans="5:12" s="39" customFormat="1" x14ac:dyDescent="0.3">
      <c r="E903" s="41"/>
      <c r="F903" s="41"/>
      <c r="G903" s="41"/>
      <c r="H903" s="41"/>
      <c r="I903" s="41"/>
      <c r="J903" s="41"/>
      <c r="K903" s="41"/>
      <c r="L903" s="41"/>
    </row>
    <row r="904" spans="5:12" s="39" customFormat="1" x14ac:dyDescent="0.3">
      <c r="E904" s="41"/>
      <c r="F904" s="41"/>
      <c r="G904" s="41"/>
      <c r="H904" s="41"/>
      <c r="I904" s="41"/>
      <c r="J904" s="41"/>
      <c r="K904" s="41"/>
      <c r="L904" s="41"/>
    </row>
    <row r="905" spans="5:12" s="39" customFormat="1" x14ac:dyDescent="0.3">
      <c r="E905" s="41"/>
      <c r="F905" s="41"/>
      <c r="G905" s="41"/>
      <c r="H905" s="41"/>
      <c r="I905" s="41"/>
      <c r="J905" s="41"/>
      <c r="K905" s="41"/>
      <c r="L905" s="41"/>
    </row>
    <row r="906" spans="5:12" s="39" customFormat="1" x14ac:dyDescent="0.3">
      <c r="E906" s="41"/>
      <c r="F906" s="41"/>
      <c r="G906" s="41"/>
      <c r="H906" s="41"/>
      <c r="I906" s="41"/>
      <c r="J906" s="41"/>
      <c r="K906" s="41"/>
      <c r="L906" s="41"/>
    </row>
    <row r="907" spans="5:12" s="39" customFormat="1" x14ac:dyDescent="0.3">
      <c r="E907" s="41"/>
      <c r="F907" s="41"/>
      <c r="G907" s="41"/>
      <c r="H907" s="41"/>
      <c r="I907" s="41"/>
      <c r="J907" s="41"/>
      <c r="K907" s="41"/>
      <c r="L907" s="41"/>
    </row>
    <row r="908" spans="5:12" s="39" customFormat="1" x14ac:dyDescent="0.3">
      <c r="E908" s="41"/>
      <c r="F908" s="41"/>
      <c r="G908" s="41"/>
      <c r="H908" s="41"/>
      <c r="I908" s="41"/>
      <c r="J908" s="41"/>
      <c r="K908" s="41"/>
      <c r="L908" s="41"/>
    </row>
    <row r="909" spans="5:12" s="39" customFormat="1" x14ac:dyDescent="0.3">
      <c r="E909" s="41"/>
      <c r="F909" s="41"/>
      <c r="G909" s="41"/>
      <c r="H909" s="41"/>
      <c r="I909" s="41"/>
      <c r="J909" s="41"/>
      <c r="K909" s="41"/>
      <c r="L909" s="41"/>
    </row>
    <row r="910" spans="5:12" s="39" customFormat="1" x14ac:dyDescent="0.3">
      <c r="E910" s="41"/>
      <c r="F910" s="41"/>
      <c r="G910" s="41"/>
      <c r="H910" s="41"/>
      <c r="I910" s="41"/>
      <c r="J910" s="41"/>
      <c r="K910" s="41"/>
      <c r="L910" s="41"/>
    </row>
    <row r="911" spans="5:12" s="39" customFormat="1" x14ac:dyDescent="0.3">
      <c r="E911" s="41"/>
      <c r="F911" s="41"/>
      <c r="G911" s="41"/>
      <c r="H911" s="41"/>
      <c r="I911" s="41"/>
      <c r="J911" s="41"/>
      <c r="K911" s="41"/>
      <c r="L911" s="41"/>
    </row>
    <row r="912" spans="5:12" s="39" customFormat="1" x14ac:dyDescent="0.3">
      <c r="E912" s="41"/>
      <c r="F912" s="41"/>
      <c r="G912" s="41"/>
      <c r="H912" s="41"/>
      <c r="I912" s="41"/>
      <c r="J912" s="41"/>
      <c r="K912" s="41"/>
      <c r="L912" s="41"/>
    </row>
    <row r="913" spans="5:12" s="39" customFormat="1" x14ac:dyDescent="0.3">
      <c r="E913" s="41"/>
      <c r="F913" s="41"/>
      <c r="G913" s="41"/>
      <c r="H913" s="41"/>
      <c r="I913" s="41"/>
      <c r="J913" s="41"/>
      <c r="K913" s="41"/>
      <c r="L913" s="41"/>
    </row>
    <row r="914" spans="5:12" s="39" customFormat="1" x14ac:dyDescent="0.3">
      <c r="E914" s="41"/>
      <c r="F914" s="41"/>
      <c r="G914" s="41"/>
      <c r="H914" s="41"/>
      <c r="I914" s="41"/>
      <c r="J914" s="41"/>
      <c r="K914" s="41"/>
      <c r="L914" s="41"/>
    </row>
    <row r="915" spans="5:12" s="39" customFormat="1" x14ac:dyDescent="0.3">
      <c r="E915" s="41"/>
      <c r="F915" s="41"/>
      <c r="G915" s="41"/>
      <c r="H915" s="41"/>
      <c r="I915" s="41"/>
      <c r="J915" s="41"/>
      <c r="K915" s="41"/>
      <c r="L915" s="41"/>
    </row>
    <row r="916" spans="5:12" s="39" customFormat="1" x14ac:dyDescent="0.3">
      <c r="E916" s="41"/>
      <c r="F916" s="41"/>
      <c r="G916" s="41"/>
      <c r="H916" s="41"/>
      <c r="I916" s="41"/>
      <c r="J916" s="41"/>
      <c r="K916" s="41"/>
      <c r="L916" s="41"/>
    </row>
    <row r="917" spans="5:12" s="39" customFormat="1" x14ac:dyDescent="0.3">
      <c r="E917" s="41"/>
      <c r="F917" s="41"/>
      <c r="G917" s="41"/>
      <c r="H917" s="41"/>
      <c r="I917" s="41"/>
      <c r="J917" s="41"/>
      <c r="K917" s="41"/>
      <c r="L917" s="41"/>
    </row>
    <row r="918" spans="5:12" s="39" customFormat="1" x14ac:dyDescent="0.3">
      <c r="E918" s="41"/>
      <c r="F918" s="41"/>
      <c r="G918" s="41"/>
      <c r="H918" s="41"/>
      <c r="I918" s="41"/>
      <c r="J918" s="41"/>
      <c r="K918" s="41"/>
      <c r="L918" s="41"/>
    </row>
    <row r="919" spans="5:12" s="39" customFormat="1" x14ac:dyDescent="0.3">
      <c r="E919" s="41"/>
      <c r="F919" s="41"/>
      <c r="G919" s="41"/>
      <c r="H919" s="41"/>
      <c r="I919" s="41"/>
      <c r="J919" s="41"/>
      <c r="K919" s="41"/>
      <c r="L919" s="41"/>
    </row>
    <row r="920" spans="5:12" s="39" customFormat="1" x14ac:dyDescent="0.3">
      <c r="E920" s="41"/>
      <c r="F920" s="41"/>
      <c r="G920" s="41"/>
      <c r="H920" s="41"/>
      <c r="I920" s="41"/>
      <c r="J920" s="41"/>
      <c r="K920" s="41"/>
      <c r="L920" s="41"/>
    </row>
    <row r="921" spans="5:12" s="39" customFormat="1" x14ac:dyDescent="0.3">
      <c r="E921" s="41"/>
      <c r="F921" s="41"/>
      <c r="G921" s="41"/>
      <c r="H921" s="41"/>
      <c r="I921" s="41"/>
      <c r="J921" s="41"/>
      <c r="K921" s="41"/>
      <c r="L921" s="41"/>
    </row>
    <row r="922" spans="5:12" s="39" customFormat="1" x14ac:dyDescent="0.3">
      <c r="E922" s="41"/>
      <c r="F922" s="41"/>
      <c r="G922" s="41"/>
      <c r="H922" s="41"/>
      <c r="I922" s="41"/>
      <c r="J922" s="41"/>
      <c r="K922" s="41"/>
      <c r="L922" s="41"/>
    </row>
    <row r="923" spans="5:12" s="39" customFormat="1" x14ac:dyDescent="0.3">
      <c r="E923" s="41"/>
      <c r="F923" s="41"/>
      <c r="G923" s="41"/>
      <c r="H923" s="41"/>
      <c r="I923" s="41"/>
      <c r="J923" s="41"/>
      <c r="K923" s="41"/>
      <c r="L923" s="41"/>
    </row>
    <row r="924" spans="5:12" s="39" customFormat="1" x14ac:dyDescent="0.3">
      <c r="E924" s="41"/>
      <c r="F924" s="41"/>
      <c r="G924" s="41"/>
      <c r="H924" s="41"/>
      <c r="I924" s="41"/>
      <c r="J924" s="41"/>
      <c r="K924" s="41"/>
      <c r="L924" s="41"/>
    </row>
    <row r="925" spans="5:12" s="39" customFormat="1" x14ac:dyDescent="0.3">
      <c r="E925" s="41"/>
      <c r="F925" s="41"/>
      <c r="G925" s="41"/>
      <c r="H925" s="41"/>
      <c r="I925" s="41"/>
      <c r="J925" s="41"/>
      <c r="K925" s="41"/>
      <c r="L925" s="41"/>
    </row>
    <row r="926" spans="5:12" s="39" customFormat="1" x14ac:dyDescent="0.3">
      <c r="E926" s="41"/>
      <c r="F926" s="41"/>
      <c r="G926" s="41"/>
      <c r="H926" s="41"/>
      <c r="I926" s="41"/>
      <c r="J926" s="41"/>
      <c r="K926" s="41"/>
      <c r="L926" s="41"/>
    </row>
    <row r="927" spans="5:12" s="39" customFormat="1" x14ac:dyDescent="0.3">
      <c r="E927" s="41"/>
      <c r="F927" s="41"/>
      <c r="G927" s="41"/>
      <c r="H927" s="41"/>
      <c r="I927" s="41"/>
      <c r="J927" s="41"/>
      <c r="K927" s="41"/>
      <c r="L927" s="41"/>
    </row>
    <row r="928" spans="5:12" s="39" customFormat="1" x14ac:dyDescent="0.3">
      <c r="E928" s="41"/>
      <c r="F928" s="41"/>
      <c r="G928" s="41"/>
      <c r="H928" s="41"/>
      <c r="I928" s="41"/>
      <c r="J928" s="41"/>
      <c r="K928" s="41"/>
      <c r="L928" s="41"/>
    </row>
    <row r="929" spans="5:12" s="39" customFormat="1" x14ac:dyDescent="0.3">
      <c r="E929" s="41"/>
      <c r="F929" s="41"/>
      <c r="G929" s="41"/>
      <c r="H929" s="41"/>
      <c r="I929" s="41"/>
      <c r="J929" s="41"/>
      <c r="K929" s="41"/>
      <c r="L929" s="41"/>
    </row>
    <row r="930" spans="5:12" s="39" customFormat="1" x14ac:dyDescent="0.3">
      <c r="E930" s="41"/>
      <c r="F930" s="41"/>
      <c r="G930" s="41"/>
      <c r="H930" s="41"/>
      <c r="I930" s="41"/>
      <c r="J930" s="41"/>
      <c r="K930" s="41"/>
      <c r="L930" s="41"/>
    </row>
    <row r="931" spans="5:12" s="39" customFormat="1" x14ac:dyDescent="0.3">
      <c r="E931" s="41"/>
      <c r="F931" s="41"/>
      <c r="G931" s="41"/>
      <c r="H931" s="41"/>
      <c r="I931" s="41"/>
      <c r="J931" s="41"/>
      <c r="K931" s="41"/>
      <c r="L931" s="41"/>
    </row>
    <row r="932" spans="5:12" s="39" customFormat="1" x14ac:dyDescent="0.3">
      <c r="E932" s="41"/>
      <c r="F932" s="41"/>
      <c r="G932" s="41"/>
      <c r="H932" s="41"/>
      <c r="I932" s="41"/>
      <c r="J932" s="41"/>
      <c r="K932" s="41"/>
      <c r="L932" s="41"/>
    </row>
    <row r="933" spans="5:12" s="39" customFormat="1" x14ac:dyDescent="0.3">
      <c r="E933" s="41"/>
      <c r="F933" s="41"/>
      <c r="G933" s="41"/>
      <c r="H933" s="41"/>
      <c r="I933" s="41"/>
      <c r="J933" s="41"/>
      <c r="K933" s="41"/>
      <c r="L933" s="41"/>
    </row>
    <row r="934" spans="5:12" s="39" customFormat="1" x14ac:dyDescent="0.3">
      <c r="E934" s="41"/>
      <c r="F934" s="41"/>
      <c r="G934" s="41"/>
      <c r="H934" s="41"/>
      <c r="I934" s="41"/>
      <c r="J934" s="41"/>
      <c r="K934" s="41"/>
      <c r="L934" s="41"/>
    </row>
    <row r="935" spans="5:12" s="39" customFormat="1" x14ac:dyDescent="0.3">
      <c r="E935" s="41"/>
      <c r="F935" s="41"/>
      <c r="G935" s="41"/>
      <c r="H935" s="41"/>
      <c r="I935" s="41"/>
      <c r="J935" s="41"/>
      <c r="K935" s="41"/>
      <c r="L935" s="41"/>
    </row>
    <row r="936" spans="5:12" s="39" customFormat="1" x14ac:dyDescent="0.3">
      <c r="E936" s="41"/>
      <c r="F936" s="41"/>
      <c r="G936" s="41"/>
      <c r="H936" s="41"/>
      <c r="I936" s="41"/>
      <c r="J936" s="41"/>
      <c r="K936" s="41"/>
      <c r="L936" s="41"/>
    </row>
    <row r="937" spans="5:12" s="39" customFormat="1" x14ac:dyDescent="0.3">
      <c r="E937" s="41"/>
      <c r="F937" s="41"/>
      <c r="G937" s="41"/>
      <c r="H937" s="41"/>
      <c r="I937" s="41"/>
      <c r="J937" s="41"/>
      <c r="K937" s="41"/>
      <c r="L937" s="41"/>
    </row>
    <row r="938" spans="5:12" s="39" customFormat="1" x14ac:dyDescent="0.3">
      <c r="E938" s="41"/>
      <c r="F938" s="41"/>
      <c r="G938" s="41"/>
      <c r="H938" s="41"/>
      <c r="I938" s="41"/>
      <c r="J938" s="41"/>
      <c r="K938" s="41"/>
      <c r="L938" s="41"/>
    </row>
    <row r="939" spans="5:12" s="39" customFormat="1" x14ac:dyDescent="0.3">
      <c r="E939" s="41"/>
      <c r="F939" s="41"/>
      <c r="G939" s="41"/>
      <c r="H939" s="41"/>
      <c r="I939" s="41"/>
      <c r="J939" s="41"/>
      <c r="K939" s="41"/>
      <c r="L939" s="41"/>
    </row>
    <row r="940" spans="5:12" s="39" customFormat="1" x14ac:dyDescent="0.3">
      <c r="E940" s="41"/>
      <c r="F940" s="41"/>
      <c r="G940" s="41"/>
      <c r="H940" s="41"/>
      <c r="I940" s="41"/>
      <c r="J940" s="41"/>
      <c r="K940" s="41"/>
      <c r="L940" s="41"/>
    </row>
    <row r="941" spans="5:12" s="39" customFormat="1" x14ac:dyDescent="0.3">
      <c r="E941" s="41"/>
      <c r="F941" s="41"/>
      <c r="G941" s="41"/>
      <c r="H941" s="41"/>
      <c r="I941" s="41"/>
      <c r="J941" s="41"/>
      <c r="K941" s="41"/>
      <c r="L941" s="41"/>
    </row>
    <row r="942" spans="5:12" s="39" customFormat="1" x14ac:dyDescent="0.3">
      <c r="E942" s="41"/>
      <c r="F942" s="41"/>
      <c r="G942" s="41"/>
      <c r="H942" s="41"/>
      <c r="I942" s="41"/>
      <c r="J942" s="41"/>
      <c r="K942" s="41"/>
      <c r="L942" s="41"/>
    </row>
    <row r="943" spans="5:12" s="39" customFormat="1" x14ac:dyDescent="0.3">
      <c r="E943" s="41"/>
      <c r="F943" s="41"/>
      <c r="G943" s="41"/>
      <c r="H943" s="41"/>
      <c r="I943" s="41"/>
      <c r="J943" s="41"/>
      <c r="K943" s="41"/>
      <c r="L943" s="41"/>
    </row>
    <row r="944" spans="5:12" s="39" customFormat="1" x14ac:dyDescent="0.3">
      <c r="E944" s="41"/>
      <c r="F944" s="41"/>
      <c r="G944" s="41"/>
      <c r="H944" s="41"/>
      <c r="I944" s="41"/>
      <c r="J944" s="41"/>
      <c r="K944" s="41"/>
      <c r="L944" s="41"/>
    </row>
    <row r="945" spans="5:12" s="39" customFormat="1" x14ac:dyDescent="0.3">
      <c r="E945" s="41"/>
      <c r="F945" s="41"/>
      <c r="G945" s="41"/>
      <c r="H945" s="41"/>
      <c r="I945" s="41"/>
      <c r="J945" s="41"/>
      <c r="K945" s="41"/>
      <c r="L945" s="41"/>
    </row>
    <row r="946" spans="5:12" s="39" customFormat="1" x14ac:dyDescent="0.3">
      <c r="E946" s="41"/>
      <c r="F946" s="41"/>
      <c r="G946" s="41"/>
      <c r="H946" s="41"/>
      <c r="I946" s="41"/>
      <c r="J946" s="41"/>
      <c r="K946" s="41"/>
      <c r="L946" s="41"/>
    </row>
    <row r="947" spans="5:12" s="39" customFormat="1" x14ac:dyDescent="0.3">
      <c r="E947" s="41"/>
      <c r="F947" s="41"/>
      <c r="G947" s="41"/>
      <c r="H947" s="41"/>
      <c r="I947" s="41"/>
      <c r="J947" s="41"/>
      <c r="K947" s="41"/>
      <c r="L947" s="41"/>
    </row>
    <row r="948" spans="5:12" s="39" customFormat="1" x14ac:dyDescent="0.3">
      <c r="E948" s="41"/>
      <c r="F948" s="41"/>
      <c r="G948" s="41"/>
      <c r="H948" s="41"/>
      <c r="I948" s="41"/>
      <c r="J948" s="41"/>
      <c r="K948" s="41"/>
      <c r="L948" s="41"/>
    </row>
    <row r="949" spans="5:12" s="39" customFormat="1" x14ac:dyDescent="0.3">
      <c r="E949" s="41"/>
      <c r="F949" s="41"/>
      <c r="G949" s="41"/>
      <c r="H949" s="41"/>
      <c r="I949" s="41"/>
      <c r="J949" s="41"/>
      <c r="K949" s="41"/>
      <c r="L949" s="41"/>
    </row>
    <row r="950" spans="5:12" s="39" customFormat="1" x14ac:dyDescent="0.3">
      <c r="E950" s="41"/>
      <c r="F950" s="41"/>
      <c r="G950" s="41"/>
      <c r="H950" s="41"/>
      <c r="I950" s="41"/>
      <c r="J950" s="41"/>
      <c r="K950" s="41"/>
      <c r="L950" s="41"/>
    </row>
    <row r="951" spans="5:12" s="39" customFormat="1" x14ac:dyDescent="0.3">
      <c r="E951" s="41"/>
      <c r="F951" s="41"/>
      <c r="G951" s="41"/>
      <c r="H951" s="41"/>
      <c r="I951" s="41"/>
      <c r="J951" s="41"/>
      <c r="K951" s="41"/>
      <c r="L951" s="41"/>
    </row>
    <row r="952" spans="5:12" s="39" customFormat="1" x14ac:dyDescent="0.3">
      <c r="E952" s="41"/>
      <c r="F952" s="41"/>
      <c r="G952" s="41"/>
      <c r="H952" s="41"/>
      <c r="I952" s="41"/>
      <c r="J952" s="41"/>
      <c r="K952" s="41"/>
      <c r="L952" s="41"/>
    </row>
    <row r="953" spans="5:12" s="39" customFormat="1" x14ac:dyDescent="0.3">
      <c r="E953" s="41"/>
      <c r="F953" s="41"/>
      <c r="G953" s="41"/>
      <c r="H953" s="41"/>
      <c r="I953" s="41"/>
      <c r="J953" s="41"/>
      <c r="K953" s="41"/>
      <c r="L953" s="41"/>
    </row>
    <row r="954" spans="5:12" s="39" customFormat="1" x14ac:dyDescent="0.3">
      <c r="E954" s="41"/>
      <c r="F954" s="41"/>
      <c r="G954" s="41"/>
      <c r="H954" s="41"/>
      <c r="I954" s="41"/>
      <c r="J954" s="41"/>
      <c r="K954" s="41"/>
      <c r="L954" s="41"/>
    </row>
    <row r="955" spans="5:12" s="39" customFormat="1" x14ac:dyDescent="0.3">
      <c r="E955" s="41"/>
      <c r="F955" s="41"/>
      <c r="G955" s="41"/>
      <c r="H955" s="41"/>
      <c r="I955" s="41"/>
      <c r="J955" s="41"/>
      <c r="K955" s="41"/>
      <c r="L955" s="41"/>
    </row>
    <row r="956" spans="5:12" s="39" customFormat="1" x14ac:dyDescent="0.3">
      <c r="E956" s="41"/>
      <c r="F956" s="41"/>
      <c r="G956" s="41"/>
      <c r="H956" s="41"/>
      <c r="I956" s="41"/>
      <c r="J956" s="41"/>
      <c r="K956" s="41"/>
      <c r="L956" s="41"/>
    </row>
    <row r="957" spans="5:12" s="39" customFormat="1" x14ac:dyDescent="0.3">
      <c r="E957" s="41"/>
      <c r="F957" s="41"/>
      <c r="G957" s="41"/>
      <c r="H957" s="41"/>
      <c r="I957" s="41"/>
      <c r="J957" s="41"/>
      <c r="K957" s="41"/>
      <c r="L957" s="41"/>
    </row>
    <row r="958" spans="5:12" s="39" customFormat="1" x14ac:dyDescent="0.3">
      <c r="E958" s="41"/>
      <c r="F958" s="41"/>
      <c r="G958" s="41"/>
      <c r="H958" s="41"/>
      <c r="I958" s="41"/>
      <c r="J958" s="41"/>
      <c r="K958" s="41"/>
      <c r="L958" s="41"/>
    </row>
    <row r="959" spans="5:12" s="39" customFormat="1" x14ac:dyDescent="0.3">
      <c r="E959" s="41"/>
      <c r="F959" s="41"/>
      <c r="G959" s="41"/>
      <c r="H959" s="41"/>
      <c r="I959" s="41"/>
      <c r="J959" s="41"/>
      <c r="K959" s="41"/>
      <c r="L959" s="41"/>
    </row>
    <row r="960" spans="5:12" s="39" customFormat="1" x14ac:dyDescent="0.3">
      <c r="E960" s="41"/>
      <c r="F960" s="41"/>
      <c r="G960" s="41"/>
      <c r="H960" s="41"/>
      <c r="I960" s="41"/>
      <c r="J960" s="41"/>
      <c r="K960" s="41"/>
      <c r="L960" s="41"/>
    </row>
    <row r="961" spans="5:12" s="39" customFormat="1" x14ac:dyDescent="0.3">
      <c r="E961" s="41"/>
      <c r="F961" s="41"/>
      <c r="G961" s="41"/>
      <c r="H961" s="41"/>
      <c r="I961" s="41"/>
      <c r="J961" s="41"/>
      <c r="K961" s="41"/>
      <c r="L961" s="41"/>
    </row>
    <row r="962" spans="5:12" s="39" customFormat="1" x14ac:dyDescent="0.3">
      <c r="E962" s="41"/>
      <c r="F962" s="41"/>
      <c r="G962" s="41"/>
      <c r="H962" s="41"/>
      <c r="I962" s="41"/>
      <c r="J962" s="41"/>
      <c r="K962" s="41"/>
      <c r="L962" s="41"/>
    </row>
    <row r="963" spans="5:12" s="39" customFormat="1" x14ac:dyDescent="0.3">
      <c r="E963" s="41"/>
      <c r="F963" s="41"/>
      <c r="G963" s="41"/>
      <c r="H963" s="41"/>
      <c r="I963" s="41"/>
      <c r="J963" s="41"/>
      <c r="K963" s="41"/>
      <c r="L963" s="41"/>
    </row>
    <row r="964" spans="5:12" s="39" customFormat="1" x14ac:dyDescent="0.3">
      <c r="E964" s="41"/>
      <c r="F964" s="41"/>
      <c r="G964" s="41"/>
      <c r="H964" s="41"/>
      <c r="I964" s="41"/>
      <c r="J964" s="41"/>
      <c r="K964" s="41"/>
      <c r="L964" s="41"/>
    </row>
    <row r="965" spans="5:12" s="39" customFormat="1" x14ac:dyDescent="0.3">
      <c r="E965" s="41"/>
      <c r="F965" s="41"/>
      <c r="G965" s="41"/>
      <c r="H965" s="41"/>
      <c r="I965" s="41"/>
      <c r="J965" s="41"/>
      <c r="K965" s="41"/>
      <c r="L965" s="41"/>
    </row>
    <row r="966" spans="5:12" s="39" customFormat="1" x14ac:dyDescent="0.3">
      <c r="E966" s="41"/>
      <c r="F966" s="41"/>
      <c r="G966" s="41"/>
      <c r="H966" s="41"/>
      <c r="I966" s="41"/>
      <c r="J966" s="41"/>
      <c r="K966" s="41"/>
      <c r="L966" s="41"/>
    </row>
    <row r="967" spans="5:12" s="39" customFormat="1" x14ac:dyDescent="0.3">
      <c r="E967" s="41"/>
      <c r="F967" s="41"/>
      <c r="G967" s="41"/>
      <c r="H967" s="41"/>
      <c r="I967" s="41"/>
      <c r="J967" s="41"/>
      <c r="K967" s="41"/>
      <c r="L967" s="41"/>
    </row>
    <row r="968" spans="5:12" s="39" customFormat="1" x14ac:dyDescent="0.3">
      <c r="E968" s="41"/>
      <c r="F968" s="41"/>
      <c r="G968" s="41"/>
      <c r="H968" s="41"/>
      <c r="I968" s="41"/>
      <c r="J968" s="41"/>
      <c r="K968" s="41"/>
      <c r="L968" s="41"/>
    </row>
    <row r="969" spans="5:12" s="39" customFormat="1" x14ac:dyDescent="0.3">
      <c r="E969" s="41"/>
      <c r="F969" s="41"/>
      <c r="G969" s="41"/>
      <c r="H969" s="41"/>
      <c r="I969" s="41"/>
      <c r="J969" s="41"/>
      <c r="K969" s="41"/>
      <c r="L969" s="41"/>
    </row>
    <row r="970" spans="5:12" s="39" customFormat="1" x14ac:dyDescent="0.3">
      <c r="E970" s="41"/>
      <c r="F970" s="41"/>
      <c r="G970" s="41"/>
      <c r="H970" s="41"/>
      <c r="I970" s="41"/>
      <c r="J970" s="41"/>
      <c r="K970" s="41"/>
      <c r="L970" s="41"/>
    </row>
    <row r="971" spans="5:12" s="39" customFormat="1" x14ac:dyDescent="0.3">
      <c r="E971" s="41"/>
      <c r="F971" s="41"/>
      <c r="G971" s="41"/>
      <c r="H971" s="41"/>
      <c r="I971" s="41"/>
      <c r="J971" s="41"/>
      <c r="K971" s="41"/>
      <c r="L971" s="41"/>
    </row>
    <row r="972" spans="5:12" s="39" customFormat="1" x14ac:dyDescent="0.3">
      <c r="E972" s="41"/>
      <c r="F972" s="41"/>
      <c r="G972" s="41"/>
      <c r="H972" s="41"/>
      <c r="I972" s="41"/>
      <c r="J972" s="41"/>
      <c r="K972" s="41"/>
      <c r="L972" s="41"/>
    </row>
    <row r="973" spans="5:12" s="39" customFormat="1" x14ac:dyDescent="0.3">
      <c r="E973" s="41"/>
      <c r="F973" s="41"/>
      <c r="G973" s="41"/>
      <c r="H973" s="41"/>
      <c r="I973" s="41"/>
      <c r="J973" s="41"/>
      <c r="K973" s="41"/>
      <c r="L973" s="41"/>
    </row>
    <row r="974" spans="5:12" s="39" customFormat="1" x14ac:dyDescent="0.3">
      <c r="E974" s="41"/>
      <c r="F974" s="41"/>
      <c r="G974" s="41"/>
      <c r="H974" s="41"/>
      <c r="I974" s="41"/>
      <c r="J974" s="41"/>
      <c r="K974" s="41"/>
      <c r="L974" s="41"/>
    </row>
    <row r="975" spans="5:12" s="39" customFormat="1" x14ac:dyDescent="0.3">
      <c r="E975" s="41"/>
      <c r="F975" s="41"/>
      <c r="G975" s="41"/>
      <c r="H975" s="41"/>
      <c r="I975" s="41"/>
      <c r="J975" s="41"/>
      <c r="K975" s="41"/>
      <c r="L975" s="41"/>
    </row>
    <row r="976" spans="5:12" s="39" customFormat="1" x14ac:dyDescent="0.3">
      <c r="E976" s="41"/>
      <c r="F976" s="41"/>
      <c r="G976" s="41"/>
      <c r="H976" s="41"/>
      <c r="I976" s="41"/>
      <c r="J976" s="41"/>
      <c r="K976" s="41"/>
      <c r="L976" s="41"/>
    </row>
    <row r="977" spans="5:12" s="39" customFormat="1" x14ac:dyDescent="0.3">
      <c r="E977" s="41"/>
      <c r="F977" s="41"/>
      <c r="G977" s="41"/>
      <c r="H977" s="41"/>
      <c r="I977" s="41"/>
      <c r="J977" s="41"/>
      <c r="K977" s="41"/>
      <c r="L977" s="41"/>
    </row>
    <row r="978" spans="5:12" s="39" customFormat="1" x14ac:dyDescent="0.3">
      <c r="E978" s="41"/>
      <c r="F978" s="41"/>
      <c r="G978" s="41"/>
      <c r="H978" s="41"/>
      <c r="I978" s="41"/>
      <c r="J978" s="41"/>
      <c r="K978" s="41"/>
      <c r="L978" s="41"/>
    </row>
    <row r="979" spans="5:12" s="39" customFormat="1" x14ac:dyDescent="0.3">
      <c r="E979" s="41"/>
      <c r="F979" s="41"/>
      <c r="G979" s="41"/>
      <c r="H979" s="41"/>
      <c r="I979" s="41"/>
      <c r="J979" s="41"/>
      <c r="K979" s="41"/>
      <c r="L979" s="41"/>
    </row>
    <row r="980" spans="5:12" s="39" customFormat="1" x14ac:dyDescent="0.3">
      <c r="E980" s="41"/>
      <c r="F980" s="41"/>
      <c r="G980" s="41"/>
      <c r="H980" s="41"/>
      <c r="I980" s="41"/>
      <c r="J980" s="41"/>
      <c r="K980" s="41"/>
      <c r="L980" s="41"/>
    </row>
    <row r="981" spans="5:12" s="39" customFormat="1" x14ac:dyDescent="0.3">
      <c r="E981" s="41"/>
      <c r="F981" s="41"/>
      <c r="G981" s="41"/>
      <c r="H981" s="41"/>
      <c r="I981" s="41"/>
      <c r="J981" s="41"/>
      <c r="K981" s="41"/>
      <c r="L981" s="41"/>
    </row>
    <row r="982" spans="5:12" s="39" customFormat="1" x14ac:dyDescent="0.3">
      <c r="E982" s="41"/>
      <c r="F982" s="41"/>
      <c r="G982" s="41"/>
      <c r="H982" s="41"/>
      <c r="I982" s="41"/>
      <c r="J982" s="41"/>
      <c r="K982" s="41"/>
      <c r="L982" s="41"/>
    </row>
    <row r="983" spans="5:12" s="39" customFormat="1" x14ac:dyDescent="0.3">
      <c r="E983" s="41"/>
      <c r="F983" s="41"/>
      <c r="G983" s="41"/>
      <c r="H983" s="41"/>
      <c r="I983" s="41"/>
      <c r="J983" s="41"/>
      <c r="K983" s="41"/>
      <c r="L983" s="41"/>
    </row>
    <row r="984" spans="5:12" s="39" customFormat="1" x14ac:dyDescent="0.3">
      <c r="E984" s="41"/>
      <c r="F984" s="41"/>
      <c r="G984" s="41"/>
      <c r="H984" s="41"/>
      <c r="I984" s="41"/>
      <c r="J984" s="41"/>
      <c r="K984" s="41"/>
      <c r="L984" s="41"/>
    </row>
    <row r="985" spans="5:12" s="39" customFormat="1" x14ac:dyDescent="0.3">
      <c r="E985" s="41"/>
      <c r="F985" s="41"/>
      <c r="G985" s="41"/>
      <c r="H985" s="41"/>
      <c r="I985" s="41"/>
      <c r="J985" s="41"/>
      <c r="K985" s="41"/>
      <c r="L985" s="41"/>
    </row>
    <row r="986" spans="5:12" s="39" customFormat="1" x14ac:dyDescent="0.3">
      <c r="E986" s="41"/>
      <c r="F986" s="41"/>
      <c r="G986" s="41"/>
      <c r="H986" s="41"/>
      <c r="I986" s="41"/>
      <c r="J986" s="41"/>
      <c r="K986" s="41"/>
      <c r="L986" s="41"/>
    </row>
    <row r="987" spans="5:12" s="39" customFormat="1" x14ac:dyDescent="0.3">
      <c r="E987" s="41"/>
      <c r="F987" s="41"/>
      <c r="G987" s="41"/>
      <c r="H987" s="41"/>
      <c r="I987" s="41"/>
      <c r="J987" s="41"/>
      <c r="K987" s="41"/>
      <c r="L987" s="41"/>
    </row>
    <row r="988" spans="5:12" s="39" customFormat="1" x14ac:dyDescent="0.3">
      <c r="E988" s="41"/>
      <c r="F988" s="41"/>
      <c r="G988" s="41"/>
      <c r="H988" s="41"/>
      <c r="I988" s="41"/>
      <c r="J988" s="41"/>
      <c r="K988" s="41"/>
      <c r="L988" s="41"/>
    </row>
    <row r="989" spans="5:12" s="39" customFormat="1" x14ac:dyDescent="0.3">
      <c r="E989" s="41"/>
      <c r="F989" s="41"/>
      <c r="G989" s="41"/>
      <c r="H989" s="41"/>
      <c r="I989" s="41"/>
      <c r="J989" s="41"/>
      <c r="K989" s="41"/>
      <c r="L989" s="41"/>
    </row>
    <row r="990" spans="5:12" s="39" customFormat="1" x14ac:dyDescent="0.3">
      <c r="E990" s="41"/>
      <c r="F990" s="41"/>
      <c r="G990" s="41"/>
      <c r="H990" s="41"/>
      <c r="I990" s="41"/>
      <c r="J990" s="41"/>
      <c r="K990" s="41"/>
      <c r="L990" s="41"/>
    </row>
    <row r="991" spans="5:12" s="39" customFormat="1" x14ac:dyDescent="0.3">
      <c r="E991" s="41"/>
      <c r="F991" s="41"/>
      <c r="G991" s="41"/>
      <c r="H991" s="41"/>
      <c r="I991" s="41"/>
      <c r="J991" s="41"/>
      <c r="K991" s="41"/>
      <c r="L991" s="41"/>
    </row>
    <row r="992" spans="5:12" s="39" customFormat="1" x14ac:dyDescent="0.3">
      <c r="E992" s="41"/>
      <c r="F992" s="41"/>
      <c r="G992" s="41"/>
      <c r="H992" s="41"/>
      <c r="I992" s="41"/>
      <c r="J992" s="41"/>
      <c r="K992" s="41"/>
      <c r="L992" s="41"/>
    </row>
    <row r="993" spans="5:12" s="39" customFormat="1" x14ac:dyDescent="0.3">
      <c r="E993" s="41"/>
      <c r="F993" s="41"/>
      <c r="G993" s="41"/>
      <c r="H993" s="41"/>
      <c r="I993" s="41"/>
      <c r="J993" s="41"/>
      <c r="K993" s="41"/>
      <c r="L993" s="41"/>
    </row>
    <row r="994" spans="5:12" s="39" customFormat="1" x14ac:dyDescent="0.3">
      <c r="E994" s="41"/>
      <c r="F994" s="41"/>
      <c r="G994" s="41"/>
      <c r="H994" s="41"/>
      <c r="I994" s="41"/>
      <c r="J994" s="41"/>
      <c r="K994" s="41"/>
      <c r="L994" s="41"/>
    </row>
    <row r="995" spans="5:12" s="39" customFormat="1" x14ac:dyDescent="0.3">
      <c r="E995" s="41"/>
      <c r="F995" s="41"/>
      <c r="G995" s="41"/>
      <c r="H995" s="41"/>
      <c r="I995" s="41"/>
      <c r="J995" s="41"/>
      <c r="K995" s="41"/>
      <c r="L995" s="41"/>
    </row>
    <row r="996" spans="5:12" s="39" customFormat="1" x14ac:dyDescent="0.3">
      <c r="E996" s="41"/>
      <c r="F996" s="41"/>
      <c r="G996" s="41"/>
      <c r="H996" s="41"/>
      <c r="I996" s="41"/>
      <c r="J996" s="41"/>
      <c r="K996" s="41"/>
      <c r="L996" s="41"/>
    </row>
    <row r="997" spans="5:12" s="39" customFormat="1" x14ac:dyDescent="0.3">
      <c r="E997" s="41"/>
      <c r="F997" s="41"/>
      <c r="G997" s="41"/>
      <c r="H997" s="41"/>
      <c r="I997" s="41"/>
      <c r="J997" s="41"/>
      <c r="K997" s="41"/>
      <c r="L997" s="41"/>
    </row>
    <row r="998" spans="5:12" s="39" customFormat="1" x14ac:dyDescent="0.3">
      <c r="E998" s="41"/>
      <c r="F998" s="41"/>
      <c r="G998" s="41"/>
      <c r="H998" s="41"/>
      <c r="I998" s="41"/>
      <c r="J998" s="41"/>
      <c r="K998" s="41"/>
      <c r="L998" s="41"/>
    </row>
    <row r="999" spans="5:12" s="39" customFormat="1" x14ac:dyDescent="0.3">
      <c r="E999" s="41"/>
      <c r="F999" s="41"/>
      <c r="G999" s="41"/>
      <c r="H999" s="41"/>
      <c r="I999" s="41"/>
      <c r="J999" s="41"/>
      <c r="K999" s="41"/>
      <c r="L999" s="41"/>
    </row>
    <row r="1000" spans="5:12" s="39" customFormat="1" x14ac:dyDescent="0.3">
      <c r="E1000" s="41"/>
      <c r="F1000" s="41"/>
      <c r="G1000" s="41"/>
      <c r="H1000" s="41"/>
      <c r="I1000" s="41"/>
      <c r="J1000" s="41"/>
      <c r="K1000" s="41"/>
      <c r="L1000" s="41"/>
    </row>
    <row r="1001" spans="5:12" s="39" customFormat="1" x14ac:dyDescent="0.3">
      <c r="E1001" s="41"/>
      <c r="F1001" s="41"/>
      <c r="G1001" s="41"/>
      <c r="H1001" s="41"/>
      <c r="I1001" s="41"/>
      <c r="J1001" s="41"/>
      <c r="K1001" s="41"/>
      <c r="L1001" s="41"/>
    </row>
    <row r="1002" spans="5:12" s="39" customFormat="1" x14ac:dyDescent="0.3">
      <c r="E1002" s="41"/>
      <c r="F1002" s="41"/>
      <c r="G1002" s="41"/>
      <c r="H1002" s="41"/>
      <c r="I1002" s="41"/>
      <c r="J1002" s="41"/>
      <c r="K1002" s="41"/>
      <c r="L1002" s="41"/>
    </row>
    <row r="1003" spans="5:12" s="39" customFormat="1" x14ac:dyDescent="0.3">
      <c r="E1003" s="41"/>
      <c r="F1003" s="41"/>
      <c r="G1003" s="41"/>
      <c r="H1003" s="41"/>
      <c r="I1003" s="41"/>
      <c r="J1003" s="41"/>
      <c r="K1003" s="41"/>
      <c r="L1003" s="41"/>
    </row>
    <row r="1004" spans="5:12" s="39" customFormat="1" x14ac:dyDescent="0.3">
      <c r="E1004" s="41"/>
      <c r="F1004" s="41"/>
      <c r="G1004" s="41"/>
      <c r="H1004" s="41"/>
      <c r="I1004" s="41"/>
      <c r="J1004" s="41"/>
      <c r="K1004" s="41"/>
      <c r="L1004" s="41"/>
    </row>
    <row r="1005" spans="5:12" s="39" customFormat="1" x14ac:dyDescent="0.3">
      <c r="E1005" s="41"/>
      <c r="F1005" s="41"/>
      <c r="G1005" s="41"/>
      <c r="H1005" s="41"/>
      <c r="I1005" s="41"/>
      <c r="J1005" s="41"/>
      <c r="K1005" s="41"/>
      <c r="L1005" s="41"/>
    </row>
    <row r="1006" spans="5:12" s="39" customFormat="1" x14ac:dyDescent="0.3">
      <c r="E1006" s="41"/>
      <c r="F1006" s="41"/>
      <c r="G1006" s="41"/>
      <c r="H1006" s="41"/>
      <c r="I1006" s="41"/>
      <c r="J1006" s="41"/>
      <c r="K1006" s="41"/>
      <c r="L1006" s="41"/>
    </row>
    <row r="1007" spans="5:12" s="39" customFormat="1" x14ac:dyDescent="0.3">
      <c r="E1007" s="41"/>
      <c r="F1007" s="41"/>
      <c r="G1007" s="41"/>
      <c r="H1007" s="41"/>
      <c r="I1007" s="41"/>
      <c r="J1007" s="41"/>
      <c r="K1007" s="41"/>
      <c r="L1007" s="41"/>
    </row>
    <row r="1008" spans="5:12" s="39" customFormat="1" x14ac:dyDescent="0.3">
      <c r="E1008" s="41"/>
      <c r="F1008" s="41"/>
      <c r="G1008" s="41"/>
      <c r="H1008" s="41"/>
      <c r="I1008" s="41"/>
      <c r="J1008" s="41"/>
      <c r="K1008" s="41"/>
      <c r="L1008" s="41"/>
    </row>
    <row r="1009" spans="5:12" s="39" customFormat="1" x14ac:dyDescent="0.3">
      <c r="E1009" s="41"/>
      <c r="F1009" s="41"/>
      <c r="G1009" s="41"/>
      <c r="H1009" s="41"/>
      <c r="I1009" s="41"/>
      <c r="J1009" s="41"/>
      <c r="K1009" s="41"/>
      <c r="L1009" s="41"/>
    </row>
    <row r="1010" spans="5:12" s="39" customFormat="1" x14ac:dyDescent="0.3">
      <c r="E1010" s="41"/>
      <c r="F1010" s="41"/>
      <c r="G1010" s="41"/>
      <c r="H1010" s="41"/>
      <c r="I1010" s="41"/>
      <c r="J1010" s="41"/>
      <c r="K1010" s="41"/>
      <c r="L1010" s="41"/>
    </row>
    <row r="1011" spans="5:12" s="39" customFormat="1" x14ac:dyDescent="0.3">
      <c r="E1011" s="41"/>
      <c r="F1011" s="41"/>
      <c r="G1011" s="41"/>
      <c r="H1011" s="41"/>
      <c r="I1011" s="41"/>
      <c r="J1011" s="41"/>
      <c r="K1011" s="41"/>
      <c r="L1011" s="41"/>
    </row>
    <row r="1012" spans="5:12" s="39" customFormat="1" x14ac:dyDescent="0.3">
      <c r="E1012" s="41"/>
      <c r="F1012" s="41"/>
      <c r="G1012" s="41"/>
      <c r="H1012" s="41"/>
      <c r="I1012" s="41"/>
      <c r="J1012" s="41"/>
      <c r="K1012" s="41"/>
      <c r="L1012" s="41"/>
    </row>
    <row r="1013" spans="5:12" s="39" customFormat="1" x14ac:dyDescent="0.3">
      <c r="E1013" s="41"/>
      <c r="F1013" s="41"/>
      <c r="G1013" s="41"/>
      <c r="H1013" s="41"/>
      <c r="I1013" s="41"/>
      <c r="J1013" s="41"/>
      <c r="K1013" s="41"/>
      <c r="L1013" s="41"/>
    </row>
    <row r="1014" spans="5:12" s="39" customFormat="1" x14ac:dyDescent="0.3">
      <c r="E1014" s="41"/>
      <c r="F1014" s="41"/>
      <c r="G1014" s="41"/>
      <c r="H1014" s="41"/>
      <c r="I1014" s="41"/>
      <c r="J1014" s="41"/>
      <c r="K1014" s="41"/>
      <c r="L1014" s="41"/>
    </row>
    <row r="1015" spans="5:12" s="39" customFormat="1" x14ac:dyDescent="0.3">
      <c r="E1015" s="41"/>
      <c r="F1015" s="41"/>
      <c r="G1015" s="41"/>
      <c r="H1015" s="41"/>
      <c r="I1015" s="41"/>
      <c r="J1015" s="41"/>
      <c r="K1015" s="41"/>
      <c r="L1015" s="41"/>
    </row>
    <row r="1016" spans="5:12" s="39" customFormat="1" x14ac:dyDescent="0.3">
      <c r="E1016" s="41"/>
      <c r="F1016" s="41"/>
      <c r="G1016" s="41"/>
      <c r="H1016" s="41"/>
      <c r="I1016" s="41"/>
      <c r="J1016" s="41"/>
      <c r="K1016" s="41"/>
      <c r="L1016" s="41"/>
    </row>
    <row r="1017" spans="5:12" s="39" customFormat="1" x14ac:dyDescent="0.3">
      <c r="E1017" s="41"/>
      <c r="F1017" s="41"/>
      <c r="G1017" s="41"/>
      <c r="H1017" s="41"/>
      <c r="I1017" s="41"/>
      <c r="J1017" s="41"/>
      <c r="K1017" s="41"/>
      <c r="L1017" s="41"/>
    </row>
    <row r="1018" spans="5:12" s="39" customFormat="1" x14ac:dyDescent="0.3">
      <c r="E1018" s="41"/>
      <c r="F1018" s="41"/>
      <c r="G1018" s="41"/>
      <c r="H1018" s="41"/>
      <c r="I1018" s="41"/>
      <c r="J1018" s="41"/>
      <c r="K1018" s="41"/>
      <c r="L1018" s="41"/>
    </row>
    <row r="1019" spans="5:12" s="39" customFormat="1" x14ac:dyDescent="0.3">
      <c r="E1019" s="41"/>
      <c r="F1019" s="41"/>
      <c r="G1019" s="41"/>
      <c r="H1019" s="41"/>
      <c r="I1019" s="41"/>
      <c r="J1019" s="41"/>
      <c r="K1019" s="41"/>
      <c r="L1019" s="41"/>
    </row>
    <row r="1020" spans="5:12" s="39" customFormat="1" x14ac:dyDescent="0.3">
      <c r="E1020" s="41"/>
      <c r="F1020" s="41"/>
      <c r="G1020" s="41"/>
      <c r="H1020" s="41"/>
      <c r="I1020" s="41"/>
      <c r="J1020" s="41"/>
      <c r="K1020" s="41"/>
      <c r="L1020" s="41"/>
    </row>
    <row r="1021" spans="5:12" s="39" customFormat="1" x14ac:dyDescent="0.3">
      <c r="E1021" s="41"/>
      <c r="F1021" s="41"/>
      <c r="G1021" s="41"/>
      <c r="H1021" s="41"/>
      <c r="I1021" s="41"/>
      <c r="J1021" s="41"/>
      <c r="K1021" s="41"/>
      <c r="L1021" s="41"/>
    </row>
    <row r="1022" spans="5:12" s="39" customFormat="1" x14ac:dyDescent="0.3">
      <c r="E1022" s="41"/>
      <c r="F1022" s="41"/>
      <c r="G1022" s="41"/>
      <c r="H1022" s="41"/>
      <c r="I1022" s="41"/>
      <c r="J1022" s="41"/>
      <c r="K1022" s="41"/>
      <c r="L1022" s="41"/>
    </row>
    <row r="1023" spans="5:12" s="39" customFormat="1" x14ac:dyDescent="0.3">
      <c r="E1023" s="41"/>
      <c r="F1023" s="41"/>
      <c r="G1023" s="41"/>
      <c r="H1023" s="41"/>
      <c r="I1023" s="41"/>
      <c r="J1023" s="41"/>
      <c r="K1023" s="41"/>
      <c r="L1023" s="41"/>
    </row>
    <row r="1024" spans="5:12" s="39" customFormat="1" x14ac:dyDescent="0.3">
      <c r="E1024" s="41"/>
      <c r="F1024" s="41"/>
      <c r="G1024" s="41"/>
      <c r="H1024" s="41"/>
      <c r="I1024" s="41"/>
      <c r="J1024" s="41"/>
      <c r="K1024" s="41"/>
      <c r="L1024" s="41"/>
    </row>
    <row r="1025" spans="5:12" s="39" customFormat="1" x14ac:dyDescent="0.3">
      <c r="E1025" s="41"/>
      <c r="F1025" s="41"/>
      <c r="G1025" s="41"/>
      <c r="H1025" s="41"/>
      <c r="I1025" s="41"/>
      <c r="J1025" s="41"/>
      <c r="K1025" s="41"/>
      <c r="L1025" s="41"/>
    </row>
    <row r="1026" spans="5:12" s="39" customFormat="1" x14ac:dyDescent="0.3">
      <c r="E1026" s="41"/>
      <c r="F1026" s="41"/>
      <c r="G1026" s="41"/>
      <c r="H1026" s="41"/>
      <c r="I1026" s="41"/>
      <c r="J1026" s="41"/>
      <c r="K1026" s="41"/>
      <c r="L1026" s="41"/>
    </row>
    <row r="1027" spans="5:12" s="39" customFormat="1" x14ac:dyDescent="0.3">
      <c r="E1027" s="41"/>
      <c r="F1027" s="41"/>
      <c r="G1027" s="41"/>
      <c r="H1027" s="41"/>
      <c r="I1027" s="41"/>
      <c r="J1027" s="41"/>
      <c r="K1027" s="41"/>
      <c r="L1027" s="41"/>
    </row>
    <row r="1028" spans="5:12" s="39" customFormat="1" x14ac:dyDescent="0.3">
      <c r="E1028" s="41"/>
      <c r="F1028" s="41"/>
      <c r="G1028" s="41"/>
      <c r="H1028" s="41"/>
      <c r="I1028" s="41"/>
      <c r="J1028" s="41"/>
      <c r="K1028" s="41"/>
      <c r="L1028" s="41"/>
    </row>
    <row r="1029" spans="5:12" s="39" customFormat="1" x14ac:dyDescent="0.3">
      <c r="E1029" s="41"/>
      <c r="F1029" s="41"/>
      <c r="G1029" s="41"/>
      <c r="H1029" s="41"/>
      <c r="I1029" s="41"/>
      <c r="J1029" s="41"/>
      <c r="K1029" s="41"/>
      <c r="L1029" s="41"/>
    </row>
    <row r="1030" spans="5:12" s="39" customFormat="1" x14ac:dyDescent="0.3">
      <c r="E1030" s="41"/>
      <c r="F1030" s="41"/>
      <c r="G1030" s="41"/>
      <c r="H1030" s="41"/>
      <c r="I1030" s="41"/>
      <c r="J1030" s="41"/>
      <c r="K1030" s="41"/>
      <c r="L1030" s="41"/>
    </row>
    <row r="1031" spans="5:12" s="39" customFormat="1" x14ac:dyDescent="0.3">
      <c r="E1031" s="41"/>
      <c r="F1031" s="41"/>
      <c r="G1031" s="41"/>
      <c r="H1031" s="41"/>
      <c r="I1031" s="41"/>
      <c r="J1031" s="41"/>
      <c r="K1031" s="41"/>
      <c r="L1031" s="41"/>
    </row>
    <row r="1032" spans="5:12" s="39" customFormat="1" x14ac:dyDescent="0.3">
      <c r="E1032" s="41"/>
      <c r="F1032" s="41"/>
      <c r="G1032" s="41"/>
      <c r="H1032" s="41"/>
      <c r="I1032" s="41"/>
      <c r="J1032" s="41"/>
      <c r="K1032" s="41"/>
      <c r="L1032" s="41"/>
    </row>
    <row r="1033" spans="5:12" s="39" customFormat="1" x14ac:dyDescent="0.3">
      <c r="E1033" s="41"/>
      <c r="F1033" s="41"/>
      <c r="G1033" s="41"/>
      <c r="H1033" s="41"/>
      <c r="I1033" s="41"/>
      <c r="J1033" s="41"/>
      <c r="K1033" s="41"/>
      <c r="L1033" s="41"/>
    </row>
    <row r="1034" spans="5:12" s="39" customFormat="1" x14ac:dyDescent="0.3">
      <c r="E1034" s="41"/>
      <c r="F1034" s="41"/>
      <c r="G1034" s="41"/>
      <c r="H1034" s="41"/>
      <c r="I1034" s="41"/>
      <c r="J1034" s="41"/>
      <c r="K1034" s="41"/>
      <c r="L1034" s="41"/>
    </row>
    <row r="1035" spans="5:12" s="39" customFormat="1" x14ac:dyDescent="0.3">
      <c r="E1035" s="41"/>
      <c r="F1035" s="41"/>
      <c r="G1035" s="41"/>
      <c r="H1035" s="41"/>
      <c r="I1035" s="41"/>
      <c r="J1035" s="41"/>
      <c r="K1035" s="41"/>
      <c r="L1035" s="41"/>
    </row>
    <row r="1036" spans="5:12" s="39" customFormat="1" x14ac:dyDescent="0.3">
      <c r="E1036" s="41"/>
      <c r="F1036" s="41"/>
      <c r="G1036" s="41"/>
      <c r="H1036" s="41"/>
      <c r="I1036" s="41"/>
      <c r="J1036" s="41"/>
      <c r="K1036" s="41"/>
      <c r="L1036" s="41"/>
    </row>
    <row r="1037" spans="5:12" s="39" customFormat="1" x14ac:dyDescent="0.3">
      <c r="E1037" s="41"/>
      <c r="F1037" s="41"/>
      <c r="G1037" s="41"/>
      <c r="H1037" s="41"/>
      <c r="I1037" s="41"/>
      <c r="J1037" s="41"/>
      <c r="K1037" s="41"/>
      <c r="L1037" s="41"/>
    </row>
    <row r="1038" spans="5:12" s="39" customFormat="1" x14ac:dyDescent="0.3">
      <c r="E1038" s="41"/>
      <c r="F1038" s="41"/>
      <c r="G1038" s="41"/>
      <c r="H1038" s="41"/>
      <c r="I1038" s="41"/>
      <c r="J1038" s="41"/>
      <c r="K1038" s="41"/>
      <c r="L1038" s="41"/>
    </row>
    <row r="1039" spans="5:12" s="39" customFormat="1" x14ac:dyDescent="0.3">
      <c r="E1039" s="41"/>
      <c r="F1039" s="41"/>
      <c r="G1039" s="41"/>
      <c r="H1039" s="41"/>
      <c r="I1039" s="41"/>
      <c r="J1039" s="41"/>
      <c r="K1039" s="41"/>
      <c r="L1039" s="41"/>
    </row>
    <row r="1040" spans="5:12" s="39" customFormat="1" x14ac:dyDescent="0.3">
      <c r="E1040" s="41"/>
      <c r="F1040" s="41"/>
      <c r="G1040" s="41"/>
      <c r="H1040" s="41"/>
      <c r="I1040" s="41"/>
      <c r="J1040" s="41"/>
      <c r="K1040" s="41"/>
      <c r="L1040" s="41"/>
    </row>
    <row r="1041" spans="5:12" s="39" customFormat="1" x14ac:dyDescent="0.3">
      <c r="E1041" s="41"/>
      <c r="F1041" s="41"/>
      <c r="G1041" s="41"/>
      <c r="H1041" s="41"/>
      <c r="I1041" s="41"/>
      <c r="J1041" s="41"/>
      <c r="K1041" s="41"/>
      <c r="L1041" s="41"/>
    </row>
    <row r="1042" spans="5:12" s="39" customFormat="1" x14ac:dyDescent="0.3">
      <c r="E1042" s="41"/>
      <c r="F1042" s="41"/>
      <c r="G1042" s="41"/>
      <c r="H1042" s="41"/>
      <c r="I1042" s="41"/>
      <c r="J1042" s="41"/>
      <c r="K1042" s="41"/>
      <c r="L1042" s="41"/>
    </row>
    <row r="1043" spans="5:12" s="39" customFormat="1" x14ac:dyDescent="0.3">
      <c r="E1043" s="41"/>
      <c r="F1043" s="41"/>
      <c r="G1043" s="41"/>
      <c r="H1043" s="41"/>
      <c r="I1043" s="41"/>
      <c r="J1043" s="41"/>
      <c r="K1043" s="41"/>
      <c r="L1043" s="41"/>
    </row>
    <row r="1044" spans="5:12" s="39" customFormat="1" x14ac:dyDescent="0.3">
      <c r="E1044" s="41"/>
      <c r="F1044" s="41"/>
      <c r="G1044" s="41"/>
      <c r="H1044" s="41"/>
      <c r="I1044" s="41"/>
      <c r="J1044" s="41"/>
      <c r="K1044" s="41"/>
      <c r="L1044" s="41"/>
    </row>
    <row r="1045" spans="5:12" s="39" customFormat="1" x14ac:dyDescent="0.3">
      <c r="E1045" s="41"/>
      <c r="F1045" s="41"/>
      <c r="G1045" s="41"/>
      <c r="H1045" s="41"/>
      <c r="I1045" s="41"/>
      <c r="J1045" s="41"/>
      <c r="K1045" s="41"/>
      <c r="L1045" s="41"/>
    </row>
    <row r="1046" spans="5:12" s="39" customFormat="1" x14ac:dyDescent="0.3">
      <c r="E1046" s="41"/>
      <c r="F1046" s="41"/>
      <c r="G1046" s="41"/>
      <c r="H1046" s="41"/>
      <c r="I1046" s="41"/>
      <c r="J1046" s="41"/>
      <c r="K1046" s="41"/>
      <c r="L1046" s="41"/>
    </row>
    <row r="1047" spans="5:12" s="39" customFormat="1" x14ac:dyDescent="0.3">
      <c r="E1047" s="41"/>
      <c r="F1047" s="41"/>
      <c r="G1047" s="41"/>
      <c r="H1047" s="41"/>
      <c r="I1047" s="41"/>
      <c r="J1047" s="41"/>
      <c r="K1047" s="41"/>
      <c r="L1047" s="41"/>
    </row>
    <row r="1048" spans="5:12" s="39" customFormat="1" x14ac:dyDescent="0.3">
      <c r="E1048" s="41"/>
      <c r="F1048" s="41"/>
      <c r="G1048" s="41"/>
      <c r="H1048" s="41"/>
      <c r="I1048" s="41"/>
      <c r="J1048" s="41"/>
      <c r="K1048" s="41"/>
      <c r="L1048" s="41"/>
    </row>
    <row r="1049" spans="5:12" s="39" customFormat="1" x14ac:dyDescent="0.3">
      <c r="E1049" s="41"/>
      <c r="F1049" s="41"/>
      <c r="G1049" s="41"/>
      <c r="H1049" s="41"/>
      <c r="I1049" s="41"/>
      <c r="J1049" s="41"/>
      <c r="K1049" s="41"/>
      <c r="L1049" s="41"/>
    </row>
    <row r="1050" spans="5:12" s="39" customFormat="1" x14ac:dyDescent="0.3">
      <c r="E1050" s="41"/>
      <c r="F1050" s="41"/>
      <c r="G1050" s="41"/>
      <c r="H1050" s="41"/>
      <c r="I1050" s="41"/>
      <c r="J1050" s="41"/>
      <c r="K1050" s="41"/>
      <c r="L1050" s="41"/>
    </row>
    <row r="1051" spans="5:12" s="39" customFormat="1" x14ac:dyDescent="0.3">
      <c r="E1051" s="41"/>
      <c r="F1051" s="41"/>
      <c r="G1051" s="41"/>
      <c r="H1051" s="41"/>
      <c r="I1051" s="41"/>
      <c r="J1051" s="41"/>
      <c r="K1051" s="41"/>
      <c r="L1051" s="41"/>
    </row>
    <row r="1052" spans="5:12" s="39" customFormat="1" x14ac:dyDescent="0.3">
      <c r="E1052" s="41"/>
      <c r="F1052" s="41"/>
      <c r="G1052" s="41"/>
      <c r="H1052" s="41"/>
      <c r="I1052" s="41"/>
      <c r="J1052" s="41"/>
      <c r="K1052" s="41"/>
      <c r="L1052" s="41"/>
    </row>
    <row r="1053" spans="5:12" s="39" customFormat="1" x14ac:dyDescent="0.3">
      <c r="E1053" s="41"/>
      <c r="F1053" s="41"/>
      <c r="G1053" s="41"/>
      <c r="H1053" s="41"/>
      <c r="I1053" s="41"/>
      <c r="J1053" s="41"/>
      <c r="K1053" s="41"/>
      <c r="L1053" s="41"/>
    </row>
    <row r="1054" spans="5:12" s="39" customFormat="1" x14ac:dyDescent="0.3">
      <c r="E1054" s="41"/>
      <c r="F1054" s="41"/>
      <c r="G1054" s="41"/>
      <c r="H1054" s="41"/>
      <c r="I1054" s="41"/>
      <c r="J1054" s="41"/>
      <c r="K1054" s="41"/>
      <c r="L1054" s="41"/>
    </row>
    <row r="1055" spans="5:12" s="39" customFormat="1" x14ac:dyDescent="0.3">
      <c r="E1055" s="41"/>
      <c r="F1055" s="41"/>
      <c r="G1055" s="41"/>
      <c r="H1055" s="41"/>
      <c r="I1055" s="41"/>
      <c r="J1055" s="41"/>
      <c r="K1055" s="41"/>
      <c r="L1055" s="41"/>
    </row>
    <row r="1056" spans="5:12" s="39" customFormat="1" x14ac:dyDescent="0.3">
      <c r="E1056" s="41"/>
      <c r="F1056" s="41"/>
      <c r="G1056" s="41"/>
      <c r="H1056" s="41"/>
      <c r="I1056" s="41"/>
      <c r="J1056" s="41"/>
      <c r="K1056" s="41"/>
      <c r="L1056" s="41"/>
    </row>
    <row r="1057" spans="5:12" s="39" customFormat="1" x14ac:dyDescent="0.3">
      <c r="E1057" s="41"/>
      <c r="F1057" s="41"/>
      <c r="G1057" s="41"/>
      <c r="H1057" s="41"/>
      <c r="I1057" s="41"/>
      <c r="J1057" s="41"/>
      <c r="K1057" s="41"/>
      <c r="L1057" s="41"/>
    </row>
    <row r="1058" spans="5:12" s="39" customFormat="1" x14ac:dyDescent="0.3">
      <c r="E1058" s="41"/>
      <c r="F1058" s="41"/>
      <c r="G1058" s="41"/>
      <c r="H1058" s="41"/>
      <c r="I1058" s="41"/>
      <c r="J1058" s="41"/>
      <c r="K1058" s="41"/>
      <c r="L1058" s="41"/>
    </row>
    <row r="1059" spans="5:12" s="39" customFormat="1" x14ac:dyDescent="0.3">
      <c r="E1059" s="41"/>
      <c r="F1059" s="41"/>
      <c r="G1059" s="41"/>
      <c r="H1059" s="41"/>
      <c r="I1059" s="41"/>
      <c r="J1059" s="41"/>
      <c r="K1059" s="41"/>
      <c r="L1059" s="41"/>
    </row>
    <row r="1060" spans="5:12" s="39" customFormat="1" x14ac:dyDescent="0.3">
      <c r="E1060" s="41"/>
      <c r="F1060" s="41"/>
      <c r="G1060" s="41"/>
      <c r="H1060" s="41"/>
      <c r="I1060" s="41"/>
      <c r="J1060" s="41"/>
      <c r="K1060" s="41"/>
      <c r="L1060" s="41"/>
    </row>
    <row r="1061" spans="5:12" s="39" customFormat="1" x14ac:dyDescent="0.3">
      <c r="E1061" s="41"/>
      <c r="F1061" s="41"/>
      <c r="G1061" s="41"/>
      <c r="H1061" s="41"/>
      <c r="I1061" s="41"/>
      <c r="J1061" s="41"/>
      <c r="K1061" s="41"/>
      <c r="L1061" s="41"/>
    </row>
    <row r="1062" spans="5:12" s="39" customFormat="1" x14ac:dyDescent="0.3">
      <c r="E1062" s="41"/>
      <c r="F1062" s="41"/>
      <c r="G1062" s="41"/>
      <c r="H1062" s="41"/>
      <c r="I1062" s="41"/>
      <c r="J1062" s="41"/>
      <c r="K1062" s="41"/>
      <c r="L1062" s="41"/>
    </row>
    <row r="1063" spans="5:12" s="39" customFormat="1" x14ac:dyDescent="0.3">
      <c r="E1063" s="41"/>
      <c r="F1063" s="41"/>
      <c r="G1063" s="41"/>
      <c r="H1063" s="41"/>
      <c r="I1063" s="41"/>
      <c r="J1063" s="41"/>
      <c r="K1063" s="41"/>
      <c r="L1063" s="41"/>
    </row>
    <row r="1064" spans="5:12" s="39" customFormat="1" x14ac:dyDescent="0.3">
      <c r="E1064" s="41"/>
      <c r="F1064" s="41"/>
      <c r="G1064" s="41"/>
      <c r="H1064" s="41"/>
      <c r="I1064" s="41"/>
      <c r="J1064" s="41"/>
      <c r="K1064" s="41"/>
      <c r="L1064" s="41"/>
    </row>
    <row r="1065" spans="5:12" s="39" customFormat="1" x14ac:dyDescent="0.3">
      <c r="E1065" s="41"/>
      <c r="F1065" s="41"/>
      <c r="G1065" s="41"/>
      <c r="H1065" s="41"/>
      <c r="I1065" s="41"/>
      <c r="J1065" s="41"/>
      <c r="K1065" s="41"/>
      <c r="L1065" s="41"/>
    </row>
    <row r="1066" spans="5:12" s="39" customFormat="1" x14ac:dyDescent="0.3">
      <c r="E1066" s="41"/>
      <c r="F1066" s="41"/>
      <c r="G1066" s="41"/>
      <c r="H1066" s="41"/>
      <c r="I1066" s="41"/>
      <c r="J1066" s="41"/>
      <c r="K1066" s="41"/>
      <c r="L1066" s="41"/>
    </row>
    <row r="1067" spans="5:12" s="39" customFormat="1" x14ac:dyDescent="0.3">
      <c r="E1067" s="41"/>
      <c r="F1067" s="41"/>
      <c r="G1067" s="41"/>
      <c r="H1067" s="41"/>
      <c r="I1067" s="41"/>
      <c r="J1067" s="41"/>
      <c r="K1067" s="41"/>
      <c r="L1067" s="41"/>
    </row>
    <row r="1068" spans="5:12" s="39" customFormat="1" x14ac:dyDescent="0.3">
      <c r="E1068" s="41"/>
      <c r="F1068" s="41"/>
      <c r="G1068" s="41"/>
      <c r="H1068" s="41"/>
      <c r="I1068" s="41"/>
      <c r="J1068" s="41"/>
      <c r="K1068" s="41"/>
      <c r="L1068" s="41"/>
    </row>
    <row r="1069" spans="5:12" s="39" customFormat="1" x14ac:dyDescent="0.3">
      <c r="E1069" s="41"/>
      <c r="F1069" s="41"/>
      <c r="G1069" s="41"/>
      <c r="H1069" s="41"/>
      <c r="I1069" s="41"/>
      <c r="J1069" s="41"/>
      <c r="K1069" s="41"/>
      <c r="L1069" s="41"/>
    </row>
    <row r="1070" spans="5:12" s="39" customFormat="1" x14ac:dyDescent="0.3">
      <c r="E1070" s="41"/>
      <c r="F1070" s="41"/>
      <c r="G1070" s="41"/>
      <c r="H1070" s="41"/>
      <c r="I1070" s="41"/>
      <c r="J1070" s="41"/>
      <c r="K1070" s="41"/>
      <c r="L1070" s="41"/>
    </row>
    <row r="1071" spans="5:12" s="39" customFormat="1" x14ac:dyDescent="0.3">
      <c r="E1071" s="41"/>
      <c r="F1071" s="41"/>
      <c r="G1071" s="41"/>
      <c r="H1071" s="41"/>
      <c r="I1071" s="41"/>
      <c r="J1071" s="41"/>
      <c r="K1071" s="41"/>
      <c r="L1071" s="41"/>
    </row>
    <row r="1072" spans="5:12" s="39" customFormat="1" x14ac:dyDescent="0.3">
      <c r="E1072" s="41"/>
      <c r="F1072" s="41"/>
      <c r="G1072" s="41"/>
      <c r="H1072" s="41"/>
      <c r="I1072" s="41"/>
      <c r="J1072" s="41"/>
      <c r="K1072" s="41"/>
      <c r="L1072" s="41"/>
    </row>
    <row r="1073" spans="5:12" s="39" customFormat="1" x14ac:dyDescent="0.3">
      <c r="E1073" s="41"/>
      <c r="F1073" s="41"/>
      <c r="G1073" s="41"/>
      <c r="H1073" s="41"/>
      <c r="I1073" s="41"/>
      <c r="J1073" s="41"/>
      <c r="K1073" s="41"/>
      <c r="L1073" s="41"/>
    </row>
    <row r="1074" spans="5:12" s="39" customFormat="1" x14ac:dyDescent="0.3">
      <c r="E1074" s="41"/>
      <c r="F1074" s="41"/>
      <c r="G1074" s="41"/>
      <c r="H1074" s="41"/>
      <c r="I1074" s="41"/>
      <c r="J1074" s="41"/>
      <c r="K1074" s="41"/>
      <c r="L1074" s="41"/>
    </row>
    <row r="1075" spans="5:12" s="39" customFormat="1" x14ac:dyDescent="0.3">
      <c r="E1075" s="41"/>
      <c r="F1075" s="41"/>
      <c r="G1075" s="41"/>
      <c r="H1075" s="41"/>
      <c r="I1075" s="41"/>
      <c r="J1075" s="41"/>
      <c r="K1075" s="41"/>
      <c r="L1075" s="41"/>
    </row>
    <row r="1076" spans="5:12" s="39" customFormat="1" x14ac:dyDescent="0.3">
      <c r="E1076" s="41"/>
      <c r="F1076" s="41"/>
      <c r="G1076" s="41"/>
      <c r="H1076" s="41"/>
      <c r="I1076" s="41"/>
      <c r="J1076" s="41"/>
      <c r="K1076" s="41"/>
      <c r="L1076" s="41"/>
    </row>
    <row r="1077" spans="5:12" s="39" customFormat="1" x14ac:dyDescent="0.3">
      <c r="E1077" s="41"/>
      <c r="F1077" s="41"/>
      <c r="G1077" s="41"/>
      <c r="H1077" s="41"/>
      <c r="I1077" s="41"/>
      <c r="J1077" s="41"/>
      <c r="K1077" s="41"/>
      <c r="L1077" s="41"/>
    </row>
    <row r="1078" spans="5:12" s="39" customFormat="1" x14ac:dyDescent="0.3">
      <c r="E1078" s="41"/>
      <c r="F1078" s="41"/>
      <c r="G1078" s="41"/>
      <c r="H1078" s="41"/>
      <c r="I1078" s="41"/>
      <c r="J1078" s="41"/>
      <c r="K1078" s="41"/>
      <c r="L1078" s="41"/>
    </row>
    <row r="1079" spans="5:12" s="39" customFormat="1" x14ac:dyDescent="0.3">
      <c r="E1079" s="41"/>
      <c r="F1079" s="41"/>
      <c r="G1079" s="41"/>
      <c r="H1079" s="41"/>
      <c r="I1079" s="41"/>
      <c r="J1079" s="41"/>
      <c r="K1079" s="41"/>
      <c r="L1079" s="41"/>
    </row>
    <row r="1080" spans="5:12" s="39" customFormat="1" x14ac:dyDescent="0.3">
      <c r="E1080" s="41"/>
      <c r="F1080" s="41"/>
      <c r="G1080" s="41"/>
      <c r="H1080" s="41"/>
      <c r="I1080" s="41"/>
      <c r="J1080" s="41"/>
      <c r="K1080" s="41"/>
      <c r="L1080" s="41"/>
    </row>
    <row r="1081" spans="5:12" s="39" customFormat="1" x14ac:dyDescent="0.3">
      <c r="E1081" s="41"/>
      <c r="F1081" s="41"/>
      <c r="G1081" s="41"/>
      <c r="H1081" s="41"/>
      <c r="I1081" s="41"/>
      <c r="J1081" s="41"/>
      <c r="K1081" s="41"/>
      <c r="L1081" s="41"/>
    </row>
    <row r="1082" spans="5:12" s="39" customFormat="1" x14ac:dyDescent="0.3">
      <c r="E1082" s="41"/>
      <c r="F1082" s="41"/>
      <c r="G1082" s="41"/>
      <c r="H1082" s="41"/>
      <c r="I1082" s="41"/>
      <c r="J1082" s="41"/>
      <c r="K1082" s="41"/>
      <c r="L1082" s="41"/>
    </row>
    <row r="1083" spans="5:12" s="39" customFormat="1" x14ac:dyDescent="0.3">
      <c r="E1083" s="41"/>
      <c r="F1083" s="41"/>
      <c r="G1083" s="41"/>
      <c r="H1083" s="41"/>
      <c r="I1083" s="41"/>
      <c r="J1083" s="41"/>
      <c r="K1083" s="41"/>
      <c r="L1083" s="41"/>
    </row>
    <row r="1084" spans="5:12" s="39" customFormat="1" x14ac:dyDescent="0.3">
      <c r="E1084" s="41"/>
      <c r="F1084" s="41"/>
      <c r="G1084" s="41"/>
      <c r="H1084" s="41"/>
      <c r="I1084" s="41"/>
      <c r="J1084" s="41"/>
      <c r="K1084" s="41"/>
      <c r="L1084" s="41"/>
    </row>
    <row r="1085" spans="5:12" s="39" customFormat="1" x14ac:dyDescent="0.3">
      <c r="E1085" s="41"/>
      <c r="F1085" s="41"/>
      <c r="G1085" s="41"/>
      <c r="H1085" s="41"/>
      <c r="I1085" s="41"/>
      <c r="J1085" s="41"/>
      <c r="K1085" s="41"/>
      <c r="L1085" s="41"/>
    </row>
    <row r="1086" spans="5:12" s="39" customFormat="1" x14ac:dyDescent="0.3">
      <c r="E1086" s="41"/>
      <c r="F1086" s="41"/>
      <c r="G1086" s="41"/>
      <c r="H1086" s="41"/>
      <c r="I1086" s="41"/>
      <c r="J1086" s="41"/>
      <c r="K1086" s="41"/>
      <c r="L1086" s="41"/>
    </row>
    <row r="1087" spans="5:12" s="39" customFormat="1" x14ac:dyDescent="0.3">
      <c r="E1087" s="41"/>
      <c r="F1087" s="41"/>
      <c r="G1087" s="41"/>
      <c r="H1087" s="41"/>
      <c r="I1087" s="41"/>
      <c r="J1087" s="41"/>
      <c r="K1087" s="41"/>
      <c r="L1087" s="41"/>
    </row>
    <row r="1088" spans="5:12" s="39" customFormat="1" x14ac:dyDescent="0.3">
      <c r="E1088" s="41"/>
      <c r="F1088" s="41"/>
      <c r="G1088" s="41"/>
      <c r="H1088" s="41"/>
      <c r="I1088" s="41"/>
      <c r="J1088" s="41"/>
      <c r="K1088" s="41"/>
      <c r="L1088" s="41"/>
    </row>
    <row r="1089" spans="5:12" s="39" customFormat="1" x14ac:dyDescent="0.3">
      <c r="E1089" s="41"/>
      <c r="F1089" s="41"/>
      <c r="G1089" s="41"/>
      <c r="H1089" s="41"/>
      <c r="I1089" s="41"/>
      <c r="J1089" s="41"/>
      <c r="K1089" s="41"/>
      <c r="L1089" s="41"/>
    </row>
    <row r="1090" spans="5:12" s="39" customFormat="1" x14ac:dyDescent="0.3">
      <c r="E1090" s="41"/>
      <c r="F1090" s="41"/>
      <c r="G1090" s="41"/>
      <c r="H1090" s="41"/>
      <c r="I1090" s="41"/>
      <c r="J1090" s="41"/>
      <c r="K1090" s="41"/>
      <c r="L1090" s="41"/>
    </row>
    <row r="1091" spans="5:12" s="39" customFormat="1" x14ac:dyDescent="0.3">
      <c r="E1091" s="41"/>
      <c r="F1091" s="41"/>
      <c r="G1091" s="41"/>
      <c r="H1091" s="41"/>
      <c r="I1091" s="41"/>
      <c r="J1091" s="41"/>
      <c r="K1091" s="41"/>
      <c r="L1091" s="41"/>
    </row>
    <row r="1092" spans="5:12" s="39" customFormat="1" x14ac:dyDescent="0.3">
      <c r="E1092" s="41"/>
      <c r="F1092" s="41"/>
      <c r="G1092" s="41"/>
      <c r="H1092" s="41"/>
      <c r="I1092" s="41"/>
      <c r="J1092" s="41"/>
      <c r="K1092" s="41"/>
      <c r="L1092" s="41"/>
    </row>
    <row r="1093" spans="5:12" s="39" customFormat="1" x14ac:dyDescent="0.3">
      <c r="E1093" s="41"/>
      <c r="F1093" s="41"/>
      <c r="G1093" s="41"/>
      <c r="H1093" s="41"/>
      <c r="I1093" s="41"/>
      <c r="J1093" s="41"/>
      <c r="K1093" s="41"/>
      <c r="L1093" s="41"/>
    </row>
    <row r="1094" spans="5:12" s="39" customFormat="1" x14ac:dyDescent="0.3">
      <c r="E1094" s="41"/>
      <c r="F1094" s="41"/>
      <c r="G1094" s="41"/>
      <c r="H1094" s="41"/>
      <c r="I1094" s="41"/>
      <c r="J1094" s="41"/>
      <c r="K1094" s="41"/>
      <c r="L1094" s="41"/>
    </row>
    <row r="1095" spans="5:12" s="39" customFormat="1" x14ac:dyDescent="0.3">
      <c r="E1095" s="41"/>
      <c r="F1095" s="41"/>
      <c r="G1095" s="41"/>
      <c r="H1095" s="41"/>
      <c r="I1095" s="41"/>
      <c r="J1095" s="41"/>
      <c r="K1095" s="41"/>
      <c r="L1095" s="41"/>
    </row>
    <row r="1096" spans="5:12" s="39" customFormat="1" x14ac:dyDescent="0.3">
      <c r="E1096" s="41"/>
      <c r="F1096" s="41"/>
      <c r="G1096" s="41"/>
      <c r="H1096" s="41"/>
      <c r="I1096" s="41"/>
      <c r="J1096" s="41"/>
      <c r="K1096" s="41"/>
      <c r="L1096" s="41"/>
    </row>
    <row r="1097" spans="5:12" s="39" customFormat="1" x14ac:dyDescent="0.3">
      <c r="E1097" s="41"/>
      <c r="F1097" s="41"/>
      <c r="G1097" s="41"/>
      <c r="H1097" s="41"/>
      <c r="I1097" s="41"/>
      <c r="J1097" s="41"/>
      <c r="K1097" s="41"/>
      <c r="L1097" s="41"/>
    </row>
    <row r="1098" spans="5:12" s="39" customFormat="1" x14ac:dyDescent="0.3">
      <c r="E1098" s="41"/>
      <c r="F1098" s="41"/>
      <c r="G1098" s="41"/>
      <c r="H1098" s="41"/>
      <c r="I1098" s="41"/>
      <c r="J1098" s="41"/>
      <c r="K1098" s="41"/>
      <c r="L1098" s="41"/>
    </row>
    <row r="1099" spans="5:12" s="39" customFormat="1" x14ac:dyDescent="0.3">
      <c r="E1099" s="41"/>
      <c r="F1099" s="41"/>
      <c r="G1099" s="41"/>
      <c r="H1099" s="41"/>
      <c r="I1099" s="41"/>
      <c r="J1099" s="41"/>
      <c r="K1099" s="41"/>
      <c r="L1099" s="41"/>
    </row>
    <row r="1100" spans="5:12" s="39" customFormat="1" x14ac:dyDescent="0.3">
      <c r="E1100" s="41"/>
      <c r="F1100" s="41"/>
      <c r="G1100" s="41"/>
      <c r="H1100" s="41"/>
      <c r="I1100" s="41"/>
      <c r="J1100" s="41"/>
      <c r="K1100" s="41"/>
      <c r="L1100" s="41"/>
    </row>
    <row r="1101" spans="5:12" s="39" customFormat="1" x14ac:dyDescent="0.3">
      <c r="E1101" s="41"/>
      <c r="F1101" s="41"/>
      <c r="G1101" s="41"/>
      <c r="H1101" s="41"/>
      <c r="I1101" s="41"/>
      <c r="J1101" s="41"/>
      <c r="K1101" s="41"/>
      <c r="L1101" s="41"/>
    </row>
    <row r="1102" spans="5:12" s="39" customFormat="1" x14ac:dyDescent="0.3">
      <c r="E1102" s="41"/>
      <c r="F1102" s="41"/>
      <c r="G1102" s="41"/>
      <c r="H1102" s="41"/>
      <c r="I1102" s="41"/>
      <c r="J1102" s="41"/>
      <c r="K1102" s="41"/>
      <c r="L1102" s="41"/>
    </row>
    <row r="1103" spans="5:12" s="39" customFormat="1" x14ac:dyDescent="0.3">
      <c r="E1103" s="41"/>
      <c r="F1103" s="41"/>
      <c r="G1103" s="41"/>
      <c r="H1103" s="41"/>
      <c r="I1103" s="41"/>
      <c r="J1103" s="41"/>
      <c r="K1103" s="41"/>
      <c r="L1103" s="41"/>
    </row>
    <row r="1104" spans="5:12" s="39" customFormat="1" x14ac:dyDescent="0.3">
      <c r="E1104" s="41"/>
      <c r="F1104" s="41"/>
      <c r="G1104" s="41"/>
      <c r="H1104" s="41"/>
      <c r="I1104" s="41"/>
      <c r="J1104" s="41"/>
      <c r="K1104" s="41"/>
      <c r="L1104" s="41"/>
    </row>
    <row r="1105" spans="5:12" s="39" customFormat="1" x14ac:dyDescent="0.3">
      <c r="E1105" s="41"/>
      <c r="F1105" s="41"/>
      <c r="G1105" s="41"/>
      <c r="H1105" s="41"/>
      <c r="I1105" s="41"/>
      <c r="J1105" s="41"/>
      <c r="K1105" s="41"/>
      <c r="L1105" s="41"/>
    </row>
    <row r="1106" spans="5:12" s="39" customFormat="1" x14ac:dyDescent="0.3">
      <c r="E1106" s="41"/>
      <c r="F1106" s="41"/>
      <c r="G1106" s="41"/>
      <c r="H1106" s="41"/>
      <c r="I1106" s="41"/>
      <c r="J1106" s="41"/>
      <c r="K1106" s="41"/>
      <c r="L1106" s="41"/>
    </row>
    <row r="1107" spans="5:12" s="39" customFormat="1" x14ac:dyDescent="0.3">
      <c r="E1107" s="41"/>
      <c r="F1107" s="41"/>
      <c r="G1107" s="41"/>
      <c r="H1107" s="41"/>
      <c r="I1107" s="41"/>
      <c r="J1107" s="41"/>
      <c r="K1107" s="41"/>
      <c r="L1107" s="41"/>
    </row>
    <row r="1108" spans="5:12" s="39" customFormat="1" x14ac:dyDescent="0.3">
      <c r="E1108" s="41"/>
      <c r="F1108" s="41"/>
      <c r="G1108" s="41"/>
      <c r="H1108" s="41"/>
      <c r="I1108" s="41"/>
      <c r="J1108" s="41"/>
      <c r="K1108" s="41"/>
      <c r="L1108" s="41"/>
    </row>
    <row r="1109" spans="5:12" s="39" customFormat="1" x14ac:dyDescent="0.3">
      <c r="E1109" s="41"/>
      <c r="F1109" s="41"/>
      <c r="G1109" s="41"/>
      <c r="H1109" s="41"/>
      <c r="I1109" s="41"/>
      <c r="J1109" s="41"/>
      <c r="K1109" s="41"/>
      <c r="L1109" s="41"/>
    </row>
    <row r="1110" spans="5:12" s="39" customFormat="1" x14ac:dyDescent="0.3">
      <c r="E1110" s="41"/>
      <c r="F1110" s="41"/>
      <c r="G1110" s="41"/>
      <c r="H1110" s="41"/>
      <c r="I1110" s="41"/>
      <c r="J1110" s="41"/>
      <c r="K1110" s="41"/>
      <c r="L1110" s="41"/>
    </row>
    <row r="1111" spans="5:12" s="39" customFormat="1" x14ac:dyDescent="0.3">
      <c r="E1111" s="41"/>
      <c r="F1111" s="41"/>
      <c r="G1111" s="41"/>
      <c r="H1111" s="41"/>
      <c r="I1111" s="41"/>
      <c r="J1111" s="41"/>
      <c r="K1111" s="41"/>
      <c r="L1111" s="41"/>
    </row>
    <row r="1112" spans="5:12" s="39" customFormat="1" x14ac:dyDescent="0.3">
      <c r="E1112" s="41"/>
      <c r="F1112" s="41"/>
      <c r="G1112" s="41"/>
      <c r="H1112" s="41"/>
      <c r="I1112" s="41"/>
      <c r="J1112" s="41"/>
      <c r="K1112" s="41"/>
      <c r="L1112" s="41"/>
    </row>
    <row r="1113" spans="5:12" s="39" customFormat="1" x14ac:dyDescent="0.3">
      <c r="E1113" s="41"/>
      <c r="F1113" s="41"/>
      <c r="G1113" s="41"/>
      <c r="H1113" s="41"/>
      <c r="I1113" s="41"/>
      <c r="J1113" s="41"/>
      <c r="K1113" s="41"/>
      <c r="L1113" s="41"/>
    </row>
    <row r="1114" spans="5:12" s="39" customFormat="1" x14ac:dyDescent="0.3">
      <c r="E1114" s="41"/>
      <c r="F1114" s="41"/>
      <c r="G1114" s="41"/>
      <c r="H1114" s="41"/>
      <c r="I1114" s="41"/>
      <c r="J1114" s="41"/>
      <c r="K1114" s="41"/>
      <c r="L1114" s="41"/>
    </row>
    <row r="1115" spans="5:12" s="39" customFormat="1" x14ac:dyDescent="0.3">
      <c r="E1115" s="41"/>
      <c r="F1115" s="41"/>
      <c r="G1115" s="41"/>
      <c r="H1115" s="41"/>
      <c r="I1115" s="41"/>
      <c r="J1115" s="41"/>
      <c r="K1115" s="41"/>
      <c r="L1115" s="41"/>
    </row>
    <row r="1116" spans="5:12" s="39" customFormat="1" x14ac:dyDescent="0.3">
      <c r="E1116" s="41"/>
      <c r="F1116" s="41"/>
      <c r="G1116" s="41"/>
      <c r="H1116" s="41"/>
      <c r="I1116" s="41"/>
      <c r="J1116" s="41"/>
      <c r="K1116" s="41"/>
      <c r="L1116" s="41"/>
    </row>
    <row r="1117" spans="5:12" s="39" customFormat="1" x14ac:dyDescent="0.3">
      <c r="E1117" s="41"/>
      <c r="F1117" s="41"/>
      <c r="G1117" s="41"/>
      <c r="H1117" s="41"/>
      <c r="I1117" s="41"/>
      <c r="J1117" s="41"/>
      <c r="K1117" s="41"/>
      <c r="L1117" s="41"/>
    </row>
    <row r="1118" spans="5:12" s="39" customFormat="1" x14ac:dyDescent="0.3">
      <c r="E1118" s="41"/>
      <c r="F1118" s="41"/>
      <c r="G1118" s="41"/>
      <c r="H1118" s="41"/>
      <c r="I1118" s="41"/>
      <c r="J1118" s="41"/>
      <c r="K1118" s="41"/>
      <c r="L1118" s="41"/>
    </row>
    <row r="1119" spans="5:12" s="39" customFormat="1" x14ac:dyDescent="0.3">
      <c r="E1119" s="41"/>
      <c r="F1119" s="41"/>
      <c r="G1119" s="41"/>
      <c r="H1119" s="41"/>
      <c r="I1119" s="41"/>
      <c r="J1119" s="41"/>
      <c r="K1119" s="41"/>
      <c r="L1119" s="41"/>
    </row>
    <row r="1120" spans="5:12" s="39" customFormat="1" x14ac:dyDescent="0.3">
      <c r="E1120" s="41"/>
      <c r="F1120" s="41"/>
      <c r="G1120" s="41"/>
      <c r="H1120" s="41"/>
      <c r="I1120" s="41"/>
      <c r="J1120" s="41"/>
      <c r="K1120" s="41"/>
      <c r="L1120" s="41"/>
    </row>
    <row r="1121" spans="5:12" s="39" customFormat="1" x14ac:dyDescent="0.3">
      <c r="E1121" s="41"/>
      <c r="F1121" s="41"/>
      <c r="G1121" s="41"/>
      <c r="H1121" s="41"/>
      <c r="I1121" s="41"/>
      <c r="J1121" s="41"/>
      <c r="K1121" s="41"/>
      <c r="L1121" s="41"/>
    </row>
    <row r="1122" spans="5:12" s="39" customFormat="1" x14ac:dyDescent="0.3">
      <c r="E1122" s="41"/>
      <c r="F1122" s="41"/>
      <c r="G1122" s="41"/>
      <c r="H1122" s="41"/>
      <c r="I1122" s="41"/>
      <c r="J1122" s="41"/>
      <c r="K1122" s="41"/>
      <c r="L1122" s="41"/>
    </row>
    <row r="1123" spans="5:12" s="39" customFormat="1" x14ac:dyDescent="0.3">
      <c r="E1123" s="41"/>
      <c r="F1123" s="41"/>
      <c r="G1123" s="41"/>
      <c r="H1123" s="41"/>
      <c r="I1123" s="41"/>
      <c r="J1123" s="41"/>
      <c r="K1123" s="41"/>
      <c r="L1123" s="41"/>
    </row>
    <row r="1124" spans="5:12" s="39" customFormat="1" x14ac:dyDescent="0.3">
      <c r="E1124" s="41"/>
      <c r="F1124" s="41"/>
      <c r="G1124" s="41"/>
      <c r="H1124" s="41"/>
      <c r="I1124" s="41"/>
      <c r="J1124" s="41"/>
      <c r="K1124" s="41"/>
      <c r="L1124" s="41"/>
    </row>
    <row r="1125" spans="5:12" s="39" customFormat="1" x14ac:dyDescent="0.3">
      <c r="E1125" s="41"/>
      <c r="F1125" s="41"/>
      <c r="G1125" s="41"/>
      <c r="H1125" s="41"/>
      <c r="I1125" s="41"/>
      <c r="J1125" s="41"/>
      <c r="K1125" s="41"/>
      <c r="L1125" s="41"/>
    </row>
    <row r="1126" spans="5:12" s="39" customFormat="1" x14ac:dyDescent="0.3">
      <c r="E1126" s="41"/>
      <c r="F1126" s="41"/>
      <c r="G1126" s="41"/>
      <c r="H1126" s="41"/>
      <c r="I1126" s="41"/>
      <c r="J1126" s="41"/>
      <c r="K1126" s="41"/>
      <c r="L1126" s="41"/>
    </row>
    <row r="1127" spans="5:12" s="39" customFormat="1" x14ac:dyDescent="0.3">
      <c r="E1127" s="41"/>
      <c r="F1127" s="41"/>
      <c r="G1127" s="41"/>
      <c r="H1127" s="41"/>
      <c r="I1127" s="41"/>
      <c r="J1127" s="41"/>
      <c r="K1127" s="41"/>
      <c r="L1127" s="41"/>
    </row>
    <row r="1128" spans="5:12" s="39" customFormat="1" x14ac:dyDescent="0.3">
      <c r="E1128" s="41"/>
      <c r="F1128" s="41"/>
      <c r="G1128" s="41"/>
      <c r="H1128" s="41"/>
      <c r="I1128" s="41"/>
      <c r="J1128" s="41"/>
      <c r="K1128" s="41"/>
      <c r="L1128" s="41"/>
    </row>
    <row r="1129" spans="5:12" s="39" customFormat="1" x14ac:dyDescent="0.3">
      <c r="E1129" s="41"/>
      <c r="F1129" s="41"/>
      <c r="G1129" s="41"/>
      <c r="H1129" s="41"/>
      <c r="I1129" s="41"/>
      <c r="J1129" s="41"/>
      <c r="K1129" s="41"/>
      <c r="L1129" s="41"/>
    </row>
    <row r="1130" spans="5:12" s="39" customFormat="1" x14ac:dyDescent="0.3">
      <c r="E1130" s="41"/>
      <c r="F1130" s="41"/>
      <c r="G1130" s="41"/>
      <c r="H1130" s="41"/>
      <c r="I1130" s="41"/>
      <c r="J1130" s="41"/>
      <c r="K1130" s="41"/>
      <c r="L1130" s="41"/>
    </row>
    <row r="1131" spans="5:12" s="39" customFormat="1" x14ac:dyDescent="0.3">
      <c r="E1131" s="41"/>
      <c r="F1131" s="41"/>
      <c r="G1131" s="41"/>
      <c r="H1131" s="41"/>
      <c r="I1131" s="41"/>
      <c r="J1131" s="41"/>
      <c r="K1131" s="41"/>
      <c r="L1131" s="41"/>
    </row>
    <row r="1132" spans="5:12" s="39" customFormat="1" x14ac:dyDescent="0.3">
      <c r="E1132" s="41"/>
      <c r="F1132" s="41"/>
      <c r="G1132" s="41"/>
      <c r="H1132" s="41"/>
      <c r="I1132" s="41"/>
      <c r="J1132" s="41"/>
      <c r="K1132" s="41"/>
      <c r="L1132" s="41"/>
    </row>
    <row r="1133" spans="5:12" s="39" customFormat="1" x14ac:dyDescent="0.3">
      <c r="E1133" s="41"/>
      <c r="F1133" s="41"/>
      <c r="G1133" s="41"/>
      <c r="H1133" s="41"/>
      <c r="I1133" s="41"/>
      <c r="J1133" s="41"/>
      <c r="K1133" s="41"/>
      <c r="L1133" s="41"/>
    </row>
    <row r="1134" spans="5:12" s="39" customFormat="1" x14ac:dyDescent="0.3">
      <c r="E1134" s="41"/>
      <c r="F1134" s="41"/>
      <c r="G1134" s="41"/>
      <c r="H1134" s="41"/>
      <c r="I1134" s="41"/>
      <c r="J1134" s="41"/>
      <c r="K1134" s="41"/>
      <c r="L1134" s="41"/>
    </row>
    <row r="1135" spans="5:12" s="39" customFormat="1" x14ac:dyDescent="0.3">
      <c r="E1135" s="41"/>
      <c r="F1135" s="41"/>
      <c r="G1135" s="41"/>
      <c r="H1135" s="41"/>
      <c r="I1135" s="41"/>
      <c r="J1135" s="41"/>
      <c r="K1135" s="41"/>
      <c r="L1135" s="41"/>
    </row>
    <row r="1136" spans="5:12" s="39" customFormat="1" x14ac:dyDescent="0.3">
      <c r="E1136" s="41"/>
      <c r="F1136" s="41"/>
      <c r="G1136" s="41"/>
      <c r="H1136" s="41"/>
      <c r="I1136" s="41"/>
      <c r="J1136" s="41"/>
      <c r="K1136" s="41"/>
      <c r="L1136" s="41"/>
    </row>
    <row r="1137" spans="5:12" s="39" customFormat="1" x14ac:dyDescent="0.3">
      <c r="E1137" s="41"/>
      <c r="F1137" s="41"/>
      <c r="G1137" s="41"/>
      <c r="H1137" s="41"/>
      <c r="I1137" s="41"/>
      <c r="J1137" s="41"/>
      <c r="K1137" s="41"/>
      <c r="L1137" s="41"/>
    </row>
    <row r="1138" spans="5:12" s="39" customFormat="1" x14ac:dyDescent="0.3">
      <c r="E1138" s="41"/>
      <c r="F1138" s="41"/>
      <c r="G1138" s="41"/>
      <c r="H1138" s="41"/>
      <c r="I1138" s="41"/>
      <c r="J1138" s="41"/>
      <c r="K1138" s="41"/>
      <c r="L1138" s="41"/>
    </row>
    <row r="1139" spans="5:12" s="39" customFormat="1" x14ac:dyDescent="0.3">
      <c r="E1139" s="41"/>
      <c r="F1139" s="41"/>
      <c r="G1139" s="41"/>
      <c r="H1139" s="41"/>
      <c r="I1139" s="41"/>
      <c r="J1139" s="41"/>
      <c r="K1139" s="41"/>
      <c r="L1139" s="41"/>
    </row>
    <row r="1140" spans="5:12" s="39" customFormat="1" x14ac:dyDescent="0.3">
      <c r="E1140" s="41"/>
      <c r="F1140" s="41"/>
      <c r="G1140" s="41"/>
      <c r="H1140" s="41"/>
      <c r="I1140" s="41"/>
      <c r="J1140" s="41"/>
      <c r="K1140" s="41"/>
      <c r="L1140" s="41"/>
    </row>
    <row r="1141" spans="5:12" s="39" customFormat="1" x14ac:dyDescent="0.3">
      <c r="E1141" s="41"/>
      <c r="F1141" s="41"/>
      <c r="G1141" s="41"/>
      <c r="H1141" s="41"/>
      <c r="I1141" s="41"/>
      <c r="J1141" s="41"/>
      <c r="K1141" s="41"/>
      <c r="L1141" s="41"/>
    </row>
    <row r="1142" spans="5:12" s="39" customFormat="1" x14ac:dyDescent="0.3">
      <c r="E1142" s="41"/>
      <c r="F1142" s="41"/>
      <c r="G1142" s="41"/>
      <c r="H1142" s="41"/>
      <c r="I1142" s="41"/>
      <c r="J1142" s="41"/>
      <c r="K1142" s="41"/>
      <c r="L1142" s="41"/>
    </row>
    <row r="1143" spans="5:12" s="39" customFormat="1" x14ac:dyDescent="0.3">
      <c r="E1143" s="41"/>
      <c r="F1143" s="41"/>
      <c r="G1143" s="41"/>
      <c r="H1143" s="41"/>
      <c r="I1143" s="41"/>
      <c r="J1143" s="41"/>
      <c r="K1143" s="41"/>
      <c r="L1143" s="41"/>
    </row>
    <row r="1144" spans="5:12" s="39" customFormat="1" x14ac:dyDescent="0.3">
      <c r="E1144" s="41"/>
      <c r="F1144" s="41"/>
      <c r="G1144" s="41"/>
      <c r="H1144" s="41"/>
      <c r="I1144" s="41"/>
      <c r="J1144" s="41"/>
      <c r="K1144" s="41"/>
      <c r="L1144" s="41"/>
    </row>
    <row r="1145" spans="5:12" s="39" customFormat="1" x14ac:dyDescent="0.3">
      <c r="E1145" s="41"/>
      <c r="F1145" s="41"/>
      <c r="G1145" s="41"/>
      <c r="H1145" s="41"/>
      <c r="I1145" s="41"/>
      <c r="J1145" s="41"/>
      <c r="K1145" s="41"/>
      <c r="L1145" s="41"/>
    </row>
    <row r="1146" spans="5:12" s="39" customFormat="1" x14ac:dyDescent="0.3">
      <c r="E1146" s="41"/>
      <c r="F1146" s="41"/>
      <c r="G1146" s="41"/>
      <c r="H1146" s="41"/>
      <c r="I1146" s="41"/>
      <c r="J1146" s="41"/>
      <c r="K1146" s="41"/>
      <c r="L1146" s="41"/>
    </row>
    <row r="1147" spans="5:12" s="39" customFormat="1" x14ac:dyDescent="0.3">
      <c r="E1147" s="41"/>
      <c r="F1147" s="41"/>
      <c r="G1147" s="41"/>
      <c r="H1147" s="41"/>
      <c r="I1147" s="41"/>
      <c r="J1147" s="41"/>
      <c r="K1147" s="41"/>
      <c r="L1147" s="41"/>
    </row>
    <row r="1148" spans="5:12" s="39" customFormat="1" x14ac:dyDescent="0.3">
      <c r="E1148" s="41"/>
      <c r="F1148" s="41"/>
      <c r="G1148" s="41"/>
      <c r="H1148" s="41"/>
      <c r="I1148" s="41"/>
      <c r="J1148" s="41"/>
      <c r="K1148" s="41"/>
      <c r="L1148" s="41"/>
    </row>
    <row r="1149" spans="5:12" s="39" customFormat="1" x14ac:dyDescent="0.3">
      <c r="E1149" s="41"/>
      <c r="F1149" s="41"/>
      <c r="G1149" s="41"/>
      <c r="H1149" s="41"/>
      <c r="I1149" s="41"/>
      <c r="J1149" s="41"/>
      <c r="K1149" s="41"/>
      <c r="L1149" s="41"/>
    </row>
    <row r="1150" spans="5:12" s="39" customFormat="1" x14ac:dyDescent="0.3">
      <c r="E1150" s="41"/>
      <c r="F1150" s="41"/>
      <c r="G1150" s="41"/>
      <c r="H1150" s="41"/>
      <c r="I1150" s="41"/>
      <c r="J1150" s="41"/>
      <c r="K1150" s="41"/>
      <c r="L1150" s="41"/>
    </row>
    <row r="1151" spans="5:12" s="39" customFormat="1" x14ac:dyDescent="0.3">
      <c r="E1151" s="41"/>
      <c r="F1151" s="41"/>
      <c r="G1151" s="41"/>
      <c r="H1151" s="41"/>
      <c r="I1151" s="41"/>
      <c r="J1151" s="41"/>
      <c r="K1151" s="41"/>
      <c r="L1151" s="41"/>
    </row>
    <row r="1152" spans="5:12" s="39" customFormat="1" x14ac:dyDescent="0.3">
      <c r="E1152" s="41"/>
      <c r="F1152" s="41"/>
      <c r="G1152" s="41"/>
      <c r="H1152" s="41"/>
      <c r="I1152" s="41"/>
      <c r="J1152" s="41"/>
      <c r="K1152" s="41"/>
      <c r="L1152" s="41"/>
    </row>
    <row r="1153" spans="5:12" s="39" customFormat="1" x14ac:dyDescent="0.3">
      <c r="E1153" s="41"/>
      <c r="F1153" s="41"/>
      <c r="G1153" s="41"/>
      <c r="H1153" s="41"/>
      <c r="I1153" s="41"/>
      <c r="J1153" s="41"/>
      <c r="K1153" s="41"/>
      <c r="L1153" s="41"/>
    </row>
    <row r="1154" spans="5:12" s="39" customFormat="1" x14ac:dyDescent="0.3">
      <c r="E1154" s="41"/>
      <c r="F1154" s="41"/>
      <c r="G1154" s="41"/>
      <c r="H1154" s="41"/>
      <c r="I1154" s="41"/>
      <c r="J1154" s="41"/>
      <c r="K1154" s="41"/>
      <c r="L1154" s="41"/>
    </row>
    <row r="1155" spans="5:12" s="39" customFormat="1" x14ac:dyDescent="0.3">
      <c r="E1155" s="41"/>
      <c r="F1155" s="41"/>
      <c r="G1155" s="41"/>
      <c r="H1155" s="41"/>
      <c r="I1155" s="41"/>
      <c r="J1155" s="41"/>
      <c r="K1155" s="41"/>
      <c r="L1155" s="41"/>
    </row>
    <row r="1156" spans="5:12" s="39" customFormat="1" x14ac:dyDescent="0.3">
      <c r="E1156" s="41"/>
      <c r="F1156" s="41"/>
      <c r="G1156" s="41"/>
      <c r="H1156" s="41"/>
      <c r="I1156" s="41"/>
      <c r="J1156" s="41"/>
      <c r="K1156" s="41"/>
      <c r="L1156" s="41"/>
    </row>
    <row r="1157" spans="5:12" s="39" customFormat="1" x14ac:dyDescent="0.3">
      <c r="E1157" s="41"/>
      <c r="F1157" s="41"/>
      <c r="G1157" s="41"/>
      <c r="H1157" s="41"/>
      <c r="I1157" s="41"/>
      <c r="J1157" s="41"/>
      <c r="K1157" s="41"/>
      <c r="L1157" s="41"/>
    </row>
    <row r="1158" spans="5:12" s="39" customFormat="1" x14ac:dyDescent="0.3">
      <c r="E1158" s="41"/>
      <c r="F1158" s="41"/>
      <c r="G1158" s="41"/>
      <c r="H1158" s="41"/>
      <c r="I1158" s="41"/>
      <c r="J1158" s="41"/>
      <c r="K1158" s="41"/>
      <c r="L1158" s="41"/>
    </row>
    <row r="1159" spans="5:12" s="39" customFormat="1" x14ac:dyDescent="0.3">
      <c r="E1159" s="41"/>
      <c r="F1159" s="41"/>
      <c r="G1159" s="41"/>
      <c r="H1159" s="41"/>
      <c r="I1159" s="41"/>
      <c r="J1159" s="41"/>
      <c r="K1159" s="41"/>
      <c r="L1159" s="41"/>
    </row>
    <row r="1160" spans="5:12" s="39" customFormat="1" x14ac:dyDescent="0.3">
      <c r="E1160" s="41"/>
      <c r="F1160" s="41"/>
      <c r="G1160" s="41"/>
      <c r="H1160" s="41"/>
      <c r="I1160" s="41"/>
      <c r="J1160" s="41"/>
      <c r="K1160" s="41"/>
      <c r="L1160" s="41"/>
    </row>
    <row r="1161" spans="5:12" s="39" customFormat="1" x14ac:dyDescent="0.3">
      <c r="E1161" s="41"/>
      <c r="F1161" s="41"/>
      <c r="G1161" s="41"/>
      <c r="H1161" s="41"/>
      <c r="I1161" s="41"/>
      <c r="J1161" s="41"/>
      <c r="K1161" s="41"/>
      <c r="L1161" s="41"/>
    </row>
    <row r="1162" spans="5:12" s="39" customFormat="1" x14ac:dyDescent="0.3">
      <c r="E1162" s="41"/>
      <c r="F1162" s="41"/>
      <c r="G1162" s="41"/>
      <c r="H1162" s="41"/>
      <c r="I1162" s="41"/>
      <c r="J1162" s="41"/>
      <c r="K1162" s="41"/>
      <c r="L1162" s="41"/>
    </row>
    <row r="1163" spans="5:12" s="39" customFormat="1" x14ac:dyDescent="0.3">
      <c r="E1163" s="41"/>
      <c r="F1163" s="41"/>
      <c r="G1163" s="41"/>
      <c r="H1163" s="41"/>
      <c r="I1163" s="41"/>
      <c r="J1163" s="41"/>
      <c r="K1163" s="41"/>
      <c r="L1163" s="41"/>
    </row>
    <row r="1164" spans="5:12" s="39" customFormat="1" x14ac:dyDescent="0.3">
      <c r="E1164" s="41"/>
      <c r="F1164" s="41"/>
      <c r="G1164" s="41"/>
      <c r="H1164" s="41"/>
      <c r="I1164" s="41"/>
      <c r="J1164" s="41"/>
      <c r="K1164" s="41"/>
      <c r="L1164" s="41"/>
    </row>
    <row r="1165" spans="5:12" s="39" customFormat="1" x14ac:dyDescent="0.3">
      <c r="E1165" s="41"/>
      <c r="F1165" s="41"/>
      <c r="G1165" s="41"/>
      <c r="H1165" s="41"/>
      <c r="I1165" s="41"/>
      <c r="J1165" s="41"/>
      <c r="K1165" s="41"/>
      <c r="L1165" s="41"/>
    </row>
    <row r="1166" spans="5:12" s="39" customFormat="1" x14ac:dyDescent="0.3">
      <c r="E1166" s="41"/>
      <c r="F1166" s="41"/>
      <c r="G1166" s="41"/>
      <c r="H1166" s="41"/>
      <c r="I1166" s="41"/>
      <c r="J1166" s="41"/>
      <c r="K1166" s="41"/>
      <c r="L1166" s="41"/>
    </row>
    <row r="1167" spans="5:12" s="39" customFormat="1" x14ac:dyDescent="0.3">
      <c r="E1167" s="41"/>
      <c r="F1167" s="41"/>
      <c r="G1167" s="41"/>
      <c r="H1167" s="41"/>
      <c r="I1167" s="41"/>
      <c r="J1167" s="41"/>
      <c r="K1167" s="41"/>
      <c r="L1167" s="41"/>
    </row>
    <row r="1168" spans="5:12" s="39" customFormat="1" x14ac:dyDescent="0.3">
      <c r="E1168" s="41"/>
      <c r="F1168" s="41"/>
      <c r="G1168" s="41"/>
      <c r="H1168" s="41"/>
      <c r="I1168" s="41"/>
      <c r="J1168" s="41"/>
      <c r="K1168" s="41"/>
      <c r="L1168" s="41"/>
    </row>
    <row r="1169" spans="5:12" s="39" customFormat="1" x14ac:dyDescent="0.3">
      <c r="E1169" s="41"/>
      <c r="F1169" s="41"/>
      <c r="G1169" s="41"/>
      <c r="H1169" s="41"/>
      <c r="I1169" s="41"/>
      <c r="J1169" s="41"/>
      <c r="K1169" s="41"/>
      <c r="L1169" s="41"/>
    </row>
    <row r="1170" spans="5:12" s="39" customFormat="1" x14ac:dyDescent="0.3">
      <c r="E1170" s="41"/>
      <c r="F1170" s="41"/>
      <c r="G1170" s="41"/>
      <c r="H1170" s="41"/>
      <c r="I1170" s="41"/>
      <c r="J1170" s="41"/>
      <c r="K1170" s="41"/>
      <c r="L1170" s="41"/>
    </row>
    <row r="1171" spans="5:12" s="39" customFormat="1" x14ac:dyDescent="0.3">
      <c r="E1171" s="41"/>
      <c r="F1171" s="41"/>
      <c r="G1171" s="41"/>
      <c r="H1171" s="41"/>
      <c r="I1171" s="41"/>
      <c r="J1171" s="41"/>
      <c r="K1171" s="41"/>
      <c r="L1171" s="41"/>
    </row>
    <row r="1172" spans="5:12" s="39" customFormat="1" x14ac:dyDescent="0.3">
      <c r="E1172" s="41"/>
      <c r="F1172" s="41"/>
      <c r="G1172" s="41"/>
      <c r="H1172" s="41"/>
      <c r="I1172" s="41"/>
      <c r="J1172" s="41"/>
      <c r="K1172" s="41"/>
      <c r="L1172" s="41"/>
    </row>
    <row r="1173" spans="5:12" s="39" customFormat="1" x14ac:dyDescent="0.3">
      <c r="E1173" s="41"/>
      <c r="F1173" s="41"/>
      <c r="G1173" s="41"/>
      <c r="H1173" s="41"/>
      <c r="I1173" s="41"/>
      <c r="J1173" s="41"/>
      <c r="K1173" s="41"/>
      <c r="L1173" s="41"/>
    </row>
    <row r="1174" spans="5:12" s="39" customFormat="1" x14ac:dyDescent="0.3">
      <c r="E1174" s="41"/>
      <c r="F1174" s="41"/>
      <c r="G1174" s="41"/>
      <c r="H1174" s="41"/>
      <c r="I1174" s="41"/>
      <c r="J1174" s="41"/>
      <c r="K1174" s="41"/>
      <c r="L1174" s="41"/>
    </row>
    <row r="1175" spans="5:12" s="39" customFormat="1" x14ac:dyDescent="0.3">
      <c r="E1175" s="41"/>
      <c r="F1175" s="41"/>
      <c r="G1175" s="41"/>
      <c r="H1175" s="41"/>
      <c r="I1175" s="41"/>
      <c r="J1175" s="41"/>
      <c r="K1175" s="41"/>
      <c r="L1175" s="41"/>
    </row>
    <row r="1176" spans="5:12" s="39" customFormat="1" x14ac:dyDescent="0.3">
      <c r="E1176" s="41"/>
      <c r="F1176" s="41"/>
      <c r="G1176" s="41"/>
      <c r="H1176" s="41"/>
      <c r="I1176" s="41"/>
      <c r="J1176" s="41"/>
      <c r="K1176" s="41"/>
      <c r="L1176" s="41"/>
    </row>
    <row r="1177" spans="5:12" s="39" customFormat="1" x14ac:dyDescent="0.3">
      <c r="E1177" s="41"/>
      <c r="F1177" s="41"/>
      <c r="G1177" s="41"/>
      <c r="H1177" s="41"/>
      <c r="I1177" s="41"/>
      <c r="J1177" s="41"/>
      <c r="K1177" s="41"/>
      <c r="L1177" s="41"/>
    </row>
    <row r="1178" spans="5:12" s="39" customFormat="1" x14ac:dyDescent="0.3">
      <c r="E1178" s="41"/>
      <c r="F1178" s="41"/>
      <c r="G1178" s="41"/>
      <c r="H1178" s="41"/>
      <c r="I1178" s="41"/>
      <c r="J1178" s="41"/>
      <c r="K1178" s="41"/>
      <c r="L1178" s="41"/>
    </row>
    <row r="1179" spans="5:12" s="39" customFormat="1" x14ac:dyDescent="0.3">
      <c r="E1179" s="41"/>
      <c r="F1179" s="41"/>
      <c r="G1179" s="41"/>
      <c r="H1179" s="41"/>
      <c r="I1179" s="41"/>
      <c r="J1179" s="41"/>
      <c r="K1179" s="41"/>
      <c r="L1179" s="41"/>
    </row>
    <row r="1180" spans="5:12" s="39" customFormat="1" x14ac:dyDescent="0.3">
      <c r="E1180" s="41"/>
      <c r="F1180" s="41"/>
      <c r="G1180" s="41"/>
      <c r="H1180" s="41"/>
      <c r="I1180" s="41"/>
      <c r="J1180" s="41"/>
      <c r="K1180" s="41"/>
      <c r="L1180" s="41"/>
    </row>
    <row r="1181" spans="5:12" s="39" customFormat="1" x14ac:dyDescent="0.3">
      <c r="E1181" s="41"/>
      <c r="F1181" s="41"/>
      <c r="G1181" s="41"/>
      <c r="H1181" s="41"/>
      <c r="I1181" s="41"/>
      <c r="J1181" s="41"/>
      <c r="K1181" s="41"/>
      <c r="L1181" s="41"/>
    </row>
    <row r="1182" spans="5:12" s="39" customFormat="1" x14ac:dyDescent="0.3">
      <c r="E1182" s="41"/>
      <c r="F1182" s="41"/>
      <c r="G1182" s="41"/>
      <c r="H1182" s="41"/>
      <c r="I1182" s="41"/>
      <c r="J1182" s="41"/>
      <c r="K1182" s="41"/>
      <c r="L1182" s="41"/>
    </row>
    <row r="1183" spans="5:12" s="39" customFormat="1" x14ac:dyDescent="0.3">
      <c r="E1183" s="41"/>
      <c r="F1183" s="41"/>
      <c r="G1183" s="41"/>
      <c r="H1183" s="41"/>
      <c r="I1183" s="41"/>
      <c r="J1183" s="41"/>
      <c r="K1183" s="41"/>
      <c r="L1183" s="41"/>
    </row>
    <row r="1184" spans="5:12" s="39" customFormat="1" x14ac:dyDescent="0.3">
      <c r="E1184" s="41"/>
      <c r="F1184" s="41"/>
      <c r="G1184" s="41"/>
      <c r="H1184" s="41"/>
      <c r="I1184" s="41"/>
      <c r="J1184" s="41"/>
      <c r="K1184" s="41"/>
      <c r="L1184" s="41"/>
    </row>
    <row r="1185" spans="5:12" s="39" customFormat="1" x14ac:dyDescent="0.3">
      <c r="E1185" s="41"/>
      <c r="F1185" s="41"/>
      <c r="G1185" s="41"/>
      <c r="H1185" s="41"/>
      <c r="I1185" s="41"/>
      <c r="J1185" s="41"/>
      <c r="K1185" s="41"/>
      <c r="L1185" s="41"/>
    </row>
    <row r="1186" spans="5:12" s="39" customFormat="1" x14ac:dyDescent="0.3">
      <c r="E1186" s="41"/>
      <c r="F1186" s="41"/>
      <c r="G1186" s="41"/>
      <c r="H1186" s="41"/>
      <c r="I1186" s="41"/>
      <c r="J1186" s="41"/>
      <c r="K1186" s="41"/>
      <c r="L1186" s="41"/>
    </row>
    <row r="1187" spans="5:12" s="39" customFormat="1" x14ac:dyDescent="0.3">
      <c r="E1187" s="41"/>
      <c r="F1187" s="41"/>
      <c r="G1187" s="41"/>
      <c r="H1187" s="41"/>
      <c r="I1187" s="41"/>
      <c r="J1187" s="41"/>
      <c r="K1187" s="41"/>
      <c r="L1187" s="41"/>
    </row>
    <row r="1188" spans="5:12" s="39" customFormat="1" x14ac:dyDescent="0.3">
      <c r="E1188" s="41"/>
      <c r="F1188" s="41"/>
      <c r="G1188" s="41"/>
      <c r="H1188" s="41"/>
      <c r="I1188" s="41"/>
      <c r="J1188" s="41"/>
      <c r="K1188" s="41"/>
      <c r="L1188" s="41"/>
    </row>
    <row r="1189" spans="5:12" s="39" customFormat="1" x14ac:dyDescent="0.3">
      <c r="E1189" s="41"/>
      <c r="F1189" s="41"/>
      <c r="G1189" s="41"/>
      <c r="H1189" s="41"/>
      <c r="I1189" s="41"/>
      <c r="J1189" s="41"/>
      <c r="K1189" s="41"/>
      <c r="L1189" s="41"/>
    </row>
    <row r="1190" spans="5:12" s="39" customFormat="1" x14ac:dyDescent="0.3">
      <c r="E1190" s="41"/>
      <c r="F1190" s="41"/>
      <c r="G1190" s="41"/>
      <c r="H1190" s="41"/>
      <c r="I1190" s="41"/>
      <c r="J1190" s="41"/>
      <c r="K1190" s="41"/>
      <c r="L1190" s="41"/>
    </row>
    <row r="1191" spans="5:12" s="39" customFormat="1" x14ac:dyDescent="0.3">
      <c r="E1191" s="41"/>
      <c r="F1191" s="41"/>
      <c r="G1191" s="41"/>
      <c r="H1191" s="41"/>
      <c r="I1191" s="41"/>
      <c r="J1191" s="41"/>
      <c r="K1191" s="41"/>
      <c r="L1191" s="41"/>
    </row>
    <row r="1192" spans="5:12" s="39" customFormat="1" x14ac:dyDescent="0.3">
      <c r="E1192" s="41"/>
      <c r="F1192" s="41"/>
      <c r="G1192" s="41"/>
      <c r="H1192" s="41"/>
      <c r="I1192" s="41"/>
      <c r="J1192" s="41"/>
      <c r="K1192" s="41"/>
      <c r="L1192" s="41"/>
    </row>
    <row r="1193" spans="5:12" s="39" customFormat="1" x14ac:dyDescent="0.3">
      <c r="E1193" s="41"/>
      <c r="F1193" s="41"/>
      <c r="G1193" s="41"/>
      <c r="H1193" s="41"/>
      <c r="I1193" s="41"/>
      <c r="J1193" s="41"/>
      <c r="K1193" s="41"/>
      <c r="L1193" s="41"/>
    </row>
    <row r="1194" spans="5:12" s="39" customFormat="1" x14ac:dyDescent="0.3">
      <c r="E1194" s="41"/>
      <c r="F1194" s="41"/>
      <c r="G1194" s="41"/>
      <c r="H1194" s="41"/>
      <c r="I1194" s="41"/>
      <c r="J1194" s="41"/>
      <c r="K1194" s="41"/>
      <c r="L1194" s="41"/>
    </row>
    <row r="1195" spans="5:12" s="39" customFormat="1" x14ac:dyDescent="0.3">
      <c r="E1195" s="41"/>
      <c r="F1195" s="41"/>
      <c r="G1195" s="41"/>
      <c r="H1195" s="41"/>
      <c r="I1195" s="41"/>
      <c r="J1195" s="41"/>
      <c r="K1195" s="41"/>
      <c r="L1195" s="41"/>
    </row>
    <row r="1196" spans="5:12" s="39" customFormat="1" x14ac:dyDescent="0.3">
      <c r="E1196" s="41"/>
      <c r="F1196" s="41"/>
      <c r="G1196" s="41"/>
      <c r="H1196" s="41"/>
      <c r="I1196" s="41"/>
      <c r="J1196" s="41"/>
      <c r="K1196" s="41"/>
      <c r="L1196" s="41"/>
    </row>
    <row r="1197" spans="5:12" s="39" customFormat="1" x14ac:dyDescent="0.3">
      <c r="E1197" s="41"/>
      <c r="F1197" s="41"/>
      <c r="G1197" s="41"/>
      <c r="H1197" s="41"/>
      <c r="I1197" s="41"/>
      <c r="J1197" s="41"/>
      <c r="K1197" s="41"/>
      <c r="L1197" s="41"/>
    </row>
    <row r="1198" spans="5:12" s="39" customFormat="1" x14ac:dyDescent="0.3">
      <c r="E1198" s="41"/>
      <c r="F1198" s="41"/>
      <c r="G1198" s="41"/>
      <c r="H1198" s="41"/>
      <c r="I1198" s="41"/>
      <c r="J1198" s="41"/>
      <c r="K1198" s="41"/>
      <c r="L1198" s="41"/>
    </row>
    <row r="1199" spans="5:12" s="39" customFormat="1" x14ac:dyDescent="0.3">
      <c r="E1199" s="41"/>
      <c r="F1199" s="41"/>
      <c r="G1199" s="41"/>
      <c r="H1199" s="41"/>
      <c r="I1199" s="41"/>
      <c r="J1199" s="41"/>
      <c r="K1199" s="41"/>
      <c r="L1199" s="41"/>
    </row>
    <row r="1200" spans="5:12" s="39" customFormat="1" x14ac:dyDescent="0.3">
      <c r="E1200" s="41"/>
      <c r="F1200" s="41"/>
      <c r="G1200" s="41"/>
      <c r="H1200" s="41"/>
      <c r="I1200" s="41"/>
      <c r="J1200" s="41"/>
      <c r="K1200" s="41"/>
      <c r="L1200" s="41"/>
    </row>
    <row r="1201" spans="5:12" s="39" customFormat="1" x14ac:dyDescent="0.3">
      <c r="E1201" s="41"/>
      <c r="F1201" s="41"/>
      <c r="G1201" s="41"/>
      <c r="H1201" s="41"/>
      <c r="I1201" s="41"/>
      <c r="J1201" s="41"/>
      <c r="K1201" s="41"/>
      <c r="L1201" s="41"/>
    </row>
    <row r="1202" spans="5:12" s="39" customFormat="1" x14ac:dyDescent="0.3">
      <c r="E1202" s="41"/>
      <c r="F1202" s="41"/>
      <c r="G1202" s="41"/>
      <c r="H1202" s="41"/>
      <c r="I1202" s="41"/>
      <c r="J1202" s="41"/>
      <c r="K1202" s="41"/>
      <c r="L1202" s="41"/>
    </row>
    <row r="1203" spans="5:12" s="39" customFormat="1" x14ac:dyDescent="0.3">
      <c r="E1203" s="41"/>
      <c r="F1203" s="41"/>
      <c r="G1203" s="41"/>
      <c r="H1203" s="41"/>
      <c r="I1203" s="41"/>
      <c r="J1203" s="41"/>
      <c r="K1203" s="41"/>
      <c r="L1203" s="41"/>
    </row>
    <row r="1204" spans="5:12" s="39" customFormat="1" x14ac:dyDescent="0.3">
      <c r="E1204" s="41"/>
      <c r="F1204" s="41"/>
      <c r="G1204" s="41"/>
      <c r="H1204" s="41"/>
      <c r="I1204" s="41"/>
      <c r="J1204" s="41"/>
      <c r="K1204" s="41"/>
      <c r="L1204" s="41"/>
    </row>
    <row r="1205" spans="5:12" s="39" customFormat="1" x14ac:dyDescent="0.3">
      <c r="E1205" s="41"/>
      <c r="F1205" s="41"/>
      <c r="G1205" s="41"/>
      <c r="H1205" s="41"/>
      <c r="I1205" s="41"/>
      <c r="J1205" s="41"/>
      <c r="K1205" s="41"/>
      <c r="L1205" s="41"/>
    </row>
    <row r="1206" spans="5:12" s="39" customFormat="1" x14ac:dyDescent="0.3">
      <c r="E1206" s="41"/>
      <c r="F1206" s="41"/>
      <c r="G1206" s="41"/>
      <c r="H1206" s="41"/>
      <c r="I1206" s="41"/>
      <c r="J1206" s="41"/>
      <c r="K1206" s="41"/>
      <c r="L1206" s="41"/>
    </row>
    <row r="1207" spans="5:12" s="39" customFormat="1" x14ac:dyDescent="0.3">
      <c r="E1207" s="41"/>
      <c r="F1207" s="41"/>
      <c r="G1207" s="41"/>
      <c r="H1207" s="41"/>
      <c r="I1207" s="41"/>
      <c r="J1207" s="41"/>
      <c r="K1207" s="41"/>
      <c r="L1207" s="41"/>
    </row>
    <row r="1208" spans="5:12" s="39" customFormat="1" x14ac:dyDescent="0.3">
      <c r="E1208" s="41"/>
      <c r="F1208" s="41"/>
      <c r="G1208" s="41"/>
      <c r="H1208" s="41"/>
      <c r="I1208" s="41"/>
      <c r="J1208" s="41"/>
      <c r="K1208" s="41"/>
      <c r="L1208" s="41"/>
    </row>
    <row r="1209" spans="5:12" s="39" customFormat="1" x14ac:dyDescent="0.3">
      <c r="E1209" s="41"/>
      <c r="F1209" s="41"/>
      <c r="G1209" s="41"/>
      <c r="H1209" s="41"/>
      <c r="I1209" s="41"/>
      <c r="J1209" s="41"/>
      <c r="K1209" s="41"/>
      <c r="L1209" s="41"/>
    </row>
    <row r="1210" spans="5:12" s="39" customFormat="1" x14ac:dyDescent="0.3">
      <c r="E1210" s="41"/>
      <c r="F1210" s="41"/>
      <c r="G1210" s="41"/>
      <c r="H1210" s="41"/>
      <c r="I1210" s="41"/>
      <c r="J1210" s="41"/>
      <c r="K1210" s="41"/>
      <c r="L1210" s="41"/>
    </row>
    <row r="1211" spans="5:12" s="39" customFormat="1" x14ac:dyDescent="0.3">
      <c r="E1211" s="41"/>
      <c r="F1211" s="41"/>
      <c r="G1211" s="41"/>
      <c r="H1211" s="41"/>
      <c r="I1211" s="41"/>
      <c r="J1211" s="41"/>
      <c r="K1211" s="41"/>
      <c r="L1211" s="41"/>
    </row>
    <row r="1212" spans="5:12" s="39" customFormat="1" x14ac:dyDescent="0.3">
      <c r="E1212" s="41"/>
      <c r="F1212" s="41"/>
      <c r="G1212" s="41"/>
      <c r="H1212" s="41"/>
      <c r="I1212" s="41"/>
      <c r="J1212" s="41"/>
      <c r="K1212" s="41"/>
      <c r="L1212" s="41"/>
    </row>
    <row r="1213" spans="5:12" s="39" customFormat="1" x14ac:dyDescent="0.3">
      <c r="E1213" s="41"/>
      <c r="F1213" s="41"/>
      <c r="G1213" s="41"/>
      <c r="H1213" s="41"/>
      <c r="I1213" s="41"/>
      <c r="J1213" s="41"/>
      <c r="K1213" s="41"/>
      <c r="L1213" s="41"/>
    </row>
    <row r="1214" spans="5:12" s="39" customFormat="1" x14ac:dyDescent="0.3">
      <c r="E1214" s="41"/>
      <c r="F1214" s="41"/>
      <c r="G1214" s="41"/>
      <c r="H1214" s="41"/>
      <c r="I1214" s="41"/>
      <c r="J1214" s="41"/>
      <c r="K1214" s="41"/>
      <c r="L1214" s="41"/>
    </row>
    <row r="1215" spans="5:12" s="39" customFormat="1" x14ac:dyDescent="0.3">
      <c r="E1215" s="41"/>
      <c r="F1215" s="41"/>
      <c r="G1215" s="41"/>
      <c r="H1215" s="41"/>
      <c r="I1215" s="41"/>
      <c r="J1215" s="41"/>
      <c r="K1215" s="41"/>
      <c r="L1215" s="41"/>
    </row>
    <row r="1216" spans="5:12" s="39" customFormat="1" x14ac:dyDescent="0.3">
      <c r="E1216" s="41"/>
      <c r="F1216" s="41"/>
      <c r="G1216" s="41"/>
      <c r="H1216" s="41"/>
      <c r="I1216" s="41"/>
      <c r="J1216" s="41"/>
      <c r="K1216" s="41"/>
      <c r="L1216" s="41"/>
    </row>
    <row r="1217" spans="5:12" s="39" customFormat="1" x14ac:dyDescent="0.3">
      <c r="E1217" s="41"/>
      <c r="F1217" s="41"/>
      <c r="G1217" s="41"/>
      <c r="H1217" s="41"/>
      <c r="I1217" s="41"/>
      <c r="J1217" s="41"/>
      <c r="K1217" s="41"/>
      <c r="L1217" s="41"/>
    </row>
    <row r="1218" spans="5:12" s="39" customFormat="1" x14ac:dyDescent="0.3">
      <c r="E1218" s="41"/>
      <c r="F1218" s="41"/>
      <c r="G1218" s="41"/>
      <c r="H1218" s="41"/>
      <c r="I1218" s="41"/>
      <c r="J1218" s="41"/>
      <c r="K1218" s="41"/>
      <c r="L1218" s="41"/>
    </row>
    <row r="1219" spans="5:12" s="39" customFormat="1" x14ac:dyDescent="0.3">
      <c r="E1219" s="41"/>
      <c r="F1219" s="41"/>
      <c r="G1219" s="41"/>
      <c r="H1219" s="41"/>
      <c r="I1219" s="41"/>
      <c r="J1219" s="41"/>
      <c r="K1219" s="41"/>
      <c r="L1219" s="41"/>
    </row>
    <row r="1220" spans="5:12" s="39" customFormat="1" x14ac:dyDescent="0.3">
      <c r="E1220" s="41"/>
      <c r="F1220" s="41"/>
      <c r="G1220" s="41"/>
      <c r="H1220" s="41"/>
      <c r="I1220" s="41"/>
      <c r="J1220" s="41"/>
      <c r="K1220" s="41"/>
      <c r="L1220" s="41"/>
    </row>
    <row r="1221" spans="5:12" s="39" customFormat="1" x14ac:dyDescent="0.3">
      <c r="E1221" s="41"/>
      <c r="F1221" s="41"/>
      <c r="G1221" s="41"/>
      <c r="H1221" s="41"/>
      <c r="I1221" s="41"/>
      <c r="J1221" s="41"/>
      <c r="K1221" s="41"/>
      <c r="L1221" s="41"/>
    </row>
    <row r="1222" spans="5:12" s="39" customFormat="1" x14ac:dyDescent="0.3">
      <c r="E1222" s="41"/>
      <c r="F1222" s="41"/>
      <c r="G1222" s="41"/>
      <c r="H1222" s="41"/>
      <c r="I1222" s="41"/>
      <c r="J1222" s="41"/>
      <c r="K1222" s="41"/>
      <c r="L1222" s="41"/>
    </row>
    <row r="1223" spans="5:12" s="39" customFormat="1" x14ac:dyDescent="0.3">
      <c r="E1223" s="41"/>
      <c r="F1223" s="41"/>
      <c r="G1223" s="41"/>
      <c r="H1223" s="41"/>
      <c r="I1223" s="41"/>
      <c r="J1223" s="41"/>
      <c r="K1223" s="41"/>
      <c r="L1223" s="41"/>
    </row>
    <row r="1224" spans="5:12" s="39" customFormat="1" x14ac:dyDescent="0.3">
      <c r="E1224" s="41"/>
      <c r="F1224" s="41"/>
      <c r="G1224" s="41"/>
      <c r="H1224" s="41"/>
      <c r="I1224" s="41"/>
      <c r="J1224" s="41"/>
      <c r="K1224" s="41"/>
      <c r="L1224" s="41"/>
    </row>
    <row r="1225" spans="5:12" s="39" customFormat="1" x14ac:dyDescent="0.3">
      <c r="E1225" s="41"/>
      <c r="F1225" s="41"/>
      <c r="G1225" s="41"/>
      <c r="H1225" s="41"/>
      <c r="I1225" s="41"/>
      <c r="J1225" s="41"/>
      <c r="K1225" s="41"/>
      <c r="L1225" s="41"/>
    </row>
    <row r="1226" spans="5:12" s="39" customFormat="1" x14ac:dyDescent="0.3">
      <c r="E1226" s="41"/>
      <c r="F1226" s="41"/>
      <c r="G1226" s="41"/>
      <c r="H1226" s="41"/>
      <c r="I1226" s="41"/>
      <c r="J1226" s="41"/>
      <c r="K1226" s="41"/>
      <c r="L1226" s="41"/>
    </row>
    <row r="1227" spans="5:12" s="39" customFormat="1" x14ac:dyDescent="0.3">
      <c r="E1227" s="41"/>
      <c r="F1227" s="41"/>
      <c r="G1227" s="41"/>
      <c r="H1227" s="41"/>
      <c r="I1227" s="41"/>
      <c r="J1227" s="41"/>
      <c r="K1227" s="41"/>
      <c r="L1227" s="41"/>
    </row>
    <row r="1228" spans="5:12" s="39" customFormat="1" x14ac:dyDescent="0.3">
      <c r="E1228" s="41"/>
      <c r="F1228" s="41"/>
      <c r="G1228" s="41"/>
      <c r="H1228" s="41"/>
      <c r="I1228" s="41"/>
      <c r="J1228" s="41"/>
      <c r="K1228" s="41"/>
      <c r="L1228" s="41"/>
    </row>
    <row r="1229" spans="5:12" s="39" customFormat="1" x14ac:dyDescent="0.3">
      <c r="E1229" s="41"/>
      <c r="F1229" s="41"/>
      <c r="G1229" s="41"/>
      <c r="H1229" s="41"/>
      <c r="I1229" s="41"/>
      <c r="J1229" s="41"/>
      <c r="K1229" s="41"/>
      <c r="L1229" s="41"/>
    </row>
    <row r="1230" spans="5:12" s="39" customFormat="1" x14ac:dyDescent="0.3">
      <c r="E1230" s="41"/>
      <c r="F1230" s="41"/>
      <c r="G1230" s="41"/>
      <c r="H1230" s="41"/>
      <c r="I1230" s="41"/>
      <c r="J1230" s="41"/>
      <c r="K1230" s="41"/>
      <c r="L1230" s="41"/>
    </row>
    <row r="1231" spans="5:12" s="39" customFormat="1" x14ac:dyDescent="0.3">
      <c r="E1231" s="41"/>
      <c r="F1231" s="41"/>
      <c r="G1231" s="41"/>
      <c r="H1231" s="41"/>
      <c r="I1231" s="41"/>
      <c r="J1231" s="41"/>
      <c r="K1231" s="41"/>
      <c r="L1231" s="41"/>
    </row>
    <row r="1232" spans="5:12" s="39" customFormat="1" x14ac:dyDescent="0.3">
      <c r="E1232" s="41"/>
      <c r="F1232" s="41"/>
      <c r="G1232" s="41"/>
      <c r="H1232" s="41"/>
      <c r="I1232" s="41"/>
      <c r="J1232" s="41"/>
      <c r="K1232" s="41"/>
      <c r="L1232" s="41"/>
    </row>
    <row r="1233" spans="5:12" s="39" customFormat="1" x14ac:dyDescent="0.3">
      <c r="E1233" s="41"/>
      <c r="F1233" s="41"/>
      <c r="G1233" s="41"/>
      <c r="H1233" s="41"/>
      <c r="I1233" s="41"/>
      <c r="J1233" s="41"/>
      <c r="K1233" s="41"/>
      <c r="L1233" s="41"/>
    </row>
    <row r="1234" spans="5:12" s="39" customFormat="1" x14ac:dyDescent="0.3">
      <c r="E1234" s="41"/>
      <c r="F1234" s="41"/>
      <c r="G1234" s="41"/>
      <c r="H1234" s="41"/>
      <c r="I1234" s="41"/>
      <c r="J1234" s="41"/>
      <c r="K1234" s="41"/>
      <c r="L1234" s="41"/>
    </row>
    <row r="1235" spans="5:12" s="39" customFormat="1" x14ac:dyDescent="0.3">
      <c r="E1235" s="41"/>
      <c r="F1235" s="41"/>
      <c r="G1235" s="41"/>
      <c r="H1235" s="41"/>
      <c r="I1235" s="41"/>
      <c r="J1235" s="41"/>
      <c r="K1235" s="41"/>
      <c r="L1235" s="41"/>
    </row>
    <row r="1236" spans="5:12" s="39" customFormat="1" x14ac:dyDescent="0.3">
      <c r="E1236" s="41"/>
      <c r="F1236" s="41"/>
      <c r="G1236" s="41"/>
      <c r="H1236" s="41"/>
      <c r="I1236" s="41"/>
      <c r="J1236" s="41"/>
      <c r="K1236" s="41"/>
      <c r="L1236" s="41"/>
    </row>
    <row r="1237" spans="5:12" s="39" customFormat="1" x14ac:dyDescent="0.3">
      <c r="E1237" s="41"/>
      <c r="F1237" s="41"/>
      <c r="G1237" s="41"/>
      <c r="H1237" s="41"/>
      <c r="I1237" s="41"/>
      <c r="J1237" s="41"/>
      <c r="K1237" s="41"/>
      <c r="L1237" s="41"/>
    </row>
    <row r="1238" spans="5:12" s="39" customFormat="1" x14ac:dyDescent="0.3">
      <c r="E1238" s="41"/>
      <c r="F1238" s="41"/>
      <c r="G1238" s="41"/>
      <c r="H1238" s="41"/>
      <c r="I1238" s="41"/>
      <c r="J1238" s="41"/>
      <c r="K1238" s="41"/>
      <c r="L1238" s="41"/>
    </row>
    <row r="1239" spans="5:12" s="39" customFormat="1" x14ac:dyDescent="0.3">
      <c r="E1239" s="41"/>
      <c r="F1239" s="41"/>
      <c r="G1239" s="41"/>
      <c r="H1239" s="41"/>
      <c r="I1239" s="41"/>
      <c r="J1239" s="41"/>
      <c r="K1239" s="41"/>
      <c r="L1239" s="41"/>
    </row>
    <row r="1240" spans="5:12" s="39" customFormat="1" x14ac:dyDescent="0.3">
      <c r="E1240" s="41"/>
      <c r="F1240" s="41"/>
      <c r="G1240" s="41"/>
      <c r="H1240" s="41"/>
      <c r="I1240" s="41"/>
      <c r="J1240" s="41"/>
      <c r="K1240" s="41"/>
      <c r="L1240" s="41"/>
    </row>
    <row r="1241" spans="5:12" s="39" customFormat="1" x14ac:dyDescent="0.3">
      <c r="E1241" s="41"/>
      <c r="F1241" s="41"/>
      <c r="G1241" s="41"/>
      <c r="H1241" s="41"/>
      <c r="I1241" s="41"/>
      <c r="J1241" s="41"/>
      <c r="K1241" s="41"/>
      <c r="L1241" s="41"/>
    </row>
    <row r="1242" spans="5:12" s="39" customFormat="1" x14ac:dyDescent="0.3">
      <c r="E1242" s="41"/>
      <c r="F1242" s="41"/>
      <c r="G1242" s="41"/>
      <c r="H1242" s="41"/>
      <c r="I1242" s="41"/>
      <c r="J1242" s="41"/>
      <c r="K1242" s="41"/>
      <c r="L1242" s="41"/>
    </row>
    <row r="1243" spans="5:12" s="39" customFormat="1" x14ac:dyDescent="0.3">
      <c r="E1243" s="41"/>
      <c r="F1243" s="41"/>
      <c r="G1243" s="41"/>
      <c r="H1243" s="41"/>
      <c r="I1243" s="41"/>
      <c r="J1243" s="41"/>
      <c r="K1243" s="41"/>
      <c r="L1243" s="41"/>
    </row>
    <row r="1244" spans="5:12" s="39" customFormat="1" x14ac:dyDescent="0.3">
      <c r="E1244" s="41"/>
      <c r="F1244" s="41"/>
      <c r="G1244" s="41"/>
      <c r="H1244" s="41"/>
      <c r="I1244" s="41"/>
      <c r="J1244" s="41"/>
      <c r="K1244" s="41"/>
      <c r="L1244" s="41"/>
    </row>
    <row r="1245" spans="5:12" s="39" customFormat="1" x14ac:dyDescent="0.3">
      <c r="E1245" s="41"/>
      <c r="F1245" s="41"/>
      <c r="G1245" s="41"/>
      <c r="H1245" s="41"/>
      <c r="I1245" s="41"/>
      <c r="J1245" s="41"/>
      <c r="K1245" s="41"/>
      <c r="L1245" s="41"/>
    </row>
    <row r="1246" spans="5:12" s="39" customFormat="1" x14ac:dyDescent="0.3">
      <c r="E1246" s="41"/>
      <c r="F1246" s="41"/>
      <c r="G1246" s="41"/>
      <c r="H1246" s="41"/>
      <c r="I1246" s="41"/>
      <c r="J1246" s="41"/>
      <c r="K1246" s="41"/>
      <c r="L1246" s="41"/>
    </row>
    <row r="1247" spans="5:12" s="39" customFormat="1" x14ac:dyDescent="0.3">
      <c r="E1247" s="41"/>
      <c r="F1247" s="41"/>
      <c r="G1247" s="41"/>
      <c r="H1247" s="41"/>
      <c r="I1247" s="41"/>
      <c r="J1247" s="41"/>
      <c r="K1247" s="41"/>
      <c r="L1247" s="41"/>
    </row>
    <row r="1248" spans="5:12" s="39" customFormat="1" x14ac:dyDescent="0.3">
      <c r="E1248" s="41"/>
      <c r="F1248" s="41"/>
      <c r="G1248" s="41"/>
      <c r="H1248" s="41"/>
      <c r="I1248" s="41"/>
      <c r="J1248" s="41"/>
      <c r="K1248" s="41"/>
      <c r="L1248" s="41"/>
    </row>
    <row r="1249" spans="5:12" s="39" customFormat="1" x14ac:dyDescent="0.3">
      <c r="E1249" s="41"/>
      <c r="F1249" s="41"/>
      <c r="G1249" s="41"/>
      <c r="H1249" s="41"/>
      <c r="I1249" s="41"/>
      <c r="J1249" s="41"/>
      <c r="K1249" s="41"/>
      <c r="L1249" s="41"/>
    </row>
    <row r="1250" spans="5:12" s="39" customFormat="1" x14ac:dyDescent="0.3">
      <c r="E1250" s="41"/>
      <c r="F1250" s="41"/>
      <c r="G1250" s="41"/>
      <c r="H1250" s="41"/>
      <c r="I1250" s="41"/>
      <c r="J1250" s="41"/>
      <c r="K1250" s="41"/>
      <c r="L1250" s="41"/>
    </row>
    <row r="1251" spans="5:12" s="39" customFormat="1" x14ac:dyDescent="0.3">
      <c r="E1251" s="41"/>
      <c r="F1251" s="41"/>
      <c r="G1251" s="41"/>
      <c r="H1251" s="41"/>
      <c r="I1251" s="41"/>
      <c r="J1251" s="41"/>
      <c r="K1251" s="41"/>
      <c r="L1251" s="41"/>
    </row>
    <row r="1252" spans="5:12" s="39" customFormat="1" x14ac:dyDescent="0.3">
      <c r="E1252" s="41"/>
      <c r="F1252" s="41"/>
      <c r="G1252" s="41"/>
      <c r="H1252" s="41"/>
      <c r="I1252" s="41"/>
      <c r="J1252" s="41"/>
      <c r="K1252" s="41"/>
      <c r="L1252" s="41"/>
    </row>
    <row r="1253" spans="5:12" s="39" customFormat="1" x14ac:dyDescent="0.3">
      <c r="E1253" s="41"/>
      <c r="F1253" s="41"/>
      <c r="G1253" s="41"/>
      <c r="H1253" s="41"/>
      <c r="I1253" s="41"/>
      <c r="J1253" s="41"/>
      <c r="K1253" s="41"/>
      <c r="L1253" s="41"/>
    </row>
    <row r="1254" spans="5:12" s="39" customFormat="1" x14ac:dyDescent="0.3">
      <c r="E1254" s="41"/>
      <c r="F1254" s="41"/>
      <c r="G1254" s="41"/>
      <c r="H1254" s="41"/>
      <c r="I1254" s="41"/>
      <c r="J1254" s="41"/>
      <c r="K1254" s="41"/>
      <c r="L1254" s="41"/>
    </row>
    <row r="1255" spans="5:12" s="39" customFormat="1" x14ac:dyDescent="0.3">
      <c r="E1255" s="41"/>
      <c r="F1255" s="41"/>
      <c r="G1255" s="41"/>
      <c r="H1255" s="41"/>
      <c r="I1255" s="41"/>
      <c r="J1255" s="41"/>
      <c r="K1255" s="41"/>
      <c r="L1255" s="41"/>
    </row>
    <row r="1256" spans="5:12" s="39" customFormat="1" x14ac:dyDescent="0.3">
      <c r="E1256" s="41"/>
      <c r="F1256" s="41"/>
      <c r="G1256" s="41"/>
      <c r="H1256" s="41"/>
      <c r="I1256" s="41"/>
      <c r="J1256" s="41"/>
      <c r="K1256" s="41"/>
      <c r="L1256" s="41"/>
    </row>
    <row r="1257" spans="5:12" s="39" customFormat="1" x14ac:dyDescent="0.3">
      <c r="E1257" s="41"/>
      <c r="F1257" s="41"/>
      <c r="G1257" s="41"/>
      <c r="H1257" s="41"/>
      <c r="I1257" s="41"/>
      <c r="J1257" s="41"/>
      <c r="K1257" s="41"/>
      <c r="L1257" s="41"/>
    </row>
    <row r="1258" spans="5:12" s="39" customFormat="1" x14ac:dyDescent="0.3">
      <c r="E1258" s="41"/>
      <c r="F1258" s="41"/>
      <c r="G1258" s="41"/>
      <c r="H1258" s="41"/>
      <c r="I1258" s="41"/>
      <c r="J1258" s="41"/>
      <c r="K1258" s="41"/>
      <c r="L1258" s="41"/>
    </row>
    <row r="1259" spans="5:12" s="39" customFormat="1" x14ac:dyDescent="0.3">
      <c r="E1259" s="41"/>
      <c r="F1259" s="41"/>
      <c r="G1259" s="41"/>
      <c r="H1259" s="41"/>
      <c r="I1259" s="41"/>
      <c r="J1259" s="41"/>
      <c r="K1259" s="41"/>
      <c r="L1259" s="41"/>
    </row>
    <row r="1260" spans="5:12" s="39" customFormat="1" x14ac:dyDescent="0.3">
      <c r="E1260" s="41"/>
      <c r="F1260" s="41"/>
      <c r="G1260" s="41"/>
      <c r="H1260" s="41"/>
      <c r="I1260" s="41"/>
      <c r="J1260" s="41"/>
      <c r="K1260" s="41"/>
      <c r="L1260" s="41"/>
    </row>
    <row r="1261" spans="5:12" s="39" customFormat="1" x14ac:dyDescent="0.3">
      <c r="E1261" s="41"/>
      <c r="F1261" s="41"/>
      <c r="G1261" s="41"/>
      <c r="H1261" s="41"/>
      <c r="I1261" s="41"/>
      <c r="J1261" s="41"/>
      <c r="K1261" s="41"/>
      <c r="L1261" s="41"/>
    </row>
    <row r="1262" spans="5:12" s="39" customFormat="1" x14ac:dyDescent="0.3">
      <c r="E1262" s="41"/>
      <c r="F1262" s="41"/>
      <c r="G1262" s="41"/>
      <c r="H1262" s="41"/>
      <c r="I1262" s="41"/>
      <c r="J1262" s="41"/>
      <c r="K1262" s="41"/>
      <c r="L1262" s="41"/>
    </row>
    <row r="1263" spans="5:12" s="39" customFormat="1" x14ac:dyDescent="0.3">
      <c r="E1263" s="41"/>
      <c r="F1263" s="41"/>
      <c r="G1263" s="41"/>
      <c r="H1263" s="41"/>
      <c r="I1263" s="41"/>
      <c r="J1263" s="41"/>
      <c r="K1263" s="41"/>
      <c r="L1263" s="41"/>
    </row>
    <row r="1264" spans="5:12" s="39" customFormat="1" x14ac:dyDescent="0.3">
      <c r="E1264" s="41"/>
      <c r="F1264" s="41"/>
      <c r="G1264" s="41"/>
      <c r="H1264" s="41"/>
      <c r="I1264" s="41"/>
      <c r="J1264" s="41"/>
      <c r="K1264" s="41"/>
      <c r="L1264" s="41"/>
    </row>
    <row r="1265" spans="5:12" s="39" customFormat="1" x14ac:dyDescent="0.3">
      <c r="E1265" s="41"/>
      <c r="F1265" s="41"/>
      <c r="G1265" s="41"/>
      <c r="H1265" s="41"/>
      <c r="I1265" s="41"/>
      <c r="J1265" s="41"/>
      <c r="K1265" s="41"/>
      <c r="L1265" s="41"/>
    </row>
    <row r="1266" spans="5:12" s="39" customFormat="1" x14ac:dyDescent="0.3">
      <c r="E1266" s="41"/>
      <c r="F1266" s="41"/>
      <c r="G1266" s="41"/>
      <c r="H1266" s="41"/>
      <c r="I1266" s="41"/>
      <c r="J1266" s="41"/>
      <c r="K1266" s="41"/>
      <c r="L1266" s="41"/>
    </row>
    <row r="1267" spans="5:12" s="39" customFormat="1" x14ac:dyDescent="0.3">
      <c r="E1267" s="41"/>
      <c r="F1267" s="41"/>
      <c r="G1267" s="41"/>
      <c r="H1267" s="41"/>
      <c r="I1267" s="41"/>
      <c r="J1267" s="41"/>
      <c r="K1267" s="41"/>
      <c r="L1267" s="41"/>
    </row>
    <row r="1268" spans="5:12" s="39" customFormat="1" x14ac:dyDescent="0.3">
      <c r="E1268" s="41"/>
      <c r="F1268" s="41"/>
      <c r="G1268" s="41"/>
      <c r="H1268" s="41"/>
      <c r="I1268" s="41"/>
      <c r="J1268" s="41"/>
      <c r="K1268" s="41"/>
      <c r="L1268" s="41"/>
    </row>
    <row r="1269" spans="5:12" s="39" customFormat="1" x14ac:dyDescent="0.3">
      <c r="E1269" s="41"/>
      <c r="F1269" s="41"/>
      <c r="G1269" s="41"/>
      <c r="H1269" s="41"/>
      <c r="I1269" s="41"/>
      <c r="J1269" s="41"/>
      <c r="K1269" s="41"/>
      <c r="L1269" s="41"/>
    </row>
    <row r="1270" spans="5:12" s="39" customFormat="1" x14ac:dyDescent="0.3">
      <c r="E1270" s="41"/>
      <c r="F1270" s="41"/>
      <c r="G1270" s="41"/>
      <c r="H1270" s="41"/>
      <c r="I1270" s="41"/>
      <c r="J1270" s="41"/>
      <c r="K1270" s="41"/>
      <c r="L1270" s="41"/>
    </row>
    <row r="1271" spans="5:12" s="39" customFormat="1" x14ac:dyDescent="0.3">
      <c r="E1271" s="41"/>
      <c r="F1271" s="41"/>
      <c r="G1271" s="41"/>
      <c r="H1271" s="41"/>
      <c r="I1271" s="41"/>
      <c r="J1271" s="41"/>
      <c r="K1271" s="41"/>
      <c r="L1271" s="41"/>
    </row>
    <row r="1272" spans="5:12" s="39" customFormat="1" x14ac:dyDescent="0.3">
      <c r="E1272" s="41"/>
      <c r="F1272" s="41"/>
      <c r="G1272" s="41"/>
      <c r="H1272" s="41"/>
      <c r="I1272" s="41"/>
      <c r="J1272" s="41"/>
      <c r="K1272" s="41"/>
      <c r="L1272" s="41"/>
    </row>
    <row r="1273" spans="5:12" s="39" customFormat="1" x14ac:dyDescent="0.3">
      <c r="E1273" s="41"/>
      <c r="F1273" s="41"/>
      <c r="G1273" s="41"/>
      <c r="H1273" s="41"/>
      <c r="I1273" s="41"/>
      <c r="J1273" s="41"/>
      <c r="K1273" s="41"/>
      <c r="L1273" s="41"/>
    </row>
    <row r="1274" spans="5:12" s="39" customFormat="1" x14ac:dyDescent="0.3">
      <c r="E1274" s="41"/>
      <c r="F1274" s="41"/>
      <c r="G1274" s="41"/>
      <c r="H1274" s="41"/>
      <c r="I1274" s="41"/>
      <c r="J1274" s="41"/>
      <c r="K1274" s="41"/>
      <c r="L1274" s="41"/>
    </row>
    <row r="1275" spans="5:12" s="39" customFormat="1" x14ac:dyDescent="0.3">
      <c r="E1275" s="41"/>
      <c r="F1275" s="41"/>
      <c r="G1275" s="41"/>
      <c r="H1275" s="41"/>
      <c r="I1275" s="41"/>
      <c r="J1275" s="41"/>
      <c r="K1275" s="41"/>
      <c r="L1275" s="41"/>
    </row>
    <row r="1276" spans="5:12" s="39" customFormat="1" x14ac:dyDescent="0.3">
      <c r="E1276" s="41"/>
      <c r="F1276" s="41"/>
      <c r="G1276" s="41"/>
      <c r="H1276" s="41"/>
      <c r="I1276" s="41"/>
      <c r="J1276" s="41"/>
      <c r="K1276" s="41"/>
      <c r="L1276" s="41"/>
    </row>
    <row r="1277" spans="5:12" s="39" customFormat="1" x14ac:dyDescent="0.3">
      <c r="E1277" s="41"/>
      <c r="F1277" s="41"/>
      <c r="G1277" s="41"/>
      <c r="H1277" s="41"/>
      <c r="I1277" s="41"/>
      <c r="J1277" s="41"/>
      <c r="K1277" s="41"/>
      <c r="L1277" s="41"/>
    </row>
    <row r="1278" spans="5:12" s="39" customFormat="1" x14ac:dyDescent="0.3">
      <c r="E1278" s="41"/>
      <c r="F1278" s="41"/>
      <c r="G1278" s="41"/>
      <c r="H1278" s="41"/>
      <c r="I1278" s="41"/>
      <c r="J1278" s="41"/>
      <c r="K1278" s="41"/>
      <c r="L1278" s="41"/>
    </row>
    <row r="1279" spans="5:12" s="39" customFormat="1" x14ac:dyDescent="0.3">
      <c r="E1279" s="41"/>
      <c r="F1279" s="41"/>
      <c r="G1279" s="41"/>
      <c r="H1279" s="41"/>
      <c r="I1279" s="41"/>
      <c r="J1279" s="41"/>
      <c r="K1279" s="41"/>
      <c r="L1279" s="41"/>
    </row>
    <row r="1280" spans="5:12" s="39" customFormat="1" x14ac:dyDescent="0.3">
      <c r="E1280" s="41"/>
      <c r="F1280" s="41"/>
      <c r="G1280" s="41"/>
      <c r="H1280" s="41"/>
      <c r="I1280" s="41"/>
      <c r="J1280" s="41"/>
      <c r="K1280" s="41"/>
      <c r="L1280" s="41"/>
    </row>
    <row r="1281" spans="5:12" s="39" customFormat="1" x14ac:dyDescent="0.3">
      <c r="E1281" s="41"/>
      <c r="F1281" s="41"/>
      <c r="G1281" s="41"/>
      <c r="H1281" s="41"/>
      <c r="I1281" s="41"/>
      <c r="J1281" s="41"/>
      <c r="K1281" s="41"/>
      <c r="L1281" s="41"/>
    </row>
    <row r="1282" spans="5:12" s="39" customFormat="1" x14ac:dyDescent="0.3">
      <c r="E1282" s="41"/>
      <c r="F1282" s="41"/>
      <c r="G1282" s="41"/>
      <c r="H1282" s="41"/>
      <c r="I1282" s="41"/>
      <c r="J1282" s="41"/>
      <c r="K1282" s="41"/>
      <c r="L1282" s="41"/>
    </row>
    <row r="1283" spans="5:12" s="39" customFormat="1" x14ac:dyDescent="0.3">
      <c r="E1283" s="41"/>
      <c r="F1283" s="41"/>
      <c r="G1283" s="41"/>
      <c r="H1283" s="41"/>
      <c r="I1283" s="41"/>
      <c r="J1283" s="41"/>
      <c r="K1283" s="41"/>
      <c r="L1283" s="41"/>
    </row>
    <row r="1284" spans="5:12" s="39" customFormat="1" x14ac:dyDescent="0.3">
      <c r="E1284" s="41"/>
      <c r="F1284" s="41"/>
      <c r="G1284" s="41"/>
      <c r="H1284" s="41"/>
      <c r="I1284" s="41"/>
      <c r="J1284" s="41"/>
      <c r="K1284" s="41"/>
      <c r="L1284" s="41"/>
    </row>
    <row r="1285" spans="5:12" s="39" customFormat="1" x14ac:dyDescent="0.3">
      <c r="E1285" s="41"/>
      <c r="F1285" s="41"/>
      <c r="G1285" s="41"/>
      <c r="H1285" s="41"/>
      <c r="I1285" s="41"/>
      <c r="J1285" s="41"/>
      <c r="K1285" s="41"/>
      <c r="L1285" s="41"/>
    </row>
    <row r="1286" spans="5:12" s="39" customFormat="1" x14ac:dyDescent="0.3">
      <c r="E1286" s="41"/>
      <c r="F1286" s="41"/>
      <c r="G1286" s="41"/>
      <c r="H1286" s="41"/>
      <c r="I1286" s="41"/>
      <c r="J1286" s="41"/>
      <c r="K1286" s="41"/>
      <c r="L1286" s="41"/>
    </row>
    <row r="1287" spans="5:12" s="39" customFormat="1" x14ac:dyDescent="0.3">
      <c r="E1287" s="41"/>
      <c r="F1287" s="41"/>
      <c r="G1287" s="41"/>
      <c r="H1287" s="41"/>
      <c r="I1287" s="41"/>
      <c r="J1287" s="41"/>
      <c r="K1287" s="41"/>
      <c r="L1287" s="41"/>
    </row>
    <row r="1288" spans="5:12" s="39" customFormat="1" x14ac:dyDescent="0.3">
      <c r="E1288" s="41"/>
      <c r="F1288" s="41"/>
      <c r="G1288" s="41"/>
      <c r="H1288" s="41"/>
      <c r="I1288" s="41"/>
      <c r="J1288" s="41"/>
      <c r="K1288" s="41"/>
      <c r="L1288" s="41"/>
    </row>
    <row r="1289" spans="5:12" s="39" customFormat="1" x14ac:dyDescent="0.3">
      <c r="E1289" s="41"/>
      <c r="F1289" s="41"/>
      <c r="G1289" s="41"/>
      <c r="H1289" s="41"/>
      <c r="I1289" s="41"/>
      <c r="J1289" s="41"/>
      <c r="K1289" s="41"/>
      <c r="L1289" s="41"/>
    </row>
    <row r="1290" spans="5:12" s="39" customFormat="1" x14ac:dyDescent="0.3">
      <c r="E1290" s="41"/>
      <c r="F1290" s="41"/>
      <c r="G1290" s="41"/>
      <c r="H1290" s="41"/>
      <c r="I1290" s="41"/>
      <c r="J1290" s="41"/>
      <c r="K1290" s="41"/>
      <c r="L1290" s="41"/>
    </row>
    <row r="1291" spans="5:12" s="39" customFormat="1" x14ac:dyDescent="0.3">
      <c r="E1291" s="41"/>
      <c r="F1291" s="41"/>
      <c r="G1291" s="41"/>
      <c r="H1291" s="41"/>
      <c r="I1291" s="41"/>
      <c r="J1291" s="41"/>
      <c r="K1291" s="41"/>
      <c r="L1291" s="41"/>
    </row>
    <row r="1292" spans="5:12" s="39" customFormat="1" x14ac:dyDescent="0.3">
      <c r="E1292" s="41"/>
      <c r="F1292" s="41"/>
      <c r="G1292" s="41"/>
      <c r="H1292" s="41"/>
      <c r="I1292" s="41"/>
      <c r="J1292" s="41"/>
      <c r="K1292" s="41"/>
      <c r="L1292" s="41"/>
    </row>
    <row r="1293" spans="5:12" s="39" customFormat="1" x14ac:dyDescent="0.3">
      <c r="E1293" s="41"/>
      <c r="F1293" s="41"/>
      <c r="G1293" s="41"/>
      <c r="H1293" s="41"/>
      <c r="I1293" s="41"/>
      <c r="J1293" s="41"/>
      <c r="K1293" s="41"/>
      <c r="L1293" s="41"/>
    </row>
    <row r="1294" spans="5:12" s="39" customFormat="1" x14ac:dyDescent="0.3">
      <c r="E1294" s="41"/>
      <c r="F1294" s="41"/>
      <c r="G1294" s="41"/>
      <c r="H1294" s="41"/>
      <c r="I1294" s="41"/>
      <c r="J1294" s="41"/>
      <c r="K1294" s="41"/>
      <c r="L1294" s="41"/>
    </row>
    <row r="1295" spans="5:12" s="39" customFormat="1" x14ac:dyDescent="0.3">
      <c r="E1295" s="41"/>
      <c r="F1295" s="41"/>
      <c r="G1295" s="41"/>
      <c r="H1295" s="41"/>
      <c r="I1295" s="41"/>
      <c r="J1295" s="41"/>
      <c r="K1295" s="41"/>
      <c r="L1295" s="41"/>
    </row>
    <row r="1296" spans="5:12" s="39" customFormat="1" x14ac:dyDescent="0.3">
      <c r="E1296" s="41"/>
      <c r="F1296" s="41"/>
      <c r="G1296" s="41"/>
      <c r="H1296" s="41"/>
      <c r="I1296" s="41"/>
      <c r="J1296" s="41"/>
      <c r="K1296" s="41"/>
      <c r="L1296" s="41"/>
    </row>
    <row r="1297" spans="5:12" s="39" customFormat="1" x14ac:dyDescent="0.3">
      <c r="E1297" s="41"/>
      <c r="F1297" s="41"/>
      <c r="G1297" s="41"/>
      <c r="H1297" s="41"/>
      <c r="I1297" s="41"/>
      <c r="J1297" s="41"/>
      <c r="K1297" s="41"/>
      <c r="L1297" s="41"/>
    </row>
    <row r="1298" spans="5:12" s="39" customFormat="1" x14ac:dyDescent="0.3">
      <c r="E1298" s="41"/>
      <c r="F1298" s="41"/>
      <c r="G1298" s="41"/>
      <c r="H1298" s="41"/>
      <c r="I1298" s="41"/>
      <c r="J1298" s="41"/>
      <c r="K1298" s="41"/>
      <c r="L1298" s="41"/>
    </row>
    <row r="1299" spans="5:12" s="39" customFormat="1" x14ac:dyDescent="0.3">
      <c r="E1299" s="41"/>
      <c r="F1299" s="41"/>
      <c r="G1299" s="41"/>
      <c r="H1299" s="41"/>
      <c r="I1299" s="41"/>
      <c r="J1299" s="41"/>
      <c r="K1299" s="41"/>
      <c r="L1299" s="41"/>
    </row>
    <row r="1300" spans="5:12" s="39" customFormat="1" x14ac:dyDescent="0.3">
      <c r="E1300" s="41"/>
      <c r="F1300" s="41"/>
      <c r="G1300" s="41"/>
      <c r="H1300" s="41"/>
      <c r="I1300" s="41"/>
      <c r="J1300" s="41"/>
      <c r="K1300" s="41"/>
      <c r="L1300" s="41"/>
    </row>
    <row r="1301" spans="5:12" s="39" customFormat="1" x14ac:dyDescent="0.3">
      <c r="E1301" s="41"/>
      <c r="F1301" s="41"/>
      <c r="G1301" s="41"/>
      <c r="H1301" s="41"/>
      <c r="I1301" s="41"/>
      <c r="J1301" s="41"/>
      <c r="K1301" s="41"/>
      <c r="L1301" s="41"/>
    </row>
    <row r="1302" spans="5:12" s="39" customFormat="1" x14ac:dyDescent="0.3">
      <c r="E1302" s="41"/>
      <c r="F1302" s="41"/>
      <c r="G1302" s="41"/>
      <c r="H1302" s="41"/>
      <c r="I1302" s="41"/>
      <c r="J1302" s="41"/>
      <c r="K1302" s="41"/>
      <c r="L1302" s="41"/>
    </row>
    <row r="1303" spans="5:12" s="39" customFormat="1" x14ac:dyDescent="0.3">
      <c r="E1303" s="41"/>
      <c r="F1303" s="41"/>
      <c r="G1303" s="41"/>
      <c r="H1303" s="41"/>
      <c r="I1303" s="41"/>
      <c r="J1303" s="41"/>
      <c r="K1303" s="41"/>
      <c r="L1303" s="41"/>
    </row>
    <row r="1304" spans="5:12" s="39" customFormat="1" x14ac:dyDescent="0.3">
      <c r="E1304" s="41"/>
      <c r="F1304" s="41"/>
      <c r="G1304" s="41"/>
      <c r="H1304" s="41"/>
      <c r="I1304" s="41"/>
      <c r="J1304" s="41"/>
      <c r="K1304" s="41"/>
      <c r="L1304" s="41"/>
    </row>
    <row r="1305" spans="5:12" s="39" customFormat="1" x14ac:dyDescent="0.3">
      <c r="E1305" s="41"/>
      <c r="F1305" s="41"/>
      <c r="G1305" s="41"/>
      <c r="H1305" s="41"/>
      <c r="I1305" s="41"/>
      <c r="J1305" s="41"/>
      <c r="K1305" s="41"/>
      <c r="L1305" s="41"/>
    </row>
    <row r="1306" spans="5:12" s="39" customFormat="1" x14ac:dyDescent="0.3">
      <c r="E1306" s="41"/>
      <c r="F1306" s="41"/>
      <c r="G1306" s="41"/>
      <c r="H1306" s="41"/>
      <c r="I1306" s="41"/>
      <c r="J1306" s="41"/>
      <c r="K1306" s="41"/>
      <c r="L1306" s="41"/>
    </row>
    <row r="1307" spans="5:12" s="39" customFormat="1" x14ac:dyDescent="0.3">
      <c r="E1307" s="41"/>
      <c r="F1307" s="41"/>
      <c r="G1307" s="41"/>
      <c r="H1307" s="41"/>
      <c r="I1307" s="41"/>
      <c r="J1307" s="41"/>
      <c r="K1307" s="41"/>
      <c r="L1307" s="41"/>
    </row>
    <row r="1308" spans="5:12" s="39" customFormat="1" x14ac:dyDescent="0.3">
      <c r="E1308" s="41"/>
      <c r="F1308" s="41"/>
      <c r="G1308" s="41"/>
      <c r="H1308" s="41"/>
      <c r="I1308" s="41"/>
      <c r="J1308" s="41"/>
      <c r="K1308" s="41"/>
      <c r="L1308" s="41"/>
    </row>
    <row r="1309" spans="5:12" s="39" customFormat="1" x14ac:dyDescent="0.3">
      <c r="E1309" s="41"/>
      <c r="F1309" s="41"/>
      <c r="G1309" s="41"/>
      <c r="H1309" s="41"/>
      <c r="I1309" s="41"/>
      <c r="J1309" s="41"/>
      <c r="K1309" s="41"/>
      <c r="L1309" s="41"/>
    </row>
    <row r="1310" spans="5:12" s="39" customFormat="1" x14ac:dyDescent="0.3">
      <c r="E1310" s="41"/>
      <c r="F1310" s="41"/>
      <c r="G1310" s="41"/>
      <c r="H1310" s="41"/>
      <c r="I1310" s="41"/>
      <c r="J1310" s="41"/>
      <c r="K1310" s="41"/>
      <c r="L1310" s="41"/>
    </row>
    <row r="1311" spans="5:12" s="39" customFormat="1" x14ac:dyDescent="0.3">
      <c r="E1311" s="41"/>
      <c r="F1311" s="41"/>
      <c r="G1311" s="41"/>
      <c r="H1311" s="41"/>
      <c r="I1311" s="41"/>
      <c r="J1311" s="41"/>
      <c r="K1311" s="41"/>
      <c r="L1311" s="41"/>
    </row>
    <row r="1312" spans="5:12" s="39" customFormat="1" x14ac:dyDescent="0.3">
      <c r="E1312" s="41"/>
      <c r="F1312" s="41"/>
      <c r="G1312" s="41"/>
      <c r="H1312" s="41"/>
      <c r="I1312" s="41"/>
      <c r="J1312" s="41"/>
      <c r="K1312" s="41"/>
      <c r="L1312" s="41"/>
    </row>
    <row r="1313" spans="5:12" s="39" customFormat="1" x14ac:dyDescent="0.3">
      <c r="E1313" s="41"/>
      <c r="F1313" s="41"/>
      <c r="G1313" s="41"/>
      <c r="H1313" s="41"/>
      <c r="I1313" s="41"/>
      <c r="J1313" s="41"/>
      <c r="K1313" s="41"/>
      <c r="L1313" s="41"/>
    </row>
    <row r="1314" spans="5:12" s="39" customFormat="1" x14ac:dyDescent="0.3">
      <c r="E1314" s="41"/>
      <c r="F1314" s="41"/>
      <c r="G1314" s="41"/>
      <c r="H1314" s="41"/>
      <c r="I1314" s="41"/>
      <c r="J1314" s="41"/>
      <c r="K1314" s="41"/>
      <c r="L1314" s="41"/>
    </row>
    <row r="1315" spans="5:12" s="39" customFormat="1" x14ac:dyDescent="0.3">
      <c r="E1315" s="41"/>
      <c r="F1315" s="41"/>
      <c r="G1315" s="41"/>
      <c r="H1315" s="41"/>
      <c r="I1315" s="41"/>
      <c r="J1315" s="41"/>
      <c r="K1315" s="41"/>
      <c r="L1315" s="41"/>
    </row>
    <row r="1316" spans="5:12" s="39" customFormat="1" x14ac:dyDescent="0.3">
      <c r="E1316" s="41"/>
      <c r="F1316" s="41"/>
      <c r="G1316" s="41"/>
      <c r="H1316" s="41"/>
      <c r="I1316" s="41"/>
      <c r="J1316" s="41"/>
      <c r="K1316" s="41"/>
      <c r="L1316" s="41"/>
    </row>
    <row r="1317" spans="5:12" s="39" customFormat="1" x14ac:dyDescent="0.3">
      <c r="E1317" s="41"/>
      <c r="F1317" s="41"/>
      <c r="G1317" s="41"/>
      <c r="H1317" s="41"/>
      <c r="I1317" s="41"/>
      <c r="J1317" s="41"/>
      <c r="K1317" s="41"/>
      <c r="L1317" s="41"/>
    </row>
    <row r="1318" spans="5:12" s="39" customFormat="1" x14ac:dyDescent="0.3">
      <c r="E1318" s="41"/>
      <c r="F1318" s="41"/>
      <c r="G1318" s="41"/>
      <c r="H1318" s="41"/>
      <c r="I1318" s="41"/>
      <c r="J1318" s="41"/>
      <c r="K1318" s="41"/>
      <c r="L1318" s="41"/>
    </row>
    <row r="1319" spans="5:12" s="39" customFormat="1" x14ac:dyDescent="0.3">
      <c r="E1319" s="41"/>
      <c r="F1319" s="41"/>
      <c r="G1319" s="41"/>
      <c r="H1319" s="41"/>
      <c r="I1319" s="41"/>
      <c r="J1319" s="41"/>
      <c r="K1319" s="41"/>
      <c r="L1319" s="41"/>
    </row>
    <row r="1320" spans="5:12" s="39" customFormat="1" x14ac:dyDescent="0.3">
      <c r="E1320" s="41"/>
      <c r="F1320" s="41"/>
      <c r="G1320" s="41"/>
      <c r="H1320" s="41"/>
      <c r="I1320" s="41"/>
      <c r="J1320" s="41"/>
      <c r="K1320" s="41"/>
      <c r="L1320" s="41"/>
    </row>
    <row r="1321" spans="5:12" s="39" customFormat="1" x14ac:dyDescent="0.3">
      <c r="E1321" s="41"/>
      <c r="F1321" s="41"/>
      <c r="G1321" s="41"/>
      <c r="H1321" s="41"/>
      <c r="I1321" s="41"/>
      <c r="J1321" s="41"/>
      <c r="K1321" s="41"/>
      <c r="L1321" s="41"/>
    </row>
    <row r="1322" spans="5:12" s="39" customFormat="1" x14ac:dyDescent="0.3">
      <c r="E1322" s="41"/>
      <c r="F1322" s="41"/>
      <c r="G1322" s="41"/>
      <c r="H1322" s="41"/>
      <c r="I1322" s="41"/>
      <c r="J1322" s="41"/>
      <c r="K1322" s="41"/>
      <c r="L1322" s="41"/>
    </row>
    <row r="1323" spans="5:12" s="39" customFormat="1" x14ac:dyDescent="0.3">
      <c r="E1323" s="41"/>
      <c r="F1323" s="41"/>
      <c r="G1323" s="41"/>
      <c r="H1323" s="41"/>
      <c r="I1323" s="41"/>
      <c r="J1323" s="41"/>
      <c r="K1323" s="41"/>
      <c r="L1323" s="41"/>
    </row>
    <row r="1324" spans="5:12" s="39" customFormat="1" x14ac:dyDescent="0.3">
      <c r="E1324" s="41"/>
      <c r="F1324" s="41"/>
      <c r="G1324" s="41"/>
      <c r="H1324" s="41"/>
      <c r="I1324" s="41"/>
      <c r="J1324" s="41"/>
      <c r="K1324" s="41"/>
      <c r="L1324" s="41"/>
    </row>
    <row r="1325" spans="5:12" s="39" customFormat="1" x14ac:dyDescent="0.3">
      <c r="E1325" s="41"/>
      <c r="F1325" s="41"/>
      <c r="G1325" s="41"/>
      <c r="H1325" s="41"/>
      <c r="I1325" s="41"/>
      <c r="J1325" s="41"/>
      <c r="K1325" s="41"/>
      <c r="L1325" s="41"/>
    </row>
    <row r="1326" spans="5:12" s="39" customFormat="1" x14ac:dyDescent="0.3">
      <c r="E1326" s="41"/>
      <c r="F1326" s="41"/>
      <c r="G1326" s="41"/>
      <c r="H1326" s="41"/>
      <c r="I1326" s="41"/>
      <c r="J1326" s="41"/>
      <c r="K1326" s="41"/>
      <c r="L1326" s="41"/>
    </row>
    <row r="1327" spans="5:12" s="39" customFormat="1" x14ac:dyDescent="0.3">
      <c r="E1327" s="41"/>
      <c r="F1327" s="41"/>
      <c r="G1327" s="41"/>
      <c r="H1327" s="41"/>
      <c r="I1327" s="41"/>
      <c r="J1327" s="41"/>
      <c r="K1327" s="41"/>
      <c r="L1327" s="41"/>
    </row>
    <row r="1328" spans="5:12" s="39" customFormat="1" x14ac:dyDescent="0.3">
      <c r="E1328" s="41"/>
      <c r="F1328" s="41"/>
      <c r="G1328" s="41"/>
      <c r="H1328" s="41"/>
      <c r="I1328" s="41"/>
      <c r="J1328" s="41"/>
      <c r="K1328" s="41"/>
      <c r="L1328" s="41"/>
    </row>
    <row r="1329" spans="5:12" s="39" customFormat="1" x14ac:dyDescent="0.3">
      <c r="E1329" s="41"/>
      <c r="F1329" s="41"/>
      <c r="G1329" s="41"/>
      <c r="H1329" s="41"/>
      <c r="I1329" s="41"/>
      <c r="J1329" s="41"/>
      <c r="K1329" s="41"/>
      <c r="L1329" s="41"/>
    </row>
    <row r="1330" spans="5:12" s="39" customFormat="1" x14ac:dyDescent="0.3">
      <c r="E1330" s="41"/>
      <c r="F1330" s="41"/>
      <c r="G1330" s="41"/>
      <c r="H1330" s="41"/>
      <c r="I1330" s="41"/>
      <c r="J1330" s="41"/>
      <c r="K1330" s="41"/>
      <c r="L1330" s="41"/>
    </row>
    <row r="1331" spans="5:12" s="39" customFormat="1" x14ac:dyDescent="0.3">
      <c r="E1331" s="41"/>
      <c r="F1331" s="41"/>
      <c r="G1331" s="41"/>
      <c r="H1331" s="41"/>
      <c r="I1331" s="41"/>
      <c r="J1331" s="41"/>
      <c r="K1331" s="41"/>
      <c r="L1331" s="41"/>
    </row>
    <row r="1332" spans="5:12" s="39" customFormat="1" x14ac:dyDescent="0.3">
      <c r="E1332" s="41"/>
      <c r="F1332" s="41"/>
      <c r="G1332" s="41"/>
      <c r="H1332" s="41"/>
      <c r="I1332" s="41"/>
      <c r="J1332" s="41"/>
      <c r="K1332" s="41"/>
      <c r="L1332" s="41"/>
    </row>
    <row r="1333" spans="5:12" s="39" customFormat="1" x14ac:dyDescent="0.3">
      <c r="E1333" s="41"/>
      <c r="F1333" s="41"/>
      <c r="G1333" s="41"/>
      <c r="H1333" s="41"/>
      <c r="I1333" s="41"/>
      <c r="J1333" s="41"/>
      <c r="K1333" s="41"/>
      <c r="L1333" s="41"/>
    </row>
    <row r="1334" spans="5:12" s="39" customFormat="1" x14ac:dyDescent="0.3">
      <c r="E1334" s="41"/>
      <c r="F1334" s="41"/>
      <c r="G1334" s="41"/>
      <c r="H1334" s="41"/>
      <c r="I1334" s="41"/>
      <c r="J1334" s="41"/>
      <c r="K1334" s="41"/>
      <c r="L1334" s="41"/>
    </row>
    <row r="1335" spans="5:12" s="39" customFormat="1" x14ac:dyDescent="0.3">
      <c r="E1335" s="41"/>
      <c r="F1335" s="41"/>
      <c r="G1335" s="41"/>
      <c r="H1335" s="41"/>
      <c r="I1335" s="41"/>
      <c r="J1335" s="41"/>
      <c r="K1335" s="41"/>
      <c r="L1335" s="41"/>
    </row>
    <row r="1336" spans="5:12" s="39" customFormat="1" x14ac:dyDescent="0.3">
      <c r="E1336" s="41"/>
      <c r="F1336" s="41"/>
      <c r="G1336" s="41"/>
      <c r="H1336" s="41"/>
      <c r="I1336" s="41"/>
      <c r="J1336" s="41"/>
      <c r="K1336" s="41"/>
      <c r="L1336" s="41"/>
    </row>
    <row r="1337" spans="5:12" s="39" customFormat="1" x14ac:dyDescent="0.3">
      <c r="E1337" s="41"/>
      <c r="F1337" s="41"/>
      <c r="G1337" s="41"/>
      <c r="H1337" s="41"/>
      <c r="I1337" s="41"/>
      <c r="J1337" s="41"/>
      <c r="K1337" s="41"/>
      <c r="L1337" s="41"/>
    </row>
    <row r="1338" spans="5:12" s="39" customFormat="1" x14ac:dyDescent="0.3">
      <c r="E1338" s="41"/>
      <c r="F1338" s="41"/>
      <c r="G1338" s="41"/>
      <c r="H1338" s="41"/>
      <c r="I1338" s="41"/>
      <c r="J1338" s="41"/>
      <c r="K1338" s="41"/>
      <c r="L1338" s="41"/>
    </row>
    <row r="1339" spans="5:12" s="39" customFormat="1" x14ac:dyDescent="0.3">
      <c r="E1339" s="41"/>
      <c r="F1339" s="41"/>
      <c r="G1339" s="41"/>
      <c r="H1339" s="41"/>
      <c r="I1339" s="41"/>
      <c r="J1339" s="41"/>
      <c r="K1339" s="41"/>
      <c r="L1339" s="41"/>
    </row>
    <row r="1340" spans="5:12" s="39" customFormat="1" x14ac:dyDescent="0.3">
      <c r="E1340" s="41"/>
      <c r="F1340" s="41"/>
      <c r="G1340" s="41"/>
      <c r="H1340" s="41"/>
      <c r="I1340" s="41"/>
      <c r="J1340" s="41"/>
      <c r="K1340" s="41"/>
      <c r="L1340" s="41"/>
    </row>
    <row r="1341" spans="5:12" s="39" customFormat="1" x14ac:dyDescent="0.3">
      <c r="E1341" s="41"/>
      <c r="F1341" s="41"/>
      <c r="G1341" s="41"/>
      <c r="H1341" s="41"/>
      <c r="I1341" s="41"/>
      <c r="J1341" s="41"/>
      <c r="K1341" s="41"/>
      <c r="L1341" s="41"/>
    </row>
    <row r="1342" spans="5:12" s="39" customFormat="1" x14ac:dyDescent="0.3">
      <c r="E1342" s="41"/>
      <c r="F1342" s="41"/>
      <c r="G1342" s="41"/>
      <c r="H1342" s="41"/>
      <c r="I1342" s="41"/>
      <c r="J1342" s="41"/>
      <c r="K1342" s="41"/>
      <c r="L1342" s="41"/>
    </row>
    <row r="1343" spans="5:12" s="39" customFormat="1" x14ac:dyDescent="0.3">
      <c r="E1343" s="41"/>
      <c r="F1343" s="41"/>
      <c r="G1343" s="41"/>
      <c r="H1343" s="41"/>
      <c r="I1343" s="41"/>
      <c r="J1343" s="41"/>
      <c r="K1343" s="41"/>
      <c r="L1343" s="41"/>
    </row>
    <row r="1344" spans="5:12" s="39" customFormat="1" x14ac:dyDescent="0.3">
      <c r="E1344" s="41"/>
      <c r="F1344" s="41"/>
      <c r="G1344" s="41"/>
      <c r="H1344" s="41"/>
      <c r="I1344" s="41"/>
      <c r="J1344" s="41"/>
      <c r="K1344" s="41"/>
      <c r="L1344" s="41"/>
    </row>
    <row r="1345" spans="5:12" s="39" customFormat="1" x14ac:dyDescent="0.3">
      <c r="E1345" s="41"/>
      <c r="F1345" s="41"/>
      <c r="G1345" s="41"/>
      <c r="H1345" s="41"/>
      <c r="I1345" s="41"/>
      <c r="J1345" s="41"/>
      <c r="K1345" s="41"/>
      <c r="L1345" s="41"/>
    </row>
    <row r="1346" spans="5:12" s="39" customFormat="1" x14ac:dyDescent="0.3">
      <c r="E1346" s="41"/>
      <c r="F1346" s="41"/>
      <c r="G1346" s="41"/>
      <c r="H1346" s="41"/>
      <c r="I1346" s="41"/>
      <c r="J1346" s="41"/>
      <c r="K1346" s="41"/>
      <c r="L1346" s="41"/>
    </row>
    <row r="1347" spans="5:12" s="39" customFormat="1" x14ac:dyDescent="0.3">
      <c r="E1347" s="41"/>
      <c r="F1347" s="41"/>
      <c r="G1347" s="41"/>
      <c r="H1347" s="41"/>
      <c r="I1347" s="41"/>
      <c r="J1347" s="41"/>
      <c r="K1347" s="41"/>
      <c r="L1347" s="41"/>
    </row>
    <row r="1348" spans="5:12" s="39" customFormat="1" x14ac:dyDescent="0.3">
      <c r="E1348" s="41"/>
      <c r="F1348" s="41"/>
      <c r="G1348" s="41"/>
      <c r="H1348" s="41"/>
      <c r="I1348" s="41"/>
      <c r="J1348" s="41"/>
      <c r="K1348" s="41"/>
      <c r="L1348" s="41"/>
    </row>
    <row r="1349" spans="5:12" s="39" customFormat="1" x14ac:dyDescent="0.3">
      <c r="E1349" s="41"/>
      <c r="F1349" s="41"/>
      <c r="G1349" s="41"/>
      <c r="H1349" s="41"/>
      <c r="I1349" s="41"/>
      <c r="J1349" s="41"/>
      <c r="K1349" s="41"/>
      <c r="L1349" s="41"/>
    </row>
    <row r="1350" spans="5:12" s="39" customFormat="1" x14ac:dyDescent="0.3">
      <c r="E1350" s="41"/>
      <c r="F1350" s="41"/>
      <c r="G1350" s="41"/>
      <c r="H1350" s="41"/>
      <c r="I1350" s="41"/>
      <c r="J1350" s="41"/>
      <c r="K1350" s="41"/>
      <c r="L1350" s="41"/>
    </row>
    <row r="1351" spans="5:12" s="39" customFormat="1" x14ac:dyDescent="0.3">
      <c r="E1351" s="41"/>
      <c r="F1351" s="41"/>
      <c r="G1351" s="41"/>
      <c r="H1351" s="41"/>
      <c r="I1351" s="41"/>
      <c r="J1351" s="41"/>
      <c r="K1351" s="41"/>
      <c r="L1351" s="41"/>
    </row>
    <row r="1352" spans="5:12" s="39" customFormat="1" x14ac:dyDescent="0.3">
      <c r="E1352" s="41"/>
      <c r="F1352" s="41"/>
      <c r="G1352" s="41"/>
      <c r="H1352" s="41"/>
      <c r="I1352" s="41"/>
      <c r="J1352" s="41"/>
      <c r="K1352" s="41"/>
      <c r="L1352" s="41"/>
    </row>
    <row r="1353" spans="5:12" s="39" customFormat="1" x14ac:dyDescent="0.3">
      <c r="E1353" s="41"/>
      <c r="F1353" s="41"/>
      <c r="G1353" s="41"/>
      <c r="H1353" s="41"/>
      <c r="I1353" s="41"/>
      <c r="J1353" s="41"/>
      <c r="K1353" s="41"/>
      <c r="L1353" s="41"/>
    </row>
    <row r="1354" spans="5:12" s="39" customFormat="1" x14ac:dyDescent="0.3">
      <c r="E1354" s="41"/>
      <c r="F1354" s="41"/>
      <c r="G1354" s="41"/>
      <c r="H1354" s="41"/>
      <c r="I1354" s="41"/>
      <c r="J1354" s="41"/>
      <c r="K1354" s="41"/>
      <c r="L1354" s="41"/>
    </row>
    <row r="1355" spans="5:12" s="39" customFormat="1" x14ac:dyDescent="0.3">
      <c r="E1355" s="41"/>
      <c r="F1355" s="41"/>
      <c r="G1355" s="41"/>
      <c r="H1355" s="41"/>
      <c r="I1355" s="41"/>
      <c r="J1355" s="41"/>
      <c r="K1355" s="41"/>
      <c r="L1355" s="41"/>
    </row>
    <row r="1356" spans="5:12" s="39" customFormat="1" x14ac:dyDescent="0.3">
      <c r="E1356" s="41"/>
      <c r="F1356" s="41"/>
      <c r="G1356" s="41"/>
      <c r="H1356" s="41"/>
      <c r="I1356" s="41"/>
      <c r="J1356" s="41"/>
      <c r="K1356" s="41"/>
      <c r="L1356" s="41"/>
    </row>
    <row r="1357" spans="5:12" s="39" customFormat="1" x14ac:dyDescent="0.3">
      <c r="E1357" s="41"/>
      <c r="F1357" s="41"/>
      <c r="G1357" s="41"/>
      <c r="H1357" s="41"/>
      <c r="I1357" s="41"/>
      <c r="J1357" s="41"/>
      <c r="K1357" s="41"/>
      <c r="L1357" s="41"/>
    </row>
    <row r="1358" spans="5:12" s="39" customFormat="1" x14ac:dyDescent="0.3">
      <c r="E1358" s="41"/>
      <c r="F1358" s="41"/>
      <c r="G1358" s="41"/>
      <c r="H1358" s="41"/>
      <c r="I1358" s="41"/>
      <c r="J1358" s="41"/>
      <c r="K1358" s="41"/>
      <c r="L1358" s="41"/>
    </row>
    <row r="1359" spans="5:12" s="39" customFormat="1" x14ac:dyDescent="0.3">
      <c r="E1359" s="41"/>
      <c r="F1359" s="41"/>
      <c r="G1359" s="41"/>
      <c r="H1359" s="41"/>
      <c r="I1359" s="41"/>
      <c r="J1359" s="41"/>
      <c r="K1359" s="41"/>
      <c r="L1359" s="41"/>
    </row>
    <row r="1360" spans="5:12" s="39" customFormat="1" x14ac:dyDescent="0.3">
      <c r="E1360" s="41"/>
      <c r="F1360" s="41"/>
      <c r="G1360" s="41"/>
      <c r="H1360" s="41"/>
      <c r="I1360" s="41"/>
      <c r="J1360" s="41"/>
      <c r="K1360" s="41"/>
      <c r="L1360" s="41"/>
    </row>
    <row r="1361" spans="5:12" s="39" customFormat="1" x14ac:dyDescent="0.3">
      <c r="E1361" s="41"/>
      <c r="F1361" s="41"/>
      <c r="G1361" s="41"/>
      <c r="H1361" s="41"/>
      <c r="I1361" s="41"/>
      <c r="J1361" s="41"/>
      <c r="K1361" s="41"/>
      <c r="L1361" s="41"/>
    </row>
    <row r="1362" spans="5:12" s="39" customFormat="1" x14ac:dyDescent="0.3">
      <c r="E1362" s="41"/>
      <c r="F1362" s="41"/>
      <c r="G1362" s="41"/>
      <c r="H1362" s="41"/>
      <c r="I1362" s="41"/>
      <c r="J1362" s="41"/>
      <c r="K1362" s="41"/>
      <c r="L1362" s="41"/>
    </row>
    <row r="1363" spans="5:12" s="39" customFormat="1" x14ac:dyDescent="0.3">
      <c r="E1363" s="41"/>
      <c r="F1363" s="41"/>
      <c r="G1363" s="41"/>
      <c r="H1363" s="41"/>
      <c r="I1363" s="41"/>
      <c r="J1363" s="41"/>
      <c r="K1363" s="41"/>
      <c r="L1363" s="41"/>
    </row>
    <row r="1364" spans="5:12" s="39" customFormat="1" x14ac:dyDescent="0.3">
      <c r="E1364" s="41"/>
      <c r="F1364" s="41"/>
      <c r="G1364" s="41"/>
      <c r="H1364" s="41"/>
      <c r="I1364" s="41"/>
      <c r="J1364" s="41"/>
      <c r="K1364" s="41"/>
      <c r="L1364" s="41"/>
    </row>
    <row r="1365" spans="5:12" s="39" customFormat="1" x14ac:dyDescent="0.3">
      <c r="E1365" s="41"/>
      <c r="F1365" s="41"/>
      <c r="G1365" s="41"/>
      <c r="H1365" s="41"/>
      <c r="I1365" s="41"/>
      <c r="J1365" s="41"/>
      <c r="K1365" s="41"/>
      <c r="L1365" s="41"/>
    </row>
    <row r="1366" spans="5:12" s="39" customFormat="1" x14ac:dyDescent="0.3">
      <c r="E1366" s="41"/>
      <c r="F1366" s="41"/>
      <c r="G1366" s="41"/>
      <c r="H1366" s="41"/>
      <c r="I1366" s="41"/>
      <c r="J1366" s="41"/>
      <c r="K1366" s="41"/>
      <c r="L1366" s="41"/>
    </row>
    <row r="1367" spans="5:12" s="39" customFormat="1" x14ac:dyDescent="0.3">
      <c r="E1367" s="41"/>
      <c r="F1367" s="41"/>
      <c r="G1367" s="41"/>
      <c r="H1367" s="41"/>
      <c r="I1367" s="41"/>
      <c r="J1367" s="41"/>
      <c r="K1367" s="41"/>
      <c r="L1367" s="41"/>
    </row>
    <row r="1368" spans="5:12" s="39" customFormat="1" x14ac:dyDescent="0.3">
      <c r="E1368" s="41"/>
      <c r="F1368" s="41"/>
      <c r="G1368" s="41"/>
      <c r="H1368" s="41"/>
      <c r="I1368" s="41"/>
      <c r="J1368" s="41"/>
      <c r="K1368" s="41"/>
      <c r="L1368" s="41"/>
    </row>
    <row r="1369" spans="5:12" s="39" customFormat="1" x14ac:dyDescent="0.3">
      <c r="E1369" s="41"/>
      <c r="F1369" s="41"/>
      <c r="G1369" s="41"/>
      <c r="H1369" s="41"/>
      <c r="I1369" s="41"/>
      <c r="J1369" s="41"/>
      <c r="K1369" s="41"/>
      <c r="L1369" s="41"/>
    </row>
    <row r="1370" spans="5:12" s="39" customFormat="1" x14ac:dyDescent="0.3">
      <c r="E1370" s="41"/>
      <c r="F1370" s="41"/>
      <c r="G1370" s="41"/>
      <c r="H1370" s="41"/>
      <c r="I1370" s="41"/>
      <c r="J1370" s="41"/>
      <c r="K1370" s="41"/>
      <c r="L1370" s="41"/>
    </row>
    <row r="1371" spans="5:12" s="39" customFormat="1" x14ac:dyDescent="0.3">
      <c r="E1371" s="41"/>
      <c r="F1371" s="41"/>
      <c r="G1371" s="41"/>
      <c r="H1371" s="41"/>
      <c r="I1371" s="41"/>
      <c r="J1371" s="41"/>
      <c r="K1371" s="41"/>
      <c r="L1371" s="41"/>
    </row>
    <row r="1372" spans="5:12" s="39" customFormat="1" x14ac:dyDescent="0.3">
      <c r="E1372" s="41"/>
      <c r="F1372" s="41"/>
      <c r="G1372" s="41"/>
      <c r="H1372" s="41"/>
      <c r="I1372" s="41"/>
      <c r="J1372" s="41"/>
      <c r="K1372" s="41"/>
      <c r="L1372" s="41"/>
    </row>
    <row r="1373" spans="5:12" s="39" customFormat="1" x14ac:dyDescent="0.3">
      <c r="E1373" s="41"/>
      <c r="F1373" s="41"/>
      <c r="G1373" s="41"/>
      <c r="H1373" s="41"/>
      <c r="I1373" s="41"/>
      <c r="J1373" s="41"/>
      <c r="K1373" s="41"/>
      <c r="L1373" s="41"/>
    </row>
    <row r="1374" spans="5:12" s="39" customFormat="1" x14ac:dyDescent="0.3">
      <c r="E1374" s="41"/>
      <c r="F1374" s="41"/>
      <c r="G1374" s="41"/>
      <c r="H1374" s="41"/>
      <c r="I1374" s="41"/>
      <c r="J1374" s="41"/>
      <c r="K1374" s="41"/>
      <c r="L1374" s="41"/>
    </row>
    <row r="1375" spans="5:12" s="39" customFormat="1" x14ac:dyDescent="0.3">
      <c r="E1375" s="41"/>
      <c r="F1375" s="41"/>
      <c r="G1375" s="41"/>
      <c r="H1375" s="41"/>
      <c r="I1375" s="41"/>
      <c r="J1375" s="41"/>
      <c r="K1375" s="41"/>
      <c r="L1375" s="41"/>
    </row>
    <row r="1376" spans="5:12" s="39" customFormat="1" x14ac:dyDescent="0.3">
      <c r="E1376" s="41"/>
      <c r="F1376" s="41"/>
      <c r="G1376" s="41"/>
      <c r="H1376" s="41"/>
      <c r="I1376" s="41"/>
      <c r="J1376" s="41"/>
      <c r="K1376" s="41"/>
      <c r="L1376" s="41"/>
    </row>
    <row r="1377" spans="5:12" s="39" customFormat="1" x14ac:dyDescent="0.3">
      <c r="E1377" s="41"/>
      <c r="F1377" s="41"/>
      <c r="G1377" s="41"/>
      <c r="H1377" s="41"/>
      <c r="I1377" s="41"/>
      <c r="J1377" s="41"/>
      <c r="K1377" s="41"/>
      <c r="L1377" s="41"/>
    </row>
    <row r="1378" spans="5:12" s="39" customFormat="1" x14ac:dyDescent="0.3">
      <c r="E1378" s="41"/>
      <c r="F1378" s="41"/>
      <c r="G1378" s="41"/>
      <c r="H1378" s="41"/>
      <c r="I1378" s="41"/>
      <c r="J1378" s="41"/>
      <c r="K1378" s="41"/>
      <c r="L1378" s="41"/>
    </row>
    <row r="1379" spans="5:12" s="39" customFormat="1" x14ac:dyDescent="0.3">
      <c r="E1379" s="41"/>
      <c r="F1379" s="41"/>
      <c r="G1379" s="41"/>
      <c r="H1379" s="41"/>
      <c r="I1379" s="41"/>
      <c r="J1379" s="41"/>
      <c r="K1379" s="41"/>
      <c r="L1379" s="41"/>
    </row>
    <row r="1380" spans="5:12" s="39" customFormat="1" x14ac:dyDescent="0.3">
      <c r="E1380" s="41"/>
      <c r="F1380" s="41"/>
      <c r="G1380" s="41"/>
      <c r="H1380" s="41"/>
      <c r="I1380" s="41"/>
      <c r="J1380" s="41"/>
      <c r="K1380" s="41"/>
      <c r="L1380" s="41"/>
    </row>
    <row r="1381" spans="5:12" s="39" customFormat="1" x14ac:dyDescent="0.3">
      <c r="E1381" s="41"/>
      <c r="F1381" s="41"/>
      <c r="G1381" s="41"/>
      <c r="H1381" s="41"/>
      <c r="I1381" s="41"/>
      <c r="J1381" s="41"/>
      <c r="K1381" s="41"/>
      <c r="L1381" s="41"/>
    </row>
    <row r="1382" spans="5:12" s="39" customFormat="1" x14ac:dyDescent="0.3">
      <c r="E1382" s="41"/>
      <c r="F1382" s="41"/>
      <c r="G1382" s="41"/>
      <c r="H1382" s="41"/>
      <c r="I1382" s="41"/>
      <c r="J1382" s="41"/>
      <c r="K1382" s="41"/>
      <c r="L1382" s="41"/>
    </row>
    <row r="1383" spans="5:12" s="39" customFormat="1" x14ac:dyDescent="0.3">
      <c r="E1383" s="41"/>
      <c r="F1383" s="41"/>
      <c r="G1383" s="41"/>
      <c r="H1383" s="41"/>
      <c r="I1383" s="41"/>
      <c r="J1383" s="41"/>
      <c r="K1383" s="41"/>
      <c r="L1383" s="41"/>
    </row>
    <row r="1384" spans="5:12" s="39" customFormat="1" x14ac:dyDescent="0.3">
      <c r="E1384" s="41"/>
      <c r="F1384" s="41"/>
      <c r="G1384" s="41"/>
      <c r="H1384" s="41"/>
      <c r="I1384" s="41"/>
      <c r="J1384" s="41"/>
      <c r="K1384" s="41"/>
      <c r="L1384" s="41"/>
    </row>
    <row r="1385" spans="5:12" s="39" customFormat="1" x14ac:dyDescent="0.3">
      <c r="E1385" s="41"/>
      <c r="F1385" s="41"/>
      <c r="G1385" s="41"/>
      <c r="H1385" s="41"/>
      <c r="I1385" s="41"/>
      <c r="J1385" s="41"/>
      <c r="K1385" s="41"/>
      <c r="L1385" s="41"/>
    </row>
    <row r="1386" spans="5:12" s="39" customFormat="1" x14ac:dyDescent="0.3">
      <c r="E1386" s="41"/>
      <c r="F1386" s="41"/>
      <c r="G1386" s="41"/>
      <c r="H1386" s="41"/>
      <c r="I1386" s="41"/>
      <c r="J1386" s="41"/>
      <c r="K1386" s="41"/>
      <c r="L1386" s="41"/>
    </row>
    <row r="1387" spans="5:12" s="39" customFormat="1" x14ac:dyDescent="0.3">
      <c r="E1387" s="41"/>
      <c r="F1387" s="41"/>
      <c r="G1387" s="41"/>
      <c r="H1387" s="41"/>
      <c r="I1387" s="41"/>
      <c r="J1387" s="41"/>
      <c r="K1387" s="41"/>
      <c r="L1387" s="41"/>
    </row>
    <row r="1388" spans="5:12" s="39" customFormat="1" x14ac:dyDescent="0.3">
      <c r="E1388" s="41"/>
      <c r="F1388" s="41"/>
      <c r="G1388" s="41"/>
      <c r="H1388" s="41"/>
      <c r="I1388" s="41"/>
      <c r="J1388" s="41"/>
      <c r="K1388" s="41"/>
      <c r="L1388" s="41"/>
    </row>
    <row r="1389" spans="5:12" s="39" customFormat="1" x14ac:dyDescent="0.3">
      <c r="E1389" s="41"/>
      <c r="F1389" s="41"/>
      <c r="G1389" s="41"/>
      <c r="H1389" s="41"/>
      <c r="I1389" s="41"/>
      <c r="J1389" s="41"/>
      <c r="K1389" s="41"/>
      <c r="L1389" s="41"/>
    </row>
    <row r="1390" spans="5:12" s="39" customFormat="1" x14ac:dyDescent="0.3">
      <c r="E1390" s="41"/>
      <c r="F1390" s="41"/>
      <c r="G1390" s="41"/>
      <c r="H1390" s="41"/>
      <c r="I1390" s="41"/>
      <c r="J1390" s="41"/>
      <c r="K1390" s="41"/>
      <c r="L1390" s="41"/>
    </row>
    <row r="1391" spans="5:12" s="39" customFormat="1" x14ac:dyDescent="0.3">
      <c r="E1391" s="41"/>
      <c r="F1391" s="41"/>
      <c r="G1391" s="41"/>
      <c r="H1391" s="41"/>
      <c r="I1391" s="41"/>
      <c r="J1391" s="41"/>
      <c r="K1391" s="41"/>
      <c r="L1391" s="41"/>
    </row>
    <row r="1392" spans="5:12" s="39" customFormat="1" x14ac:dyDescent="0.3">
      <c r="E1392" s="41"/>
      <c r="F1392" s="41"/>
      <c r="G1392" s="41"/>
      <c r="H1392" s="41"/>
      <c r="I1392" s="41"/>
      <c r="J1392" s="41"/>
      <c r="K1392" s="41"/>
      <c r="L1392" s="41"/>
    </row>
    <row r="1393" spans="5:12" s="39" customFormat="1" x14ac:dyDescent="0.3">
      <c r="E1393" s="41"/>
      <c r="F1393" s="41"/>
      <c r="G1393" s="41"/>
      <c r="H1393" s="41"/>
      <c r="I1393" s="41"/>
      <c r="J1393" s="41"/>
      <c r="K1393" s="41"/>
      <c r="L1393" s="41"/>
    </row>
    <row r="1394" spans="5:12" s="39" customFormat="1" x14ac:dyDescent="0.3">
      <c r="E1394" s="41"/>
      <c r="F1394" s="41"/>
      <c r="G1394" s="41"/>
      <c r="H1394" s="41"/>
      <c r="I1394" s="41"/>
      <c r="J1394" s="41"/>
      <c r="K1394" s="41"/>
      <c r="L1394" s="41"/>
    </row>
    <row r="1395" spans="5:12" s="39" customFormat="1" x14ac:dyDescent="0.3">
      <c r="E1395" s="41"/>
      <c r="F1395" s="41"/>
      <c r="G1395" s="41"/>
      <c r="H1395" s="41"/>
      <c r="I1395" s="41"/>
      <c r="J1395" s="41"/>
      <c r="K1395" s="41"/>
      <c r="L1395" s="41"/>
    </row>
    <row r="1396" spans="5:12" s="39" customFormat="1" x14ac:dyDescent="0.3">
      <c r="E1396" s="41"/>
      <c r="F1396" s="41"/>
      <c r="G1396" s="41"/>
      <c r="H1396" s="41"/>
      <c r="I1396" s="41"/>
      <c r="J1396" s="41"/>
      <c r="K1396" s="41"/>
      <c r="L1396" s="41"/>
    </row>
    <row r="1397" spans="5:12" s="39" customFormat="1" x14ac:dyDescent="0.3">
      <c r="E1397" s="41"/>
      <c r="F1397" s="41"/>
      <c r="G1397" s="41"/>
      <c r="H1397" s="41"/>
      <c r="I1397" s="41"/>
      <c r="J1397" s="41"/>
      <c r="K1397" s="41"/>
      <c r="L1397" s="41"/>
    </row>
    <row r="1398" spans="5:12" s="39" customFormat="1" x14ac:dyDescent="0.3">
      <c r="E1398" s="41"/>
      <c r="F1398" s="41"/>
      <c r="G1398" s="41"/>
      <c r="H1398" s="41"/>
      <c r="I1398" s="41"/>
      <c r="J1398" s="41"/>
      <c r="K1398" s="41"/>
      <c r="L1398" s="41"/>
    </row>
    <row r="1399" spans="5:12" s="39" customFormat="1" x14ac:dyDescent="0.3">
      <c r="E1399" s="41"/>
      <c r="F1399" s="41"/>
      <c r="G1399" s="41"/>
      <c r="H1399" s="41"/>
      <c r="I1399" s="41"/>
      <c r="J1399" s="41"/>
      <c r="K1399" s="41"/>
      <c r="L1399" s="41"/>
    </row>
    <row r="1400" spans="5:12" s="39" customFormat="1" x14ac:dyDescent="0.3">
      <c r="E1400" s="41"/>
      <c r="F1400" s="41"/>
      <c r="G1400" s="41"/>
      <c r="H1400" s="41"/>
      <c r="I1400" s="41"/>
      <c r="J1400" s="41"/>
      <c r="K1400" s="41"/>
      <c r="L1400" s="41"/>
    </row>
    <row r="1401" spans="5:12" s="39" customFormat="1" x14ac:dyDescent="0.3">
      <c r="E1401" s="41"/>
      <c r="F1401" s="41"/>
      <c r="G1401" s="41"/>
      <c r="H1401" s="41"/>
      <c r="I1401" s="41"/>
      <c r="J1401" s="41"/>
      <c r="K1401" s="41"/>
      <c r="L1401" s="41"/>
    </row>
    <row r="1402" spans="5:12" s="39" customFormat="1" x14ac:dyDescent="0.3">
      <c r="E1402" s="41"/>
      <c r="F1402" s="41"/>
      <c r="G1402" s="41"/>
      <c r="H1402" s="41"/>
      <c r="I1402" s="41"/>
      <c r="J1402" s="41"/>
      <c r="K1402" s="41"/>
      <c r="L1402" s="41"/>
    </row>
    <row r="1403" spans="5:12" s="39" customFormat="1" x14ac:dyDescent="0.3">
      <c r="E1403" s="41"/>
      <c r="F1403" s="41"/>
      <c r="G1403" s="41"/>
      <c r="H1403" s="41"/>
      <c r="I1403" s="41"/>
      <c r="J1403" s="41"/>
      <c r="K1403" s="41"/>
      <c r="L1403" s="41"/>
    </row>
    <row r="1404" spans="5:12" s="39" customFormat="1" x14ac:dyDescent="0.3">
      <c r="E1404" s="41"/>
      <c r="F1404" s="41"/>
      <c r="G1404" s="41"/>
      <c r="H1404" s="41"/>
      <c r="I1404" s="41"/>
      <c r="J1404" s="41"/>
      <c r="K1404" s="41"/>
      <c r="L1404" s="41"/>
    </row>
    <row r="1405" spans="5:12" s="39" customFormat="1" x14ac:dyDescent="0.3">
      <c r="E1405" s="41"/>
      <c r="F1405" s="41"/>
      <c r="G1405" s="41"/>
      <c r="H1405" s="41"/>
      <c r="I1405" s="41"/>
      <c r="J1405" s="41"/>
      <c r="K1405" s="41"/>
      <c r="L1405" s="41"/>
    </row>
    <row r="1406" spans="5:12" s="39" customFormat="1" x14ac:dyDescent="0.3">
      <c r="E1406" s="41"/>
      <c r="F1406" s="41"/>
      <c r="G1406" s="41"/>
      <c r="H1406" s="41"/>
      <c r="I1406" s="41"/>
      <c r="J1406" s="41"/>
      <c r="K1406" s="41"/>
      <c r="L1406" s="41"/>
    </row>
    <row r="1407" spans="5:12" s="39" customFormat="1" x14ac:dyDescent="0.3">
      <c r="E1407" s="41"/>
      <c r="F1407" s="41"/>
      <c r="G1407" s="41"/>
      <c r="H1407" s="41"/>
      <c r="I1407" s="41"/>
      <c r="J1407" s="41"/>
      <c r="K1407" s="41"/>
      <c r="L1407" s="41"/>
    </row>
    <row r="1408" spans="5:12" s="39" customFormat="1" x14ac:dyDescent="0.3">
      <c r="E1408" s="41"/>
      <c r="F1408" s="41"/>
      <c r="G1408" s="41"/>
      <c r="H1408" s="41"/>
      <c r="I1408" s="41"/>
      <c r="J1408" s="41"/>
      <c r="K1408" s="41"/>
      <c r="L1408" s="41"/>
    </row>
    <row r="1409" spans="5:12" s="39" customFormat="1" x14ac:dyDescent="0.3">
      <c r="E1409" s="41"/>
      <c r="F1409" s="41"/>
      <c r="G1409" s="41"/>
      <c r="H1409" s="41"/>
      <c r="I1409" s="41"/>
      <c r="J1409" s="41"/>
      <c r="K1409" s="41"/>
      <c r="L1409" s="41"/>
    </row>
    <row r="1410" spans="5:12" s="39" customFormat="1" x14ac:dyDescent="0.3">
      <c r="E1410" s="41"/>
      <c r="F1410" s="41"/>
      <c r="G1410" s="41"/>
      <c r="H1410" s="41"/>
      <c r="I1410" s="41"/>
      <c r="J1410" s="41"/>
      <c r="K1410" s="41"/>
      <c r="L1410" s="41"/>
    </row>
    <row r="1411" spans="5:12" s="39" customFormat="1" x14ac:dyDescent="0.3">
      <c r="E1411" s="41"/>
      <c r="F1411" s="41"/>
      <c r="G1411" s="41"/>
      <c r="H1411" s="41"/>
      <c r="I1411" s="41"/>
      <c r="J1411" s="41"/>
      <c r="K1411" s="41"/>
      <c r="L1411" s="41"/>
    </row>
    <row r="1412" spans="5:12" s="39" customFormat="1" x14ac:dyDescent="0.3">
      <c r="E1412" s="41"/>
      <c r="F1412" s="41"/>
      <c r="G1412" s="41"/>
      <c r="H1412" s="41"/>
      <c r="I1412" s="41"/>
      <c r="J1412" s="41"/>
      <c r="K1412" s="41"/>
      <c r="L1412" s="41"/>
    </row>
    <row r="1413" spans="5:12" s="39" customFormat="1" x14ac:dyDescent="0.3">
      <c r="E1413" s="41"/>
      <c r="F1413" s="41"/>
      <c r="G1413" s="41"/>
      <c r="H1413" s="41"/>
      <c r="I1413" s="41"/>
      <c r="J1413" s="41"/>
      <c r="K1413" s="41"/>
      <c r="L1413" s="41"/>
    </row>
    <row r="1414" spans="5:12" s="39" customFormat="1" x14ac:dyDescent="0.3">
      <c r="E1414" s="41"/>
      <c r="F1414" s="41"/>
      <c r="G1414" s="41"/>
      <c r="H1414" s="41"/>
      <c r="I1414" s="41"/>
      <c r="J1414" s="41"/>
      <c r="K1414" s="41"/>
      <c r="L1414" s="41"/>
    </row>
    <row r="1415" spans="5:12" s="39" customFormat="1" x14ac:dyDescent="0.3">
      <c r="E1415" s="41"/>
      <c r="F1415" s="41"/>
      <c r="G1415" s="41"/>
      <c r="H1415" s="41"/>
      <c r="I1415" s="41"/>
      <c r="J1415" s="41"/>
      <c r="K1415" s="41"/>
      <c r="L1415" s="41"/>
    </row>
    <row r="1416" spans="5:12" s="39" customFormat="1" x14ac:dyDescent="0.3">
      <c r="E1416" s="41"/>
      <c r="F1416" s="41"/>
      <c r="G1416" s="41"/>
      <c r="H1416" s="41"/>
      <c r="I1416" s="41"/>
      <c r="J1416" s="41"/>
      <c r="K1416" s="41"/>
      <c r="L1416" s="41"/>
    </row>
    <row r="1417" spans="5:12" s="39" customFormat="1" x14ac:dyDescent="0.3">
      <c r="E1417" s="41"/>
      <c r="F1417" s="41"/>
      <c r="G1417" s="41"/>
      <c r="H1417" s="41"/>
      <c r="I1417" s="41"/>
      <c r="J1417" s="41"/>
      <c r="K1417" s="41"/>
      <c r="L1417" s="41"/>
    </row>
    <row r="1418" spans="5:12" s="39" customFormat="1" x14ac:dyDescent="0.3">
      <c r="E1418" s="41"/>
      <c r="F1418" s="41"/>
      <c r="G1418" s="41"/>
      <c r="H1418" s="41"/>
      <c r="I1418" s="41"/>
      <c r="J1418" s="41"/>
      <c r="K1418" s="41"/>
      <c r="L1418" s="41"/>
    </row>
    <row r="1419" spans="5:12" s="39" customFormat="1" x14ac:dyDescent="0.3">
      <c r="E1419" s="41"/>
      <c r="F1419" s="41"/>
      <c r="G1419" s="41"/>
      <c r="H1419" s="41"/>
      <c r="I1419" s="41"/>
      <c r="J1419" s="41"/>
      <c r="K1419" s="41"/>
      <c r="L1419" s="41"/>
    </row>
    <row r="1420" spans="5:12" s="39" customFormat="1" x14ac:dyDescent="0.3">
      <c r="E1420" s="41"/>
      <c r="F1420" s="41"/>
      <c r="G1420" s="41"/>
      <c r="H1420" s="41"/>
      <c r="I1420" s="41"/>
      <c r="J1420" s="41"/>
      <c r="K1420" s="41"/>
      <c r="L1420" s="41"/>
    </row>
    <row r="1421" spans="5:12" s="39" customFormat="1" x14ac:dyDescent="0.3">
      <c r="E1421" s="41"/>
      <c r="F1421" s="41"/>
      <c r="G1421" s="41"/>
      <c r="H1421" s="41"/>
      <c r="I1421" s="41"/>
      <c r="J1421" s="41"/>
      <c r="K1421" s="41"/>
      <c r="L1421" s="41"/>
    </row>
    <row r="1422" spans="5:12" s="39" customFormat="1" x14ac:dyDescent="0.3">
      <c r="E1422" s="41"/>
      <c r="F1422" s="41"/>
      <c r="G1422" s="41"/>
      <c r="H1422" s="41"/>
      <c r="I1422" s="41"/>
      <c r="J1422" s="41"/>
      <c r="K1422" s="41"/>
      <c r="L1422" s="41"/>
    </row>
    <row r="1423" spans="5:12" s="39" customFormat="1" x14ac:dyDescent="0.3">
      <c r="E1423" s="41"/>
      <c r="F1423" s="41"/>
      <c r="G1423" s="41"/>
      <c r="H1423" s="41"/>
      <c r="I1423" s="41"/>
      <c r="J1423" s="41"/>
      <c r="K1423" s="41"/>
      <c r="L1423" s="41"/>
    </row>
    <row r="1424" spans="5:12" s="39" customFormat="1" x14ac:dyDescent="0.3">
      <c r="E1424" s="41"/>
      <c r="F1424" s="41"/>
      <c r="G1424" s="41"/>
      <c r="H1424" s="41"/>
      <c r="I1424" s="41"/>
      <c r="J1424" s="41"/>
      <c r="K1424" s="41"/>
      <c r="L1424" s="41"/>
    </row>
    <row r="1425" spans="5:12" s="39" customFormat="1" x14ac:dyDescent="0.3">
      <c r="E1425" s="41"/>
      <c r="F1425" s="41"/>
      <c r="G1425" s="41"/>
      <c r="H1425" s="41"/>
      <c r="I1425" s="41"/>
      <c r="J1425" s="41"/>
      <c r="K1425" s="41"/>
      <c r="L1425" s="41"/>
    </row>
    <row r="1426" spans="5:12" s="39" customFormat="1" x14ac:dyDescent="0.3">
      <c r="E1426" s="41"/>
      <c r="F1426" s="41"/>
      <c r="G1426" s="41"/>
      <c r="H1426" s="41"/>
      <c r="I1426" s="41"/>
      <c r="J1426" s="41"/>
      <c r="K1426" s="41"/>
      <c r="L1426" s="41"/>
    </row>
    <row r="1427" spans="5:12" s="39" customFormat="1" x14ac:dyDescent="0.3">
      <c r="E1427" s="41"/>
      <c r="F1427" s="41"/>
      <c r="G1427" s="41"/>
      <c r="H1427" s="41"/>
      <c r="I1427" s="41"/>
      <c r="J1427" s="41"/>
      <c r="K1427" s="41"/>
      <c r="L1427" s="41"/>
    </row>
    <row r="1428" spans="5:12" s="39" customFormat="1" x14ac:dyDescent="0.3">
      <c r="E1428" s="41"/>
      <c r="F1428" s="41"/>
      <c r="G1428" s="41"/>
      <c r="H1428" s="41"/>
      <c r="I1428" s="41"/>
      <c r="J1428" s="41"/>
      <c r="K1428" s="41"/>
      <c r="L1428" s="41"/>
    </row>
    <row r="1429" spans="5:12" s="39" customFormat="1" x14ac:dyDescent="0.3">
      <c r="E1429" s="41"/>
      <c r="F1429" s="41"/>
      <c r="G1429" s="41"/>
      <c r="H1429" s="41"/>
      <c r="I1429" s="41"/>
      <c r="J1429" s="41"/>
      <c r="K1429" s="41"/>
      <c r="L1429" s="41"/>
    </row>
    <row r="1430" spans="5:12" s="39" customFormat="1" x14ac:dyDescent="0.3">
      <c r="E1430" s="41"/>
      <c r="F1430" s="41"/>
      <c r="G1430" s="41"/>
      <c r="H1430" s="41"/>
      <c r="I1430" s="41"/>
      <c r="J1430" s="41"/>
      <c r="K1430" s="41"/>
      <c r="L1430" s="41"/>
    </row>
    <row r="1431" spans="5:12" s="39" customFormat="1" x14ac:dyDescent="0.3">
      <c r="E1431" s="41"/>
      <c r="F1431" s="41"/>
      <c r="G1431" s="41"/>
      <c r="H1431" s="41"/>
      <c r="I1431" s="41"/>
      <c r="J1431" s="41"/>
      <c r="K1431" s="41"/>
      <c r="L1431" s="41"/>
    </row>
    <row r="1432" spans="5:12" s="39" customFormat="1" x14ac:dyDescent="0.3">
      <c r="E1432" s="41"/>
      <c r="F1432" s="41"/>
      <c r="G1432" s="41"/>
      <c r="H1432" s="41"/>
      <c r="I1432" s="41"/>
      <c r="J1432" s="41"/>
      <c r="K1432" s="41"/>
      <c r="L1432" s="41"/>
    </row>
    <row r="1433" spans="5:12" s="39" customFormat="1" x14ac:dyDescent="0.3">
      <c r="E1433" s="41"/>
      <c r="F1433" s="41"/>
      <c r="G1433" s="41"/>
      <c r="H1433" s="41"/>
      <c r="I1433" s="41"/>
      <c r="J1433" s="41"/>
      <c r="K1433" s="41"/>
      <c r="L1433" s="41"/>
    </row>
    <row r="1434" spans="5:12" s="39" customFormat="1" x14ac:dyDescent="0.3">
      <c r="E1434" s="41"/>
      <c r="F1434" s="41"/>
      <c r="G1434" s="41"/>
      <c r="H1434" s="41"/>
      <c r="I1434" s="41"/>
      <c r="J1434" s="41"/>
      <c r="K1434" s="41"/>
      <c r="L1434" s="41"/>
    </row>
    <row r="1435" spans="5:12" s="39" customFormat="1" x14ac:dyDescent="0.3">
      <c r="E1435" s="41"/>
      <c r="F1435" s="41"/>
      <c r="G1435" s="41"/>
      <c r="H1435" s="41"/>
      <c r="I1435" s="41"/>
      <c r="J1435" s="41"/>
      <c r="K1435" s="41"/>
      <c r="L1435" s="41"/>
    </row>
    <row r="1436" spans="5:12" s="39" customFormat="1" x14ac:dyDescent="0.3">
      <c r="E1436" s="41"/>
      <c r="F1436" s="41"/>
      <c r="G1436" s="41"/>
      <c r="H1436" s="41"/>
      <c r="I1436" s="41"/>
      <c r="J1436" s="41"/>
      <c r="K1436" s="41"/>
      <c r="L1436" s="41"/>
    </row>
    <row r="1437" spans="5:12" s="39" customFormat="1" x14ac:dyDescent="0.3">
      <c r="E1437" s="41"/>
      <c r="F1437" s="41"/>
      <c r="G1437" s="41"/>
      <c r="H1437" s="41"/>
      <c r="I1437" s="41"/>
      <c r="J1437" s="41"/>
      <c r="K1437" s="41"/>
      <c r="L1437" s="41"/>
    </row>
    <row r="1438" spans="5:12" s="39" customFormat="1" x14ac:dyDescent="0.3">
      <c r="E1438" s="41"/>
      <c r="F1438" s="41"/>
      <c r="G1438" s="41"/>
      <c r="H1438" s="41"/>
      <c r="I1438" s="41"/>
      <c r="J1438" s="41"/>
      <c r="K1438" s="41"/>
      <c r="L1438" s="41"/>
    </row>
    <row r="1439" spans="5:12" s="39" customFormat="1" x14ac:dyDescent="0.3">
      <c r="E1439" s="41"/>
      <c r="F1439" s="41"/>
      <c r="G1439" s="41"/>
      <c r="H1439" s="41"/>
      <c r="I1439" s="41"/>
      <c r="J1439" s="41"/>
      <c r="K1439" s="41"/>
      <c r="L1439" s="41"/>
    </row>
    <row r="1440" spans="5:12" s="39" customFormat="1" x14ac:dyDescent="0.3">
      <c r="E1440" s="41"/>
      <c r="F1440" s="41"/>
      <c r="G1440" s="41"/>
      <c r="H1440" s="41"/>
      <c r="I1440" s="41"/>
      <c r="J1440" s="41"/>
      <c r="K1440" s="41"/>
      <c r="L1440" s="41"/>
    </row>
    <row r="1441" spans="5:12" s="39" customFormat="1" x14ac:dyDescent="0.3">
      <c r="E1441" s="41"/>
      <c r="F1441" s="41"/>
      <c r="G1441" s="41"/>
      <c r="H1441" s="41"/>
      <c r="I1441" s="41"/>
      <c r="J1441" s="41"/>
      <c r="K1441" s="41"/>
      <c r="L1441" s="41"/>
    </row>
    <row r="1442" spans="5:12" s="39" customFormat="1" x14ac:dyDescent="0.3">
      <c r="E1442" s="41"/>
      <c r="F1442" s="41"/>
      <c r="G1442" s="41"/>
      <c r="H1442" s="41"/>
      <c r="I1442" s="41"/>
      <c r="J1442" s="41"/>
      <c r="K1442" s="41"/>
      <c r="L1442" s="41"/>
    </row>
    <row r="1443" spans="5:12" s="39" customFormat="1" x14ac:dyDescent="0.3">
      <c r="E1443" s="41"/>
      <c r="F1443" s="41"/>
      <c r="G1443" s="41"/>
      <c r="H1443" s="41"/>
      <c r="I1443" s="41"/>
      <c r="J1443" s="41"/>
      <c r="K1443" s="41"/>
      <c r="L1443" s="41"/>
    </row>
    <row r="1444" spans="5:12" s="39" customFormat="1" x14ac:dyDescent="0.3">
      <c r="E1444" s="41"/>
      <c r="F1444" s="41"/>
      <c r="G1444" s="41"/>
      <c r="H1444" s="41"/>
      <c r="I1444" s="41"/>
      <c r="J1444" s="41"/>
      <c r="K1444" s="41"/>
      <c r="L1444" s="41"/>
    </row>
    <row r="1445" spans="5:12" s="39" customFormat="1" x14ac:dyDescent="0.3">
      <c r="E1445" s="41"/>
      <c r="F1445" s="41"/>
      <c r="G1445" s="41"/>
      <c r="H1445" s="41"/>
      <c r="I1445" s="41"/>
      <c r="J1445" s="41"/>
      <c r="K1445" s="41"/>
      <c r="L1445" s="41"/>
    </row>
    <row r="1446" spans="5:12" s="39" customFormat="1" x14ac:dyDescent="0.3">
      <c r="E1446" s="41"/>
      <c r="F1446" s="41"/>
      <c r="G1446" s="41"/>
      <c r="H1446" s="41"/>
      <c r="I1446" s="41"/>
      <c r="J1446" s="41"/>
      <c r="K1446" s="41"/>
      <c r="L1446" s="41"/>
    </row>
  </sheetData>
  <protectedRanges>
    <protectedRange sqref="F4 H4 F9 H9 F11 H11 F13 H13 F22 H22 F24 H24 F26 H26 F28 H28 F30 H30 F32 H32 F34 H34 J28 J24 F20 H20" name="Data entry"/>
  </protectedRanges>
  <mergeCells count="10">
    <mergeCell ref="D83:J83"/>
    <mergeCell ref="D92:K92"/>
    <mergeCell ref="D50:F50"/>
    <mergeCell ref="I4:J4"/>
    <mergeCell ref="D16:J16"/>
    <mergeCell ref="D53:J53"/>
    <mergeCell ref="D55:J55"/>
    <mergeCell ref="D73:J73"/>
    <mergeCell ref="D65:J65"/>
    <mergeCell ref="D75:J75"/>
  </mergeCells>
  <conditionalFormatting sqref="F39 H39">
    <cfRule type="containsText" dxfId="2" priority="3" operator="containsText" text="NON">
      <formula>NOT(ISERROR(SEARCH("NON",F39)))</formula>
    </cfRule>
    <cfRule type="containsText" dxfId="1" priority="4" operator="containsText" text="OUI">
      <formula>NOT(ISERROR(SEARCH("OUI",F39)))</formula>
    </cfRule>
  </conditionalFormatting>
  <dataValidations count="9">
    <dataValidation operator="greaterThanOrEqual" allowBlank="1" showInputMessage="1" showErrorMessage="1" sqref="F11 F4 H4 F13" xr:uid="{C214E84D-EBCF-40BC-9B9F-7E0D82485636}"/>
    <dataValidation type="whole" allowBlank="1" showInputMessage="1" showErrorMessage="1" sqref="F24 H24" xr:uid="{1A30A206-244E-428E-8CD8-87DC633CCAAF}">
      <formula1>0</formula1>
      <formula2>5000000000</formula2>
    </dataValidation>
    <dataValidation allowBlank="1" showInputMessage="1" showErrorMessage="1" promptTitle="La capacité totale des appareils" prompt="La capacité totale (Nombre d'appareil fois capacité par appareil) des deux colonnes doivent être similaire afin d'obtenir des estimations valides" sqref="H13" xr:uid="{14A5787F-14DF-44AD-8517-D4F947DF0F3E}"/>
    <dataValidation allowBlank="1" showErrorMessage="1" promptTitle="Heures d'opérations annuelles" prompt="Les heures d'opérations annuelles des deux colonnes doivent être similaires afin d'obtenir des estimations valides" sqref="F26" xr:uid="{24A1E18F-FBB2-4BC6-975A-322A9D28514B}"/>
    <dataValidation allowBlank="1" showInputMessage="1" showErrorMessage="1" promptTitle="Heures d'opérations annuelles" prompt="Les heures d'opérations annuelles des deux colonnes doivent être similaires afin d'obtenir des estimations valides" sqref="H26" xr:uid="{E54D93FA-0B5C-45B8-A2AE-9BAB5C823C36}"/>
    <dataValidation allowBlank="1" showInputMessage="1" showErrorMessage="1" promptTitle="Le coût du gaz naturel" prompt="Le coût du gaz naturel des deux colonnes devraient être égaux afin d'obtenir des estimations valides" sqref="H28" xr:uid="{C992BEE1-619C-4FAB-A43E-5399A6721F3F}"/>
    <dataValidation type="list" allowBlank="1" showInputMessage="1" showErrorMessage="1" sqref="F22 H22" xr:uid="{918829F5-709D-4AC5-952D-EEA5F1E0D0CC}">
      <formula1>InfrarougeListe</formula1>
    </dataValidation>
    <dataValidation type="list" allowBlank="1" showInputMessage="1" showErrorMessage="1" sqref="F20 H20" xr:uid="{8DA8442D-7B7A-46B2-BBE6-46877BD4130E}">
      <formula1>Controle</formula1>
    </dataValidation>
    <dataValidation type="list" allowBlank="1" showInputMessage="1" showErrorMessage="1" sqref="G46 I46" xr:uid="{774804E9-DD46-4847-9A26-7E69F3CD7DFD}">
      <formula1>#REF!</formula1>
    </dataValidation>
  </dataValidations>
  <hyperlinks>
    <hyperlink ref="D4" r:id="rId1" display="Subvention en vigueur:" xr:uid="{A09386E8-303B-4B43-A3E5-C42C1641E765}"/>
  </hyperlinks>
  <pageMargins left="0.7" right="0.7" top="0.75" bottom="0.75" header="0.3" footer="0.3"/>
  <pageSetup orientation="portrait" horizontalDpi="4294967293"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44EF942E-DA78-4448-8177-36FFC7E8117B}">
          <x14:formula1>
            <xm:f>Instructions!$F$7:$H$7</xm:f>
          </x14:formula1>
          <xm:sqref>H9 F9</xm:sqref>
        </x14:dataValidation>
        <x14:dataValidation type="list" allowBlank="1" showInputMessage="1" showErrorMessage="1" xr:uid="{8F68F1DC-F69A-4038-99FB-902B75F8C97E}">
          <x14:formula1>
            <xm:f>Instructions!$F$13:$H$13</xm:f>
          </x14:formula1>
          <xm:sqref>J24</xm:sqref>
        </x14:dataValidation>
        <x14:dataValidation type="list" allowBlank="1" showInputMessage="1" showErrorMessage="1" xr:uid="{4B54A2A0-7794-4521-906C-B76573DD12B4}">
          <x14:formula1>
            <xm:f>Instructions!$E$17:$G$17</xm:f>
          </x14:formula1>
          <xm:sqref>J28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EBDD5-A392-4547-B386-F29C409582D8}">
  <sheetPr codeName="Sheet14"/>
  <dimension ref="B2:I29"/>
  <sheetViews>
    <sheetView topLeftCell="E9" workbookViewId="0">
      <selection activeCell="I24" sqref="I24"/>
    </sheetView>
  </sheetViews>
  <sheetFormatPr defaultColWidth="9.109375" defaultRowHeight="14.4" x14ac:dyDescent="0.3"/>
  <cols>
    <col min="2" max="2" width="30" bestFit="1" customWidth="1"/>
    <col min="3" max="3" width="17.33203125" bestFit="1" customWidth="1"/>
    <col min="5" max="5" width="42.88671875" bestFit="1" customWidth="1"/>
    <col min="6" max="6" width="10.44140625" bestFit="1" customWidth="1"/>
    <col min="8" max="8" width="40.88671875" bestFit="1" customWidth="1"/>
    <col min="9" max="9" width="10" bestFit="1" customWidth="1"/>
  </cols>
  <sheetData>
    <row r="2" spans="2:9" x14ac:dyDescent="0.3">
      <c r="B2" t="s">
        <v>2</v>
      </c>
    </row>
    <row r="3" spans="2:9" x14ac:dyDescent="0.3">
      <c r="B3" s="27" t="s">
        <v>16</v>
      </c>
      <c r="E3" s="27" t="s">
        <v>17</v>
      </c>
      <c r="H3" s="27" t="s">
        <v>18</v>
      </c>
    </row>
    <row r="4" spans="2:9" ht="15" thickBot="1" x14ac:dyDescent="0.35"/>
    <row r="5" spans="2:9" x14ac:dyDescent="0.3">
      <c r="B5" s="87" t="s">
        <v>19</v>
      </c>
      <c r="C5" s="212">
        <f>Calculateur!F13</f>
        <v>200000</v>
      </c>
      <c r="E5" s="80" t="s">
        <v>20</v>
      </c>
      <c r="F5" s="81">
        <f>C5*C6</f>
        <v>400000</v>
      </c>
      <c r="H5" s="31" t="s">
        <v>21</v>
      </c>
      <c r="I5" s="38" t="str">
        <f>IF(F8 = 0, "N/A", IF(F5&gt;=F8,"OUI","NON"))</f>
        <v>N/A</v>
      </c>
    </row>
    <row r="6" spans="2:9" x14ac:dyDescent="0.3">
      <c r="B6" s="88" t="s">
        <v>22</v>
      </c>
      <c r="C6" s="89">
        <f>Calculateur!F11</f>
        <v>2</v>
      </c>
      <c r="E6" s="82" t="s">
        <v>23</v>
      </c>
      <c r="F6" s="83" cm="1">
        <f t="array" ref="F6" xml:space="preserve"> _xlfn.IFS(C8 = "Atelier mécanique", 50, C8 = "Entrepôt", 30,C8 = "Hangar d'avions", 110, C8 = "&lt; sélectionner &gt;", 0)</f>
        <v>0</v>
      </c>
      <c r="H6" s="32" t="s">
        <v>24</v>
      </c>
      <c r="I6" s="29">
        <f>C14*C6</f>
        <v>5426.8000000000011</v>
      </c>
    </row>
    <row r="7" spans="2:9" x14ac:dyDescent="0.3">
      <c r="B7" s="88" t="s">
        <v>25</v>
      </c>
      <c r="C7" s="90" t="str">
        <f>Calculateur!F20</f>
        <v>&lt; sélectionner &gt;</v>
      </c>
      <c r="E7" s="82" t="s">
        <v>26</v>
      </c>
      <c r="F7" s="211" cm="1">
        <f t="array" ref="F7" xml:space="preserve"> IF(Calculateur!F9 = "Infrarouge",_xlfn.IFS(C7 = "1 stage", 0.85, C7 = "2 stages", 0.83,C7 = "Modulant", 0.83,C7 = "GRC &gt; 0,67", 0.7, C7 = "&lt; sélectionner &gt;", 0.85),1)</f>
        <v>1</v>
      </c>
      <c r="H7" s="32" t="s">
        <v>27</v>
      </c>
      <c r="I7" s="28">
        <f>F9*C6</f>
        <v>0</v>
      </c>
    </row>
    <row r="8" spans="2:9" x14ac:dyDescent="0.3">
      <c r="B8" s="88" t="s">
        <v>28</v>
      </c>
      <c r="C8" s="210" t="str">
        <f>Calculateur!F22</f>
        <v>&lt; sélectionner &gt;</v>
      </c>
      <c r="E8" s="82" t="s">
        <v>29</v>
      </c>
      <c r="F8" s="83">
        <f>F6 * C9</f>
        <v>0</v>
      </c>
      <c r="H8" s="32" t="s">
        <v>30</v>
      </c>
      <c r="I8" s="29">
        <f>F10*C6</f>
        <v>20374.441485622774</v>
      </c>
    </row>
    <row r="9" spans="2:9" x14ac:dyDescent="0.3">
      <c r="B9" s="88" t="s">
        <v>31</v>
      </c>
      <c r="C9" s="98">
        <f>IF(Calculateur!J24="pi2",Calculateur!F24,Calculateur!F24 *Instructions!G14)</f>
        <v>0</v>
      </c>
      <c r="E9" s="82" t="s">
        <v>32</v>
      </c>
      <c r="F9" s="83">
        <f>IF(Calculateur!F9 = "Infrarouge",Calculateur!F4+Calculateur!H4*C5/1000,0)</f>
        <v>0</v>
      </c>
      <c r="H9" s="32" t="s">
        <v>33</v>
      </c>
      <c r="I9" s="29">
        <f>F11*C6</f>
        <v>3628.2805397597035</v>
      </c>
    </row>
    <row r="10" spans="2:9" ht="15" thickBot="1" x14ac:dyDescent="0.35">
      <c r="B10" s="88" t="s">
        <v>34</v>
      </c>
      <c r="C10" s="210">
        <f>IF(Calculateur!F26="",1500,Calculateur!F26)</f>
        <v>1500</v>
      </c>
      <c r="E10" s="82" t="s">
        <v>35</v>
      </c>
      <c r="F10" s="84">
        <f>(C5 * C10 * F7)/(Instructions!$L$12 * C13/100)</f>
        <v>10187.220742811387</v>
      </c>
      <c r="H10" s="33" t="s">
        <v>36</v>
      </c>
      <c r="I10" s="30">
        <f>F12*C6/1000</f>
        <v>38.385447758913301</v>
      </c>
    </row>
    <row r="11" spans="2:9" x14ac:dyDescent="0.3">
      <c r="B11" s="88" t="s">
        <v>37</v>
      </c>
      <c r="C11" s="91">
        <f>IF(Calculateur!F28 = "", 'Prix GN'!C2/100,  IF(Calculateur!J28="$/m3",Calculateur!F28,Calculateur!F28*'Prix GN'!C2/('Prix GN'!B2*100)))</f>
        <v>0.17807999999999999</v>
      </c>
      <c r="E11" s="82" t="s">
        <v>38</v>
      </c>
      <c r="F11" s="84">
        <f>F10*C11</f>
        <v>1814.1402698798518</v>
      </c>
    </row>
    <row r="12" spans="2:9" ht="15" thickBot="1" x14ac:dyDescent="0.35">
      <c r="B12" s="88" t="s">
        <v>39</v>
      </c>
      <c r="C12" s="91">
        <f>Instructions!L8</f>
        <v>17</v>
      </c>
      <c r="E12" s="85" t="s">
        <v>40</v>
      </c>
      <c r="F12" s="86">
        <f>F10*Instructions!L9</f>
        <v>19192.723879456651</v>
      </c>
    </row>
    <row r="13" spans="2:9" x14ac:dyDescent="0.3">
      <c r="B13" s="88" t="s">
        <v>41</v>
      </c>
      <c r="C13" s="92">
        <f>IF(Calculateur!F30="",82,Calculateur!F30)</f>
        <v>82</v>
      </c>
    </row>
    <row r="14" spans="2:9" ht="15" thickBot="1" x14ac:dyDescent="0.35">
      <c r="B14" s="93" t="s">
        <v>42</v>
      </c>
      <c r="C14" s="94">
        <f>IF(Calculateur!F32="",0.00000003 * C5 ^ 2 + 0.0001 * C5 + 1533.4+ IF(Calculateur!F9="Infrarouge",IF(Calculateur!F13&lt;100000,790,740),0),Calculateur!F32/C6)</f>
        <v>2713.4000000000005</v>
      </c>
    </row>
    <row r="17" spans="2:9" x14ac:dyDescent="0.3">
      <c r="B17" t="s">
        <v>3</v>
      </c>
    </row>
    <row r="18" spans="2:9" x14ac:dyDescent="0.3">
      <c r="B18" s="27" t="s">
        <v>16</v>
      </c>
      <c r="E18" s="27" t="s">
        <v>17</v>
      </c>
      <c r="H18" s="27" t="s">
        <v>18</v>
      </c>
    </row>
    <row r="19" spans="2:9" ht="15" thickBot="1" x14ac:dyDescent="0.35"/>
    <row r="20" spans="2:9" x14ac:dyDescent="0.3">
      <c r="B20" s="87" t="s">
        <v>19</v>
      </c>
      <c r="C20" s="212">
        <f>Calculateur!H13</f>
        <v>200000</v>
      </c>
      <c r="E20" s="80" t="s">
        <v>20</v>
      </c>
      <c r="F20" s="81">
        <f>C20*C21</f>
        <v>400000</v>
      </c>
      <c r="H20" s="31" t="s">
        <v>21</v>
      </c>
      <c r="I20" s="38" t="str">
        <f>IF(F23 = 0, "N/A", IF(F20&gt;=F23,"OUI","NON"))</f>
        <v>N/A</v>
      </c>
    </row>
    <row r="21" spans="2:9" x14ac:dyDescent="0.3">
      <c r="B21" s="88" t="s">
        <v>22</v>
      </c>
      <c r="C21" s="89">
        <f>Calculateur!H11</f>
        <v>2</v>
      </c>
      <c r="E21" s="82" t="s">
        <v>23</v>
      </c>
      <c r="F21" s="83" cm="1">
        <f t="array" ref="F21" xml:space="preserve"> _xlfn.IFS(C23 = "Atelier mécanique", 50, C23 = "Entrepôt", 30,C23 = "Hangar d'avions", 110, C23 = "&lt; sélectionner &gt;", 0)</f>
        <v>0</v>
      </c>
      <c r="H21" s="32" t="s">
        <v>24</v>
      </c>
      <c r="I21" s="29">
        <f>C29*C21</f>
        <v>5426.8000000000011</v>
      </c>
    </row>
    <row r="22" spans="2:9" x14ac:dyDescent="0.3">
      <c r="B22" s="88" t="s">
        <v>25</v>
      </c>
      <c r="C22" s="90" t="str">
        <f>Calculateur!H20</f>
        <v>&lt; sélectionner &gt;</v>
      </c>
      <c r="E22" s="82" t="s">
        <v>26</v>
      </c>
      <c r="F22" s="211" cm="1">
        <f t="array" ref="F22" xml:space="preserve"> IF(Calculateur!H9 = "Infrarouge", _xlfn.IFS(C22 = "1 stage", 0.85, C22 = "2 stages", 0.83,C22 = "Modulant", 0.83,C22 = "GRC &gt; 0,67", 0.7, C22 = "&lt; sélectionner &gt;", 0.85),1)</f>
        <v>0.85</v>
      </c>
      <c r="H22" s="32" t="s">
        <v>27</v>
      </c>
      <c r="I22" s="28">
        <f>F24*C21</f>
        <v>1600</v>
      </c>
    </row>
    <row r="23" spans="2:9" x14ac:dyDescent="0.3">
      <c r="B23" s="88" t="s">
        <v>28</v>
      </c>
      <c r="C23" s="210" t="str">
        <f>Calculateur!H22</f>
        <v>&lt; sélectionner &gt;</v>
      </c>
      <c r="E23" s="82" t="s">
        <v>29</v>
      </c>
      <c r="F23" s="83">
        <f>F21 * C24</f>
        <v>0</v>
      </c>
      <c r="H23" s="32" t="s">
        <v>30</v>
      </c>
      <c r="I23" s="29">
        <f>F25*C21</f>
        <v>17318.27526277936</v>
      </c>
    </row>
    <row r="24" spans="2:9" x14ac:dyDescent="0.3">
      <c r="B24" s="88" t="s">
        <v>31</v>
      </c>
      <c r="C24" s="98">
        <f>IF(Calculateur!J24="pi2",Calculateur!H24,Calculateur!H24 *Instructions!G14)</f>
        <v>0</v>
      </c>
      <c r="E24" s="82" t="s">
        <v>32</v>
      </c>
      <c r="F24" s="83">
        <f>IF(Calculateur!H9 = "Infrarouge",Calculateur!F4+Calculateur!H4*C20/1000,0)</f>
        <v>800</v>
      </c>
      <c r="H24" s="32" t="s">
        <v>33</v>
      </c>
      <c r="I24" s="29">
        <f>F26*C21</f>
        <v>3084.0384587957483</v>
      </c>
    </row>
    <row r="25" spans="2:9" ht="15" thickBot="1" x14ac:dyDescent="0.35">
      <c r="B25" s="88" t="s">
        <v>34</v>
      </c>
      <c r="C25" s="90">
        <f>IF(Calculateur!H26="",1500,Calculateur!H26)</f>
        <v>1500</v>
      </c>
      <c r="E25" s="82" t="s">
        <v>35</v>
      </c>
      <c r="F25" s="84">
        <f>(C20 * C25 * F22)/(Instructions!$L$12 * C28/100)</f>
        <v>8659.1376313896799</v>
      </c>
      <c r="H25" s="33" t="s">
        <v>36</v>
      </c>
      <c r="I25" s="30">
        <f>F27*C21/1000</f>
        <v>32.627630595076312</v>
      </c>
    </row>
    <row r="26" spans="2:9" x14ac:dyDescent="0.3">
      <c r="B26" s="88" t="s">
        <v>37</v>
      </c>
      <c r="C26" s="91">
        <f>IF(Calculateur!H28 = "", 'Prix GN'!C2/100,  IF(Calculateur!J28="$/m3",Calculateur!H28,Calculateur!H28*'Prix GN'!C2/('Prix GN'!B2*100)))</f>
        <v>0.17807999999999999</v>
      </c>
      <c r="E26" s="82" t="s">
        <v>38</v>
      </c>
      <c r="F26" s="84">
        <f>F25*C26</f>
        <v>1542.0192293978741</v>
      </c>
    </row>
    <row r="27" spans="2:9" ht="15" thickBot="1" x14ac:dyDescent="0.35">
      <c r="B27" s="88" t="s">
        <v>39</v>
      </c>
      <c r="C27" s="91">
        <f>Instructions!L8</f>
        <v>17</v>
      </c>
      <c r="E27" s="85" t="s">
        <v>40</v>
      </c>
      <c r="F27" s="86">
        <f>F25*Instructions!L9</f>
        <v>16313.815297538156</v>
      </c>
    </row>
    <row r="28" spans="2:9" x14ac:dyDescent="0.3">
      <c r="B28" s="88" t="s">
        <v>41</v>
      </c>
      <c r="C28" s="92">
        <f>IF(Calculateur!H30="",82,Calculateur!H30)</f>
        <v>82</v>
      </c>
    </row>
    <row r="29" spans="2:9" ht="15" thickBot="1" x14ac:dyDescent="0.35">
      <c r="B29" s="93" t="s">
        <v>42</v>
      </c>
      <c r="C29" s="94">
        <f>IF(Calculateur!H32="",0.00000003 * C20 ^ 2 + 0.0001 * C20 + 1533.4+ IF(Calculateur!H9="Infrarouge",IF(Calculateur!H13&lt;100000,790,740),0),Calculateur!H32/C21)</f>
        <v>2713.4000000000005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6931-D856-4145-94C8-C74F635A4C1D}">
  <sheetPr codeName="Sheet9"/>
  <dimension ref="B2:S22"/>
  <sheetViews>
    <sheetView topLeftCell="C3" zoomScale="119" workbookViewId="0">
      <selection activeCell="I24" sqref="I24"/>
    </sheetView>
  </sheetViews>
  <sheetFormatPr defaultColWidth="9.109375" defaultRowHeight="14.4" x14ac:dyDescent="0.3"/>
  <cols>
    <col min="2" max="2" width="30" bestFit="1" customWidth="1"/>
    <col min="3" max="3" width="7" bestFit="1" customWidth="1"/>
    <col min="5" max="5" width="16.33203125" bestFit="1" customWidth="1"/>
    <col min="6" max="7" width="17.6640625" bestFit="1" customWidth="1"/>
    <col min="11" max="11" width="30" bestFit="1" customWidth="1"/>
    <col min="12" max="12" width="7" bestFit="1" customWidth="1"/>
    <col min="14" max="14" width="23" bestFit="1" customWidth="1"/>
    <col min="15" max="15" width="14" bestFit="1" customWidth="1"/>
    <col min="16" max="16" width="17.33203125" bestFit="1" customWidth="1"/>
    <col min="17" max="17" width="14.5546875" bestFit="1" customWidth="1"/>
    <col min="18" max="18" width="9.6640625" bestFit="1" customWidth="1"/>
  </cols>
  <sheetData>
    <row r="2" spans="2:19" ht="15.6" x14ac:dyDescent="0.3">
      <c r="B2" s="37"/>
      <c r="C2" s="37"/>
      <c r="D2" s="37"/>
      <c r="E2" s="37"/>
      <c r="F2" s="37"/>
      <c r="G2" s="37"/>
      <c r="H2" s="37"/>
      <c r="I2" s="37"/>
      <c r="J2" s="37"/>
      <c r="K2" s="37" t="s">
        <v>43</v>
      </c>
    </row>
    <row r="4" spans="2:19" x14ac:dyDescent="0.3">
      <c r="B4" s="27"/>
      <c r="K4" s="27" t="s">
        <v>44</v>
      </c>
    </row>
    <row r="6" spans="2:19" x14ac:dyDescent="0.3">
      <c r="B6" s="27"/>
      <c r="E6" s="27"/>
      <c r="F6" s="224" t="s">
        <v>45</v>
      </c>
      <c r="G6" s="224"/>
      <c r="K6" s="27" t="s">
        <v>37</v>
      </c>
      <c r="L6">
        <f>C6</f>
        <v>0</v>
      </c>
      <c r="N6" s="27"/>
    </row>
    <row r="7" spans="2:19" x14ac:dyDescent="0.3">
      <c r="B7" s="27"/>
      <c r="E7" s="27" t="s">
        <v>46</v>
      </c>
      <c r="F7" t="s">
        <v>8</v>
      </c>
      <c r="G7" t="s">
        <v>5</v>
      </c>
      <c r="H7" t="s">
        <v>6</v>
      </c>
      <c r="K7" s="27" t="s">
        <v>34</v>
      </c>
      <c r="L7">
        <v>1500</v>
      </c>
      <c r="N7" s="27" t="s">
        <v>46</v>
      </c>
      <c r="O7" t="s">
        <v>8</v>
      </c>
      <c r="P7" t="s">
        <v>47</v>
      </c>
      <c r="Q7" t="s">
        <v>48</v>
      </c>
      <c r="R7" t="s">
        <v>49</v>
      </c>
      <c r="S7" t="s">
        <v>50</v>
      </c>
    </row>
    <row r="8" spans="2:19" x14ac:dyDescent="0.3">
      <c r="B8" s="27"/>
      <c r="H8" t="s">
        <v>8</v>
      </c>
      <c r="K8" s="27" t="s">
        <v>39</v>
      </c>
      <c r="L8">
        <v>17</v>
      </c>
      <c r="N8" s="27" t="s">
        <v>26</v>
      </c>
      <c r="O8">
        <v>0.85</v>
      </c>
      <c r="P8">
        <v>0.85</v>
      </c>
      <c r="Q8">
        <v>0.83</v>
      </c>
      <c r="R8">
        <v>0.83</v>
      </c>
      <c r="S8" s="36">
        <v>0.7</v>
      </c>
    </row>
    <row r="9" spans="2:19" x14ac:dyDescent="0.3">
      <c r="B9" s="27"/>
      <c r="G9">
        <v>30</v>
      </c>
      <c r="H9" t="s">
        <v>51</v>
      </c>
      <c r="K9" s="27" t="s">
        <v>52</v>
      </c>
      <c r="L9">
        <v>1.8839999999999999</v>
      </c>
    </row>
    <row r="10" spans="2:19" x14ac:dyDescent="0.3">
      <c r="B10" s="27"/>
      <c r="C10" s="56"/>
      <c r="G10">
        <v>50</v>
      </c>
      <c r="H10" t="s">
        <v>53</v>
      </c>
      <c r="K10" s="27" t="s">
        <v>54</v>
      </c>
      <c r="L10" s="56">
        <v>82</v>
      </c>
    </row>
    <row r="11" spans="2:19" x14ac:dyDescent="0.3">
      <c r="B11" s="27"/>
      <c r="C11" s="56"/>
      <c r="G11">
        <v>110</v>
      </c>
      <c r="H11" t="s">
        <v>55</v>
      </c>
      <c r="K11" s="27" t="s">
        <v>56</v>
      </c>
      <c r="L11" s="56">
        <v>82</v>
      </c>
    </row>
    <row r="12" spans="2:19" x14ac:dyDescent="0.3">
      <c r="B12" s="27"/>
      <c r="K12" s="27" t="s">
        <v>57</v>
      </c>
      <c r="L12">
        <v>35913</v>
      </c>
    </row>
    <row r="13" spans="2:19" ht="16.2" x14ac:dyDescent="0.3">
      <c r="B13" s="27"/>
      <c r="E13" t="s">
        <v>4</v>
      </c>
      <c r="F13" t="s">
        <v>8</v>
      </c>
      <c r="G13" t="s">
        <v>58</v>
      </c>
      <c r="H13" t="s">
        <v>59</v>
      </c>
    </row>
    <row r="14" spans="2:19" x14ac:dyDescent="0.3">
      <c r="E14" t="s">
        <v>60</v>
      </c>
      <c r="G14">
        <f>CONVERT(H14,"m^2","ft^2")</f>
        <v>10.763910416709722</v>
      </c>
      <c r="H14">
        <v>1</v>
      </c>
    </row>
    <row r="16" spans="2:19" x14ac:dyDescent="0.3">
      <c r="F16" s="224" t="s">
        <v>61</v>
      </c>
      <c r="G16" s="224"/>
    </row>
    <row r="17" spans="2:17" x14ac:dyDescent="0.3">
      <c r="E17" t="s">
        <v>8</v>
      </c>
      <c r="F17" t="s">
        <v>11</v>
      </c>
      <c r="G17" t="s">
        <v>62</v>
      </c>
    </row>
    <row r="18" spans="2:17" x14ac:dyDescent="0.3">
      <c r="F18" s="129">
        <v>0.17884</v>
      </c>
      <c r="G18">
        <v>4.72</v>
      </c>
    </row>
    <row r="20" spans="2:17" x14ac:dyDescent="0.3">
      <c r="B20" s="27"/>
      <c r="I20" s="35"/>
      <c r="J20" s="35"/>
      <c r="K20" s="27" t="s">
        <v>63</v>
      </c>
    </row>
    <row r="21" spans="2:17" x14ac:dyDescent="0.3">
      <c r="N21" t="s">
        <v>64</v>
      </c>
      <c r="P21" t="s">
        <v>65</v>
      </c>
    </row>
    <row r="22" spans="2:17" ht="75.599999999999994" customHeight="1" x14ac:dyDescent="0.3">
      <c r="B22" s="223"/>
      <c r="C22" s="223"/>
      <c r="D22" s="223"/>
      <c r="E22" s="223"/>
      <c r="F22" s="223"/>
      <c r="G22" s="223"/>
      <c r="H22" s="223"/>
      <c r="K22" s="223" t="s">
        <v>66</v>
      </c>
      <c r="L22" s="223"/>
      <c r="M22" s="223"/>
      <c r="N22" s="223"/>
      <c r="O22" s="223"/>
      <c r="P22" s="223"/>
      <c r="Q22" s="223"/>
    </row>
  </sheetData>
  <mergeCells count="4">
    <mergeCell ref="B22:H22"/>
    <mergeCell ref="K22:Q22"/>
    <mergeCell ref="F6:G6"/>
    <mergeCell ref="F16:G16"/>
  </mergeCell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4091-D511-4684-927D-80868CA22EA7}">
  <sheetPr codeName="Sheet12"/>
  <dimension ref="A1:E21"/>
  <sheetViews>
    <sheetView workbookViewId="0">
      <selection activeCell="I24" sqref="I24"/>
    </sheetView>
  </sheetViews>
  <sheetFormatPr defaultColWidth="9.109375" defaultRowHeight="14.4" x14ac:dyDescent="0.3"/>
  <cols>
    <col min="1" max="5" width="9.109375" bestFit="1" customWidth="1"/>
  </cols>
  <sheetData>
    <row r="1" spans="1:5" x14ac:dyDescent="0.3">
      <c r="A1" t="s">
        <v>67</v>
      </c>
      <c r="B1" t="s">
        <v>68</v>
      </c>
      <c r="C1" t="s">
        <v>69</v>
      </c>
      <c r="D1" t="s">
        <v>70</v>
      </c>
      <c r="E1" t="s">
        <v>71</v>
      </c>
    </row>
    <row r="2" spans="1:5" x14ac:dyDescent="0.3">
      <c r="A2" s="50">
        <v>45870</v>
      </c>
      <c r="B2">
        <v>4.7</v>
      </c>
      <c r="C2">
        <v>17.808</v>
      </c>
      <c r="D2">
        <v>4.3499999999999996</v>
      </c>
      <c r="E2">
        <v>3.56</v>
      </c>
    </row>
    <row r="3" spans="1:5" x14ac:dyDescent="0.3">
      <c r="A3" s="50">
        <v>45839</v>
      </c>
      <c r="B3">
        <v>4.72</v>
      </c>
      <c r="C3">
        <v>17.884</v>
      </c>
      <c r="D3">
        <v>4.6100000000000003</v>
      </c>
      <c r="E3">
        <v>3.69</v>
      </c>
    </row>
    <row r="4" spans="1:5" x14ac:dyDescent="0.3">
      <c r="A4" s="50">
        <v>45809</v>
      </c>
      <c r="B4">
        <v>4.8899999999999997</v>
      </c>
      <c r="C4">
        <v>18.527999999999999</v>
      </c>
      <c r="D4">
        <v>4.46</v>
      </c>
      <c r="E4">
        <v>3.57</v>
      </c>
    </row>
    <row r="5" spans="1:5" x14ac:dyDescent="0.3">
      <c r="A5" s="50">
        <v>45778</v>
      </c>
      <c r="B5">
        <v>5.1100000000000003</v>
      </c>
      <c r="C5">
        <v>19.361999999999998</v>
      </c>
      <c r="D5">
        <v>4.46</v>
      </c>
      <c r="E5">
        <v>3.66</v>
      </c>
    </row>
    <row r="6" spans="1:5" x14ac:dyDescent="0.3">
      <c r="A6" s="50">
        <v>45748</v>
      </c>
      <c r="B6">
        <v>5.96</v>
      </c>
      <c r="C6">
        <v>22.582000000000001</v>
      </c>
      <c r="D6">
        <v>5.43</v>
      </c>
      <c r="E6">
        <v>5.15</v>
      </c>
    </row>
    <row r="7" spans="1:5" x14ac:dyDescent="0.3">
      <c r="A7" s="50">
        <v>45717</v>
      </c>
      <c r="B7">
        <v>5.14</v>
      </c>
      <c r="C7">
        <v>19.475999999999999</v>
      </c>
      <c r="D7">
        <v>5.33</v>
      </c>
      <c r="E7">
        <v>5.23</v>
      </c>
    </row>
    <row r="8" spans="1:5" x14ac:dyDescent="0.3">
      <c r="A8" s="50">
        <v>45689</v>
      </c>
      <c r="B8">
        <v>3.87</v>
      </c>
      <c r="C8">
        <v>14.663</v>
      </c>
      <c r="D8">
        <v>4.45</v>
      </c>
      <c r="E8">
        <v>4.6399999999999997</v>
      </c>
    </row>
    <row r="9" spans="1:5" x14ac:dyDescent="0.3">
      <c r="A9" s="50">
        <v>45658</v>
      </c>
      <c r="B9">
        <v>2.64</v>
      </c>
      <c r="C9">
        <v>10.003</v>
      </c>
      <c r="D9">
        <v>4.3899999999999997</v>
      </c>
      <c r="E9">
        <v>4.7300000000000004</v>
      </c>
    </row>
    <row r="10" spans="1:5" x14ac:dyDescent="0.3">
      <c r="A10" s="50">
        <v>45627</v>
      </c>
      <c r="B10">
        <v>2.59</v>
      </c>
      <c r="C10">
        <v>9.8140000000000001</v>
      </c>
      <c r="D10">
        <v>3.92</v>
      </c>
      <c r="E10">
        <v>4</v>
      </c>
    </row>
    <row r="11" spans="1:5" x14ac:dyDescent="0.3">
      <c r="A11" s="50">
        <v>45597</v>
      </c>
      <c r="B11">
        <v>2.61</v>
      </c>
      <c r="C11">
        <v>9.8889999999999993</v>
      </c>
      <c r="D11">
        <v>3.44</v>
      </c>
      <c r="E11">
        <v>2.7</v>
      </c>
    </row>
    <row r="12" spans="1:5" x14ac:dyDescent="0.3">
      <c r="A12" s="50">
        <v>45566</v>
      </c>
      <c r="B12">
        <v>2.57</v>
      </c>
      <c r="C12">
        <v>9.7379999999999995</v>
      </c>
      <c r="D12">
        <v>2.69</v>
      </c>
      <c r="E12">
        <v>3.65</v>
      </c>
    </row>
    <row r="13" spans="1:5" x14ac:dyDescent="0.3">
      <c r="A13" s="50">
        <v>45536</v>
      </c>
      <c r="B13">
        <v>2.4900000000000002</v>
      </c>
      <c r="C13">
        <v>9.4350000000000005</v>
      </c>
      <c r="D13">
        <v>3.24</v>
      </c>
      <c r="E13">
        <v>1.96</v>
      </c>
    </row>
    <row r="14" spans="1:5" x14ac:dyDescent="0.3">
      <c r="A14" s="50">
        <v>45505</v>
      </c>
      <c r="B14">
        <v>2.5</v>
      </c>
      <c r="C14">
        <v>9.4730000000000008</v>
      </c>
      <c r="D14">
        <v>3.25</v>
      </c>
      <c r="E14">
        <v>2.04</v>
      </c>
    </row>
    <row r="15" spans="1:5" x14ac:dyDescent="0.3">
      <c r="A15" s="50">
        <v>45474</v>
      </c>
      <c r="B15">
        <v>2.81</v>
      </c>
      <c r="C15">
        <v>10.647</v>
      </c>
      <c r="D15">
        <v>3.48</v>
      </c>
      <c r="E15">
        <v>2.64</v>
      </c>
    </row>
    <row r="16" spans="1:5" x14ac:dyDescent="0.3">
      <c r="A16" s="50">
        <v>45444</v>
      </c>
      <c r="B16">
        <v>2.62</v>
      </c>
      <c r="C16">
        <v>9.9269999999999996</v>
      </c>
      <c r="D16">
        <v>3.33</v>
      </c>
      <c r="E16">
        <v>2.15</v>
      </c>
    </row>
    <row r="17" spans="1:5" x14ac:dyDescent="0.3">
      <c r="A17" s="50">
        <v>45413</v>
      </c>
      <c r="B17">
        <v>2.46</v>
      </c>
      <c r="C17">
        <v>9.3209999999999997</v>
      </c>
      <c r="D17">
        <v>3.21</v>
      </c>
      <c r="E17">
        <v>1.88</v>
      </c>
    </row>
    <row r="18" spans="1:5" x14ac:dyDescent="0.3">
      <c r="A18" s="50">
        <v>45383</v>
      </c>
      <c r="B18">
        <v>2.42</v>
      </c>
      <c r="C18">
        <v>9.1690000000000005</v>
      </c>
      <c r="D18">
        <v>3.03</v>
      </c>
      <c r="E18">
        <v>2.06</v>
      </c>
    </row>
    <row r="19" spans="1:5" x14ac:dyDescent="0.3">
      <c r="A19" s="50">
        <v>45352</v>
      </c>
      <c r="B19">
        <v>2.38</v>
      </c>
      <c r="C19">
        <v>9.0180000000000007</v>
      </c>
      <c r="D19">
        <v>3.06</v>
      </c>
      <c r="E19">
        <v>2.15</v>
      </c>
    </row>
    <row r="20" spans="1:5" x14ac:dyDescent="0.3">
      <c r="A20" s="50">
        <v>45323</v>
      </c>
      <c r="B20">
        <v>2.89</v>
      </c>
      <c r="C20">
        <v>10.95</v>
      </c>
      <c r="D20">
        <v>3.06</v>
      </c>
      <c r="E20">
        <v>2.83</v>
      </c>
    </row>
    <row r="21" spans="1:5" x14ac:dyDescent="0.3">
      <c r="A21" s="50">
        <v>45292</v>
      </c>
      <c r="B21">
        <v>2.37</v>
      </c>
      <c r="C21">
        <v>8.98</v>
      </c>
      <c r="D21">
        <v>3.02</v>
      </c>
      <c r="E21">
        <v>2.91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B8B85-6C56-40AC-8FF1-9FEE62F4810E}">
  <dimension ref="B2:AF202"/>
  <sheetViews>
    <sheetView topLeftCell="A188" zoomScale="70" zoomScaleNormal="70" workbookViewId="0">
      <selection activeCell="G95" sqref="G95"/>
    </sheetView>
  </sheetViews>
  <sheetFormatPr defaultRowHeight="14.4" x14ac:dyDescent="0.3"/>
  <cols>
    <col min="2" max="2" width="19.6640625" bestFit="1" customWidth="1"/>
    <col min="3" max="3" width="18.6640625" bestFit="1" customWidth="1"/>
    <col min="4" max="4" width="28.5546875" bestFit="1" customWidth="1"/>
    <col min="5" max="5" width="18" bestFit="1" customWidth="1"/>
    <col min="6" max="6" width="29.88671875" bestFit="1" customWidth="1"/>
    <col min="7" max="7" width="25.33203125" bestFit="1" customWidth="1"/>
    <col min="8" max="8" width="36.5546875" bestFit="1" customWidth="1"/>
    <col min="9" max="9" width="34.6640625" bestFit="1" customWidth="1"/>
    <col min="10" max="10" width="25.44140625" bestFit="1" customWidth="1"/>
    <col min="11" max="11" width="19.33203125" bestFit="1" customWidth="1"/>
    <col min="12" max="12" width="18.5546875" bestFit="1" customWidth="1"/>
    <col min="13" max="13" width="11.6640625" bestFit="1" customWidth="1"/>
    <col min="14" max="14" width="22.44140625" bestFit="1" customWidth="1"/>
    <col min="15" max="15" width="19.6640625" bestFit="1" customWidth="1"/>
    <col min="16" max="16" width="28.6640625" bestFit="1" customWidth="1"/>
    <col min="17" max="17" width="11.6640625" bestFit="1" customWidth="1"/>
    <col min="18" max="18" width="22.44140625" bestFit="1" customWidth="1"/>
    <col min="19" max="19" width="19.6640625" bestFit="1" customWidth="1"/>
    <col min="20" max="20" width="28.6640625" bestFit="1" customWidth="1"/>
    <col min="21" max="21" width="11.6640625" bestFit="1" customWidth="1"/>
    <col min="22" max="22" width="22.44140625" bestFit="1" customWidth="1"/>
    <col min="23" max="23" width="19.6640625" bestFit="1" customWidth="1"/>
    <col min="24" max="24" width="28.6640625" bestFit="1" customWidth="1"/>
    <col min="25" max="25" width="11.6640625" bestFit="1" customWidth="1"/>
    <col min="26" max="26" width="22.44140625" bestFit="1" customWidth="1"/>
    <col min="27" max="27" width="19.6640625" bestFit="1" customWidth="1"/>
    <col min="28" max="28" width="28.6640625" bestFit="1" customWidth="1"/>
    <col min="29" max="29" width="11.6640625" bestFit="1" customWidth="1"/>
    <col min="30" max="30" width="22.88671875" bestFit="1" customWidth="1"/>
    <col min="31" max="31" width="28.6640625" bestFit="1" customWidth="1"/>
    <col min="32" max="32" width="19.6640625" bestFit="1" customWidth="1"/>
  </cols>
  <sheetData>
    <row r="2" spans="2:32" x14ac:dyDescent="0.3">
      <c r="B2" s="161"/>
      <c r="M2" s="229" t="s">
        <v>72</v>
      </c>
      <c r="N2" s="229"/>
      <c r="O2" s="229"/>
      <c r="P2" s="162"/>
      <c r="Q2" s="230" t="s">
        <v>73</v>
      </c>
      <c r="R2" s="230"/>
      <c r="S2" s="230"/>
      <c r="T2" s="163"/>
      <c r="U2" s="231" t="s">
        <v>74</v>
      </c>
      <c r="V2" s="232"/>
      <c r="W2" s="233"/>
      <c r="X2" s="164"/>
      <c r="Y2" s="234" t="s">
        <v>75</v>
      </c>
      <c r="Z2" s="235"/>
      <c r="AA2" s="236"/>
      <c r="AB2" s="165"/>
      <c r="AC2" s="225" t="s">
        <v>76</v>
      </c>
      <c r="AD2" s="226"/>
      <c r="AE2" s="226"/>
      <c r="AF2" s="227"/>
    </row>
    <row r="3" spans="2:32" x14ac:dyDescent="0.3">
      <c r="B3" s="161"/>
      <c r="M3" s="166" t="s">
        <v>77</v>
      </c>
      <c r="N3" s="166" t="s">
        <v>78</v>
      </c>
      <c r="O3" s="166"/>
      <c r="P3" s="166"/>
      <c r="Q3" s="167" t="s">
        <v>77</v>
      </c>
      <c r="R3" s="167" t="s">
        <v>78</v>
      </c>
      <c r="S3" s="167"/>
      <c r="T3" s="167"/>
      <c r="U3" s="168" t="s">
        <v>77</v>
      </c>
      <c r="V3" s="168" t="s">
        <v>78</v>
      </c>
      <c r="W3" s="169"/>
      <c r="X3" s="169"/>
      <c r="Y3" s="170" t="s">
        <v>77</v>
      </c>
      <c r="Z3" s="170" t="s">
        <v>78</v>
      </c>
      <c r="AA3" s="170"/>
      <c r="AB3" s="170"/>
      <c r="AC3" s="171" t="s">
        <v>77</v>
      </c>
      <c r="AD3" s="171" t="s">
        <v>78</v>
      </c>
      <c r="AE3" s="171"/>
      <c r="AF3" s="171"/>
    </row>
    <row r="4" spans="2:32" x14ac:dyDescent="0.3">
      <c r="H4" s="228" t="s">
        <v>79</v>
      </c>
      <c r="I4" s="228"/>
      <c r="J4" s="228"/>
      <c r="K4" s="172"/>
      <c r="M4" s="166">
        <v>900</v>
      </c>
      <c r="N4" s="166">
        <v>5</v>
      </c>
      <c r="O4" s="173"/>
      <c r="P4" s="174"/>
      <c r="Q4" s="175">
        <v>2000</v>
      </c>
      <c r="R4" s="175">
        <v>5</v>
      </c>
      <c r="S4" s="176"/>
      <c r="T4" s="176"/>
      <c r="U4" s="177">
        <v>2000</v>
      </c>
      <c r="V4" s="177">
        <v>7.5</v>
      </c>
      <c r="W4" s="169"/>
      <c r="X4" s="178"/>
      <c r="Y4" s="179">
        <v>2500</v>
      </c>
      <c r="Z4" s="179">
        <v>5</v>
      </c>
      <c r="AA4" s="170"/>
      <c r="AB4" s="179"/>
      <c r="AC4" s="180">
        <v>2200</v>
      </c>
      <c r="AD4" s="180">
        <v>4</v>
      </c>
      <c r="AE4" s="180"/>
      <c r="AF4" s="171"/>
    </row>
    <row r="5" spans="2:32" x14ac:dyDescent="0.3">
      <c r="B5" s="181" t="s">
        <v>80</v>
      </c>
      <c r="C5" s="182" t="s">
        <v>81</v>
      </c>
      <c r="D5" s="182" t="s">
        <v>82</v>
      </c>
      <c r="E5" s="182" t="s">
        <v>83</v>
      </c>
      <c r="F5" s="182" t="s">
        <v>84</v>
      </c>
      <c r="G5" s="182" t="s">
        <v>85</v>
      </c>
      <c r="H5" s="182" t="s">
        <v>86</v>
      </c>
      <c r="I5" s="182" t="s">
        <v>87</v>
      </c>
      <c r="J5" s="182" t="s">
        <v>88</v>
      </c>
      <c r="K5" s="182" t="s">
        <v>89</v>
      </c>
      <c r="L5" s="182" t="s">
        <v>90</v>
      </c>
      <c r="M5" s="182" t="s">
        <v>91</v>
      </c>
      <c r="N5" s="182" t="s">
        <v>92</v>
      </c>
      <c r="O5" s="182" t="s">
        <v>93</v>
      </c>
      <c r="P5" s="182" t="s">
        <v>94</v>
      </c>
      <c r="Q5" s="183" t="s">
        <v>95</v>
      </c>
      <c r="R5" s="183" t="s">
        <v>96</v>
      </c>
      <c r="S5" s="183" t="s">
        <v>97</v>
      </c>
      <c r="T5" s="182" t="s">
        <v>98</v>
      </c>
      <c r="U5" s="184" t="s">
        <v>99</v>
      </c>
      <c r="V5" s="184" t="s">
        <v>100</v>
      </c>
      <c r="W5" s="184" t="s">
        <v>101</v>
      </c>
      <c r="X5" s="182" t="s">
        <v>102</v>
      </c>
      <c r="Y5" s="185" t="s">
        <v>103</v>
      </c>
      <c r="Z5" s="185" t="s">
        <v>104</v>
      </c>
      <c r="AA5" s="185" t="s">
        <v>105</v>
      </c>
      <c r="AB5" s="182" t="s">
        <v>106</v>
      </c>
      <c r="AC5" s="186" t="s">
        <v>107</v>
      </c>
      <c r="AD5" s="186" t="s">
        <v>108</v>
      </c>
      <c r="AE5" s="182" t="s">
        <v>109</v>
      </c>
      <c r="AF5" s="186" t="s">
        <v>110</v>
      </c>
    </row>
    <row r="6" spans="2:32" x14ac:dyDescent="0.3">
      <c r="B6" s="187" t="s">
        <v>111</v>
      </c>
      <c r="C6" s="188" t="s">
        <v>112</v>
      </c>
      <c r="D6" s="188">
        <v>1</v>
      </c>
      <c r="E6" s="188">
        <v>50000</v>
      </c>
      <c r="F6" s="189">
        <f>Tableau4[[#This Row],[Economies totales (m3)]]/Tableau4[[#This Row],[Nombres appareils installés]]</f>
        <v>1068</v>
      </c>
      <c r="G6" s="190">
        <v>1068</v>
      </c>
      <c r="H6" s="188">
        <f t="shared" ref="H6:H69" si="0">(0.00000003*E6^2 - 0.0001*E6 + 1533.4)</f>
        <v>1603.4</v>
      </c>
      <c r="I6" s="188">
        <v>2400</v>
      </c>
      <c r="J6" s="188">
        <f>Tableau4[[#This Row],[Surcoût moyens de l''équipement ($)]]+Tableau4[[#This Row],[Surcoût moyen de l''installation ($)]]</f>
        <v>4003.4</v>
      </c>
      <c r="K6" s="188">
        <f>Tableau4[[#This Row],[Surcoût par appareil ($)]]*Tableau4[[#This Row],[Nombres appareils installés]]</f>
        <v>4003.4</v>
      </c>
      <c r="L6" s="190">
        <v>1700</v>
      </c>
      <c r="M6" s="188">
        <f t="shared" ref="M6:M69" si="1">($M$4+$N$4*(E6/1000))*D6</f>
        <v>1150</v>
      </c>
      <c r="N6" s="188">
        <f>Tableau4[[#This Row],[AF 0 ($)]]/Tableau4[[#This Row],[Nombres appareils installés]]</f>
        <v>1150</v>
      </c>
      <c r="O6" s="191">
        <f>(Tableau4[[#This Row],[AF accordée ($)]])/($J$6*D6)</f>
        <v>0.42463905680171854</v>
      </c>
      <c r="P6" s="191">
        <f>Tableau4[[#This Row],[Couverture 0 (%)]]*Tableau4[[#This Row],[Nombres appareils installés]]</f>
        <v>0.42463905680171854</v>
      </c>
      <c r="Q6" s="188">
        <f>($Q$4+$R$4*(Tableau4[[#This Row],[Capacité (BTU)]]/1000))*Tableau4[[#This Row],[Nombres appareils installés]]</f>
        <v>2250</v>
      </c>
      <c r="R6" s="188">
        <f>Tableau4[[#This Row],[AF 1 ($)]]/Tableau4[[#This Row],[Nombres appareils installés]]</f>
        <v>2250</v>
      </c>
      <c r="S6" s="191">
        <f>Tableau4[[#This Row],[AF 1 ($)]]/(J6*D6)</f>
        <v>0.56202228106109808</v>
      </c>
      <c r="T6" s="191">
        <f>Tableau4[[#This Row],[Couverture 1 (%)]]*Tableau4[[#This Row],[Nombres appareils installés]]</f>
        <v>0.56202228106109808</v>
      </c>
      <c r="U6" s="188">
        <f>($U$4+($V$4*(Tableau4[[#This Row],[Capacité (BTU)]]/1000)))*Tableau4[[#This Row],[Nombres appareils installés]]</f>
        <v>2375</v>
      </c>
      <c r="V6" s="188">
        <f>Tableau4[[#This Row],[AF 2 ($)]]/Tableau4[[#This Row],[Nombres appareils installés]]</f>
        <v>2375</v>
      </c>
      <c r="W6" s="192">
        <f>Tableau4[[#This Row],[AF 2 par appareil ($)]]/Tableau4[[#This Row],[Surcoût par appareil ($)]]</f>
        <v>0.59324574112004791</v>
      </c>
      <c r="X6" s="192">
        <f>Tableau4[[#This Row],[Couverture 2 (%)]]*Tableau4[[#This Row],[Nombres appareils installés]]</f>
        <v>0.59324574112004791</v>
      </c>
      <c r="Y6" s="188">
        <f>($Y$4+$Z$4*(Tableau4[[#This Row],[Capacité (BTU)]]/1000))*Tableau4[[#This Row],[Nombres appareils installés]]</f>
        <v>2750</v>
      </c>
      <c r="Z6" s="188">
        <f>Tableau4[[#This Row],[AF 3 ($)]]/Tableau4[[#This Row],[Nombres appareils installés]]</f>
        <v>2750</v>
      </c>
      <c r="AA6" s="193">
        <f>Tableau4[[#This Row],[AF 3 par appareil ($)]]/Tableau4[[#This Row],[Surcoût par appareil ($)]]</f>
        <v>0.68691612129689761</v>
      </c>
      <c r="AB6" s="191">
        <f>Tableau4[[#This Row],[Couverture 3 (%)]]*Tableau4[[#This Row],[Nombres appareils installés]]</f>
        <v>0.68691612129689761</v>
      </c>
      <c r="AC6" s="188">
        <f>($AC$4+$AD$4*(Tableau4[[#This Row],[Capacité (BTU)]]/1000))*Tableau4[[#This Row],[Nombres appareils installés]]</f>
        <v>2400</v>
      </c>
      <c r="AD6" s="188">
        <f>Tableau4[[#This Row],[AF 4 ($)]]/Tableau4[[#This Row],[Nombres appareils installés]]</f>
        <v>2400</v>
      </c>
      <c r="AE6" s="192">
        <f>Tableau4[[#This Row],[Couverture 4 (%)]]*Tableau4[[#This Row],[Nombres appareils installés]]</f>
        <v>0.59949043313183792</v>
      </c>
      <c r="AF6" s="193">
        <f>Tableau4[[#This Row],[AF 4 par appareil  ($)]]/Tableau4[[#This Row],[Surcoût par appareil ($)]]</f>
        <v>0.59949043313183792</v>
      </c>
    </row>
    <row r="7" spans="2:32" x14ac:dyDescent="0.3">
      <c r="B7" s="187" t="s">
        <v>111</v>
      </c>
      <c r="C7" s="188" t="s">
        <v>113</v>
      </c>
      <c r="D7" s="188">
        <v>1</v>
      </c>
      <c r="E7" s="188">
        <v>55000</v>
      </c>
      <c r="F7" s="189">
        <f>Tableau4[[#This Row],[Economies totales (m3)]]/Tableau4[[#This Row],[Nombres appareils installés]]</f>
        <v>1068</v>
      </c>
      <c r="G7" s="190">
        <v>1068</v>
      </c>
      <c r="H7" s="188">
        <f t="shared" si="0"/>
        <v>1618.65</v>
      </c>
      <c r="I7" s="188">
        <v>2400</v>
      </c>
      <c r="J7" s="188">
        <f>Tableau4[[#This Row],[Surcoût moyens de l''équipement ($)]]+Tableau4[[#This Row],[Surcoût moyen de l''installation ($)]]</f>
        <v>4018.65</v>
      </c>
      <c r="K7" s="188">
        <f>Tableau4[[#This Row],[Surcoût par appareil ($)]]*Tableau4[[#This Row],[Nombres appareils installés]]</f>
        <v>4018.65</v>
      </c>
      <c r="L7" s="190">
        <v>1700</v>
      </c>
      <c r="M7" s="188">
        <f t="shared" si="1"/>
        <v>1175</v>
      </c>
      <c r="N7" s="188">
        <f>Tableau4[[#This Row],[AF 0 ($)]]/Tableau4[[#This Row],[Nombres appareils installés]]</f>
        <v>1175</v>
      </c>
      <c r="O7" s="191">
        <f>(Tableau4[[#This Row],[AF accordée ($)]])/($J$6*D7)</f>
        <v>0.42463905680171854</v>
      </c>
      <c r="P7" s="191">
        <f>Tableau4[[#This Row],[Couverture 0 (%)]]*Tableau4[[#This Row],[Nombres appareils installés]]</f>
        <v>0.42463905680171854</v>
      </c>
      <c r="Q7" s="188">
        <f>($Q$4+$R$4*(Tableau4[[#This Row],[Capacité (BTU)]]/1000))*Tableau4[[#This Row],[Nombres appareils installés]]</f>
        <v>2275</v>
      </c>
      <c r="R7" s="188">
        <f>Tableau4[[#This Row],[AF 1 ($)]]/Tableau4[[#This Row],[Nombres appareils installés]]</f>
        <v>2275</v>
      </c>
      <c r="S7" s="191">
        <f>Tableau4[[#This Row],[AF 1 ($)]]/(J7*D7)</f>
        <v>0.56611050974829857</v>
      </c>
      <c r="T7" s="191">
        <f>Tableau4[[#This Row],[Couverture 1 (%)]]*Tableau4[[#This Row],[Nombres appareils installés]]</f>
        <v>0.56611050974829857</v>
      </c>
      <c r="U7" s="188">
        <f>($U$4+($V$4*(Tableau4[[#This Row],[Capacité (BTU)]]/1000)))*Tableau4[[#This Row],[Nombres appareils installés]]</f>
        <v>2412.5</v>
      </c>
      <c r="V7" s="188">
        <f>Tableau4[[#This Row],[AF 2 ($)]]/Tableau4[[#This Row],[Nombres appareils installés]]</f>
        <v>2412.5</v>
      </c>
      <c r="W7" s="192">
        <f>Tableau4[[#This Row],[AF 2 par appareil ($)]]/Tableau4[[#This Row],[Surcoût par appareil ($)]]</f>
        <v>0.60032598011770122</v>
      </c>
      <c r="X7" s="192">
        <f>Tableau4[[#This Row],[Couverture 2 (%)]]*Tableau4[[#This Row],[Nombres appareils installés]]</f>
        <v>0.60032598011770122</v>
      </c>
      <c r="Y7" s="188">
        <f>($Y$4+$Z$4*(Tableau4[[#This Row],[Capacité (BTU)]]/1000))*Tableau4[[#This Row],[Nombres appareils installés]]</f>
        <v>2775</v>
      </c>
      <c r="Z7" s="188">
        <f>Tableau4[[#This Row],[AF 3 ($)]]/Tableau4[[#This Row],[Nombres appareils installés]]</f>
        <v>2775</v>
      </c>
      <c r="AA7" s="193">
        <f>Tableau4[[#This Row],[AF 3 par appareil ($)]]/Tableau4[[#This Row],[Surcoût par appareil ($)]]</f>
        <v>0.69053040200067184</v>
      </c>
      <c r="AB7" s="193">
        <f>Tableau4[[#This Row],[Couverture 3 (%)]]*Tableau4[[#This Row],[Nombres appareils installés]]</f>
        <v>0.69053040200067184</v>
      </c>
      <c r="AC7" s="188">
        <f>($AC$4+$AD$4*(Tableau4[[#This Row],[Capacité (BTU)]]/1000))*Tableau4[[#This Row],[Nombres appareils installés]]</f>
        <v>2420</v>
      </c>
      <c r="AD7" s="188">
        <f>Tableau4[[#This Row],[AF 4 ($)]]/Tableau4[[#This Row],[Nombres appareils installés]]</f>
        <v>2420</v>
      </c>
      <c r="AE7" s="194">
        <f>Tableau4[[#This Row],[Couverture 4 (%)]]*Tableau4[[#This Row],[Nombres appareils installés]]</f>
        <v>0.60219227850148682</v>
      </c>
      <c r="AF7" s="193">
        <f>Tableau4[[#This Row],[AF 4 par appareil  ($)]]/Tableau4[[#This Row],[Surcoût par appareil ($)]]</f>
        <v>0.60219227850148682</v>
      </c>
    </row>
    <row r="8" spans="2:32" x14ac:dyDescent="0.3">
      <c r="B8" s="187" t="s">
        <v>111</v>
      </c>
      <c r="C8" s="188" t="s">
        <v>114</v>
      </c>
      <c r="D8" s="188">
        <v>1</v>
      </c>
      <c r="E8" s="188">
        <v>55000</v>
      </c>
      <c r="F8" s="189">
        <f>Tableau4[[#This Row],[Economies totales (m3)]]/Tableau4[[#This Row],[Nombres appareils installés]]</f>
        <v>1068</v>
      </c>
      <c r="G8" s="190">
        <v>1068</v>
      </c>
      <c r="H8" s="188">
        <f t="shared" si="0"/>
        <v>1618.65</v>
      </c>
      <c r="I8" s="188">
        <v>2400</v>
      </c>
      <c r="J8" s="188">
        <f>Tableau4[[#This Row],[Surcoût moyens de l''équipement ($)]]+Tableau4[[#This Row],[Surcoût moyen de l''installation ($)]]</f>
        <v>4018.65</v>
      </c>
      <c r="K8" s="188">
        <f>Tableau4[[#This Row],[Surcoût par appareil ($)]]*Tableau4[[#This Row],[Nombres appareils installés]]</f>
        <v>4018.65</v>
      </c>
      <c r="L8" s="190">
        <v>1700</v>
      </c>
      <c r="M8" s="188">
        <f t="shared" si="1"/>
        <v>1175</v>
      </c>
      <c r="N8" s="188">
        <f>Tableau4[[#This Row],[AF 0 ($)]]/Tableau4[[#This Row],[Nombres appareils installés]]</f>
        <v>1175</v>
      </c>
      <c r="O8" s="191">
        <f>(Tableau4[[#This Row],[AF accordée ($)]])/($J$6*D8)</f>
        <v>0.42463905680171854</v>
      </c>
      <c r="P8" s="191">
        <f>Tableau4[[#This Row],[Couverture 0 (%)]]*Tableau4[[#This Row],[Nombres appareils installés]]</f>
        <v>0.42463905680171854</v>
      </c>
      <c r="Q8" s="188">
        <f>($Q$4+$R$4*(Tableau4[[#This Row],[Capacité (BTU)]]/1000))*Tableau4[[#This Row],[Nombres appareils installés]]</f>
        <v>2275</v>
      </c>
      <c r="R8" s="188">
        <f>Tableau4[[#This Row],[AF 1 ($)]]/Tableau4[[#This Row],[Nombres appareils installés]]</f>
        <v>2275</v>
      </c>
      <c r="S8" s="191">
        <f>Tableau4[[#This Row],[AF 1 ($)]]/(J8*D8)</f>
        <v>0.56611050974829857</v>
      </c>
      <c r="T8" s="191">
        <f>Tableau4[[#This Row],[Couverture 1 (%)]]*Tableau4[[#This Row],[Nombres appareils installés]]</f>
        <v>0.56611050974829857</v>
      </c>
      <c r="U8" s="188">
        <f>($U$4+($V$4*(Tableau4[[#This Row],[Capacité (BTU)]]/1000)))*Tableau4[[#This Row],[Nombres appareils installés]]</f>
        <v>2412.5</v>
      </c>
      <c r="V8" s="188">
        <f>Tableau4[[#This Row],[AF 2 ($)]]/Tableau4[[#This Row],[Nombres appareils installés]]</f>
        <v>2412.5</v>
      </c>
      <c r="W8" s="192">
        <f>Tableau4[[#This Row],[AF 2 par appareil ($)]]/Tableau4[[#This Row],[Surcoût par appareil ($)]]</f>
        <v>0.60032598011770122</v>
      </c>
      <c r="X8" s="192">
        <f>Tableau4[[#This Row],[Couverture 2 (%)]]*Tableau4[[#This Row],[Nombres appareils installés]]</f>
        <v>0.60032598011770122</v>
      </c>
      <c r="Y8" s="188">
        <f>($Y$4+$Z$4*(Tableau4[[#This Row],[Capacité (BTU)]]/1000))*Tableau4[[#This Row],[Nombres appareils installés]]</f>
        <v>2775</v>
      </c>
      <c r="Z8" s="188">
        <f>Tableau4[[#This Row],[AF 3 ($)]]/Tableau4[[#This Row],[Nombres appareils installés]]</f>
        <v>2775</v>
      </c>
      <c r="AA8" s="193">
        <f>Tableau4[[#This Row],[AF 3 par appareil ($)]]/Tableau4[[#This Row],[Surcoût par appareil ($)]]</f>
        <v>0.69053040200067184</v>
      </c>
      <c r="AB8" s="193">
        <f>Tableau4[[#This Row],[Couverture 3 (%)]]*Tableau4[[#This Row],[Nombres appareils installés]]</f>
        <v>0.69053040200067184</v>
      </c>
      <c r="AC8" s="188">
        <f>($AC$4+$AD$4*(Tableau4[[#This Row],[Capacité (BTU)]]/1000))*Tableau4[[#This Row],[Nombres appareils installés]]</f>
        <v>2420</v>
      </c>
      <c r="AD8" s="188">
        <f>Tableau4[[#This Row],[AF 4 ($)]]/Tableau4[[#This Row],[Nombres appareils installés]]</f>
        <v>2420</v>
      </c>
      <c r="AE8" s="194">
        <f>Tableau4[[#This Row],[Couverture 4 (%)]]*Tableau4[[#This Row],[Nombres appareils installés]]</f>
        <v>0.60219227850148682</v>
      </c>
      <c r="AF8" s="193">
        <f>Tableau4[[#This Row],[AF 4 par appareil  ($)]]/Tableau4[[#This Row],[Surcoût par appareil ($)]]</f>
        <v>0.60219227850148682</v>
      </c>
    </row>
    <row r="9" spans="2:32" x14ac:dyDescent="0.3">
      <c r="B9" s="187" t="s">
        <v>111</v>
      </c>
      <c r="C9" s="188" t="s">
        <v>115</v>
      </c>
      <c r="D9" s="188">
        <v>1</v>
      </c>
      <c r="E9" s="188">
        <v>55000</v>
      </c>
      <c r="F9" s="189">
        <f>Tableau4[[#This Row],[Economies totales (m3)]]/Tableau4[[#This Row],[Nombres appareils installés]]</f>
        <v>1068</v>
      </c>
      <c r="G9" s="190">
        <v>1068</v>
      </c>
      <c r="H9" s="188">
        <f t="shared" si="0"/>
        <v>1618.65</v>
      </c>
      <c r="I9" s="188">
        <v>2400</v>
      </c>
      <c r="J9" s="188">
        <f>Tableau4[[#This Row],[Surcoût moyens de l''équipement ($)]]+Tableau4[[#This Row],[Surcoût moyen de l''installation ($)]]</f>
        <v>4018.65</v>
      </c>
      <c r="K9" s="188">
        <f>Tableau4[[#This Row],[Surcoût par appareil ($)]]*Tableau4[[#This Row],[Nombres appareils installés]]</f>
        <v>4018.65</v>
      </c>
      <c r="L9" s="190">
        <v>1700</v>
      </c>
      <c r="M9" s="188">
        <f t="shared" si="1"/>
        <v>1175</v>
      </c>
      <c r="N9" s="188">
        <f>Tableau4[[#This Row],[AF 0 ($)]]/Tableau4[[#This Row],[Nombres appareils installés]]</f>
        <v>1175</v>
      </c>
      <c r="O9" s="191">
        <f>(Tableau4[[#This Row],[AF accordée ($)]])/($J$6*D9)</f>
        <v>0.42463905680171854</v>
      </c>
      <c r="P9" s="191">
        <f>Tableau4[[#This Row],[Couverture 0 (%)]]*Tableau4[[#This Row],[Nombres appareils installés]]</f>
        <v>0.42463905680171854</v>
      </c>
      <c r="Q9" s="188">
        <f>($Q$4+$R$4*(Tableau4[[#This Row],[Capacité (BTU)]]/1000))*Tableau4[[#This Row],[Nombres appareils installés]]</f>
        <v>2275</v>
      </c>
      <c r="R9" s="188">
        <f>Tableau4[[#This Row],[AF 1 ($)]]/Tableau4[[#This Row],[Nombres appareils installés]]</f>
        <v>2275</v>
      </c>
      <c r="S9" s="191">
        <f>Tableau4[[#This Row],[AF 1 ($)]]/(J9*D9)</f>
        <v>0.56611050974829857</v>
      </c>
      <c r="T9" s="191">
        <f>Tableau4[[#This Row],[Couverture 1 (%)]]*Tableau4[[#This Row],[Nombres appareils installés]]</f>
        <v>0.56611050974829857</v>
      </c>
      <c r="U9" s="188">
        <f>($U$4+($V$4*(Tableau4[[#This Row],[Capacité (BTU)]]/1000)))*Tableau4[[#This Row],[Nombres appareils installés]]</f>
        <v>2412.5</v>
      </c>
      <c r="V9" s="188">
        <f>Tableau4[[#This Row],[AF 2 ($)]]/Tableau4[[#This Row],[Nombres appareils installés]]</f>
        <v>2412.5</v>
      </c>
      <c r="W9" s="192">
        <f>Tableau4[[#This Row],[AF 2 par appareil ($)]]/Tableau4[[#This Row],[Surcoût par appareil ($)]]</f>
        <v>0.60032598011770122</v>
      </c>
      <c r="X9" s="192">
        <f>Tableau4[[#This Row],[Couverture 2 (%)]]*Tableau4[[#This Row],[Nombres appareils installés]]</f>
        <v>0.60032598011770122</v>
      </c>
      <c r="Y9" s="188">
        <f>($Y$4+$Z$4*(Tableau4[[#This Row],[Capacité (BTU)]]/1000))*Tableau4[[#This Row],[Nombres appareils installés]]</f>
        <v>2775</v>
      </c>
      <c r="Z9" s="188">
        <f>Tableau4[[#This Row],[AF 3 ($)]]/Tableau4[[#This Row],[Nombres appareils installés]]</f>
        <v>2775</v>
      </c>
      <c r="AA9" s="193">
        <f>Tableau4[[#This Row],[AF 3 par appareil ($)]]/Tableau4[[#This Row],[Surcoût par appareil ($)]]</f>
        <v>0.69053040200067184</v>
      </c>
      <c r="AB9" s="193">
        <f>Tableau4[[#This Row],[Couverture 3 (%)]]*Tableau4[[#This Row],[Nombres appareils installés]]</f>
        <v>0.69053040200067184</v>
      </c>
      <c r="AC9" s="188">
        <f>($AC$4+$AD$4*(Tableau4[[#This Row],[Capacité (BTU)]]/1000))*Tableau4[[#This Row],[Nombres appareils installés]]</f>
        <v>2420</v>
      </c>
      <c r="AD9" s="188">
        <f>Tableau4[[#This Row],[AF 4 ($)]]/Tableau4[[#This Row],[Nombres appareils installés]]</f>
        <v>2420</v>
      </c>
      <c r="AE9" s="194">
        <f>Tableau4[[#This Row],[Couverture 4 (%)]]*Tableau4[[#This Row],[Nombres appareils installés]]</f>
        <v>0.60219227850148682</v>
      </c>
      <c r="AF9" s="193">
        <f>Tableau4[[#This Row],[AF 4 par appareil  ($)]]/Tableau4[[#This Row],[Surcoût par appareil ($)]]</f>
        <v>0.60219227850148682</v>
      </c>
    </row>
    <row r="10" spans="2:32" x14ac:dyDescent="0.3">
      <c r="B10" s="187" t="s">
        <v>111</v>
      </c>
      <c r="C10" s="188" t="s">
        <v>116</v>
      </c>
      <c r="D10" s="188">
        <v>1</v>
      </c>
      <c r="E10" s="188">
        <v>55000</v>
      </c>
      <c r="F10" s="189">
        <f>Tableau4[[#This Row],[Economies totales (m3)]]/Tableau4[[#This Row],[Nombres appareils installés]]</f>
        <v>1068</v>
      </c>
      <c r="G10" s="190">
        <v>1068</v>
      </c>
      <c r="H10" s="188">
        <f t="shared" si="0"/>
        <v>1618.65</v>
      </c>
      <c r="I10" s="188">
        <v>2400</v>
      </c>
      <c r="J10" s="188">
        <f>Tableau4[[#This Row],[Surcoût moyens de l''équipement ($)]]+Tableau4[[#This Row],[Surcoût moyen de l''installation ($)]]</f>
        <v>4018.65</v>
      </c>
      <c r="K10" s="188">
        <f>Tableau4[[#This Row],[Surcoût par appareil ($)]]*Tableau4[[#This Row],[Nombres appareils installés]]</f>
        <v>4018.65</v>
      </c>
      <c r="L10" s="190">
        <v>1700</v>
      </c>
      <c r="M10" s="188">
        <f t="shared" si="1"/>
        <v>1175</v>
      </c>
      <c r="N10" s="188">
        <f>Tableau4[[#This Row],[AF 0 ($)]]/Tableau4[[#This Row],[Nombres appareils installés]]</f>
        <v>1175</v>
      </c>
      <c r="O10" s="191">
        <f>(Tableau4[[#This Row],[AF accordée ($)]])/($J$6*D10)</f>
        <v>0.42463905680171854</v>
      </c>
      <c r="P10" s="191">
        <f>Tableau4[[#This Row],[Couverture 0 (%)]]*Tableau4[[#This Row],[Nombres appareils installés]]</f>
        <v>0.42463905680171854</v>
      </c>
      <c r="Q10" s="188">
        <f>($Q$4+$R$4*(Tableau4[[#This Row],[Capacité (BTU)]]/1000))*Tableau4[[#This Row],[Nombres appareils installés]]</f>
        <v>2275</v>
      </c>
      <c r="R10" s="188">
        <f>Tableau4[[#This Row],[AF 1 ($)]]/Tableau4[[#This Row],[Nombres appareils installés]]</f>
        <v>2275</v>
      </c>
      <c r="S10" s="191">
        <f>Tableau4[[#This Row],[AF 1 ($)]]/(J10*D10)</f>
        <v>0.56611050974829857</v>
      </c>
      <c r="T10" s="191">
        <f>Tableau4[[#This Row],[Couverture 1 (%)]]*Tableau4[[#This Row],[Nombres appareils installés]]</f>
        <v>0.56611050974829857</v>
      </c>
      <c r="U10" s="188">
        <f>($U$4+($V$4*(Tableau4[[#This Row],[Capacité (BTU)]]/1000)))*Tableau4[[#This Row],[Nombres appareils installés]]</f>
        <v>2412.5</v>
      </c>
      <c r="V10" s="188">
        <f>Tableau4[[#This Row],[AF 2 ($)]]/Tableau4[[#This Row],[Nombres appareils installés]]</f>
        <v>2412.5</v>
      </c>
      <c r="W10" s="192">
        <f>Tableau4[[#This Row],[AF 2 par appareil ($)]]/Tableau4[[#This Row],[Surcoût par appareil ($)]]</f>
        <v>0.60032598011770122</v>
      </c>
      <c r="X10" s="192">
        <f>Tableau4[[#This Row],[Couverture 2 (%)]]*Tableau4[[#This Row],[Nombres appareils installés]]</f>
        <v>0.60032598011770122</v>
      </c>
      <c r="Y10" s="188">
        <f>($Y$4+$Z$4*(Tableau4[[#This Row],[Capacité (BTU)]]/1000))*Tableau4[[#This Row],[Nombres appareils installés]]</f>
        <v>2775</v>
      </c>
      <c r="Z10" s="188">
        <f>Tableau4[[#This Row],[AF 3 ($)]]/Tableau4[[#This Row],[Nombres appareils installés]]</f>
        <v>2775</v>
      </c>
      <c r="AA10" s="193">
        <f>Tableau4[[#This Row],[AF 3 par appareil ($)]]/Tableau4[[#This Row],[Surcoût par appareil ($)]]</f>
        <v>0.69053040200067184</v>
      </c>
      <c r="AB10" s="193">
        <f>Tableau4[[#This Row],[Couverture 3 (%)]]*Tableau4[[#This Row],[Nombres appareils installés]]</f>
        <v>0.69053040200067184</v>
      </c>
      <c r="AC10" s="188">
        <f>($AC$4+$AD$4*(Tableau4[[#This Row],[Capacité (BTU)]]/1000))*Tableau4[[#This Row],[Nombres appareils installés]]</f>
        <v>2420</v>
      </c>
      <c r="AD10" s="188">
        <f>Tableau4[[#This Row],[AF 4 ($)]]/Tableau4[[#This Row],[Nombres appareils installés]]</f>
        <v>2420</v>
      </c>
      <c r="AE10" s="194">
        <f>Tableau4[[#This Row],[Couverture 4 (%)]]*Tableau4[[#This Row],[Nombres appareils installés]]</f>
        <v>0.60219227850148682</v>
      </c>
      <c r="AF10" s="193">
        <f>Tableau4[[#This Row],[AF 4 par appareil  ($)]]/Tableau4[[#This Row],[Surcoût par appareil ($)]]</f>
        <v>0.60219227850148682</v>
      </c>
    </row>
    <row r="11" spans="2:32" x14ac:dyDescent="0.3">
      <c r="B11" s="187" t="s">
        <v>111</v>
      </c>
      <c r="C11" s="188" t="s">
        <v>117</v>
      </c>
      <c r="D11" s="188">
        <v>4</v>
      </c>
      <c r="E11" s="188">
        <v>55000</v>
      </c>
      <c r="F11" s="189">
        <f>Tableau4[[#This Row],[Economies totales (m3)]]/Tableau4[[#This Row],[Nombres appareils installés]]</f>
        <v>1068</v>
      </c>
      <c r="G11" s="190">
        <v>4272</v>
      </c>
      <c r="H11" s="188">
        <f t="shared" si="0"/>
        <v>1618.65</v>
      </c>
      <c r="I11" s="188">
        <v>2400</v>
      </c>
      <c r="J11" s="188">
        <f>Tableau4[[#This Row],[Surcoût moyens de l''équipement ($)]]+Tableau4[[#This Row],[Surcoût moyen de l''installation ($)]]</f>
        <v>4018.65</v>
      </c>
      <c r="K11" s="188">
        <f>Tableau4[[#This Row],[Surcoût par appareil ($)]]*Tableau4[[#This Row],[Nombres appareils installés]]</f>
        <v>16074.6</v>
      </c>
      <c r="L11" s="190">
        <v>6800</v>
      </c>
      <c r="M11" s="188">
        <f t="shared" si="1"/>
        <v>4700</v>
      </c>
      <c r="N11" s="188">
        <f>Tableau4[[#This Row],[AF 0 ($)]]/Tableau4[[#This Row],[Nombres appareils installés]]</f>
        <v>1175</v>
      </c>
      <c r="O11" s="191">
        <f>(Tableau4[[#This Row],[AF accordée ($)]])/($J$6*D11)</f>
        <v>0.42463905680171854</v>
      </c>
      <c r="P11" s="191">
        <f>Tableau4[[#This Row],[Couverture 0 (%)]]*Tableau4[[#This Row],[Nombres appareils installés]]</f>
        <v>1.6985562272068742</v>
      </c>
      <c r="Q11" s="188">
        <f>($Q$4+$R$4*(Tableau4[[#This Row],[Capacité (BTU)]]/1000))*Tableau4[[#This Row],[Nombres appareils installés]]</f>
        <v>9100</v>
      </c>
      <c r="R11" s="188">
        <f>Tableau4[[#This Row],[AF 1 ($)]]/Tableau4[[#This Row],[Nombres appareils installés]]</f>
        <v>2275</v>
      </c>
      <c r="S11" s="191">
        <f>Tableau4[[#This Row],[AF 1 ($)]]/(J11*D11)</f>
        <v>0.56611050974829857</v>
      </c>
      <c r="T11" s="191">
        <f>Tableau4[[#This Row],[Couverture 1 (%)]]*Tableau4[[#This Row],[Nombres appareils installés]]</f>
        <v>2.2644420389931943</v>
      </c>
      <c r="U11" s="188">
        <f>($U$4+($V$4*(Tableau4[[#This Row],[Capacité (BTU)]]/1000)))*Tableau4[[#This Row],[Nombres appareils installés]]</f>
        <v>9650</v>
      </c>
      <c r="V11" s="188">
        <f>Tableau4[[#This Row],[AF 2 ($)]]/Tableau4[[#This Row],[Nombres appareils installés]]</f>
        <v>2412.5</v>
      </c>
      <c r="W11" s="192">
        <f>Tableau4[[#This Row],[AF 2 par appareil ($)]]/Tableau4[[#This Row],[Surcoût par appareil ($)]]</f>
        <v>0.60032598011770122</v>
      </c>
      <c r="X11" s="192">
        <f>Tableau4[[#This Row],[Couverture 2 (%)]]*Tableau4[[#This Row],[Nombres appareils installés]]</f>
        <v>2.4013039204708049</v>
      </c>
      <c r="Y11" s="188">
        <f>($Y$4+$Z$4*(Tableau4[[#This Row],[Capacité (BTU)]]/1000))*Tableau4[[#This Row],[Nombres appareils installés]]</f>
        <v>11100</v>
      </c>
      <c r="Z11" s="188">
        <f>Tableau4[[#This Row],[AF 3 ($)]]/Tableau4[[#This Row],[Nombres appareils installés]]</f>
        <v>2775</v>
      </c>
      <c r="AA11" s="193">
        <f>Tableau4[[#This Row],[AF 3 par appareil ($)]]/Tableau4[[#This Row],[Surcoût par appareil ($)]]</f>
        <v>0.69053040200067184</v>
      </c>
      <c r="AB11" s="193">
        <f>Tableau4[[#This Row],[Couverture 3 (%)]]*Tableau4[[#This Row],[Nombres appareils installés]]</f>
        <v>2.7621216080026874</v>
      </c>
      <c r="AC11" s="188">
        <f>($AC$4+$AD$4*(Tableau4[[#This Row],[Capacité (BTU)]]/1000))*Tableau4[[#This Row],[Nombres appareils installés]]</f>
        <v>9680</v>
      </c>
      <c r="AD11" s="188">
        <f>Tableau4[[#This Row],[AF 4 ($)]]/Tableau4[[#This Row],[Nombres appareils installés]]</f>
        <v>2420</v>
      </c>
      <c r="AE11" s="194">
        <f>Tableau4[[#This Row],[Couverture 4 (%)]]*Tableau4[[#This Row],[Nombres appareils installés]]</f>
        <v>2.4087691140059473</v>
      </c>
      <c r="AF11" s="193">
        <f>Tableau4[[#This Row],[AF 4 par appareil  ($)]]/Tableau4[[#This Row],[Surcoût par appareil ($)]]</f>
        <v>0.60219227850148682</v>
      </c>
    </row>
    <row r="12" spans="2:32" x14ac:dyDescent="0.3">
      <c r="B12" s="187" t="s">
        <v>111</v>
      </c>
      <c r="C12" s="188" t="s">
        <v>118</v>
      </c>
      <c r="D12" s="188">
        <v>4</v>
      </c>
      <c r="E12" s="188">
        <v>65000</v>
      </c>
      <c r="F12" s="189">
        <f>Tableau4[[#This Row],[Economies totales (m3)]]/Tableau4[[#This Row],[Nombres appareils installés]]</f>
        <v>1068</v>
      </c>
      <c r="G12" s="190">
        <v>4272</v>
      </c>
      <c r="H12" s="188">
        <f t="shared" si="0"/>
        <v>1653.65</v>
      </c>
      <c r="I12" s="188">
        <v>2400</v>
      </c>
      <c r="J12" s="188">
        <f>Tableau4[[#This Row],[Surcoût moyens de l''équipement ($)]]+Tableau4[[#This Row],[Surcoût moyen de l''installation ($)]]</f>
        <v>4053.65</v>
      </c>
      <c r="K12" s="188">
        <f>Tableau4[[#This Row],[Surcoût par appareil ($)]]*Tableau4[[#This Row],[Nombres appareils installés]]</f>
        <v>16214.6</v>
      </c>
      <c r="L12" s="190">
        <v>6800</v>
      </c>
      <c r="M12" s="188">
        <f t="shared" si="1"/>
        <v>4900</v>
      </c>
      <c r="N12" s="188">
        <f>Tableau4[[#This Row],[AF 0 ($)]]/Tableau4[[#This Row],[Nombres appareils installés]]</f>
        <v>1225</v>
      </c>
      <c r="O12" s="191">
        <f>(Tableau4[[#This Row],[AF accordée ($)]])/($J$6*D12)</f>
        <v>0.42463905680171854</v>
      </c>
      <c r="P12" s="191">
        <f>Tableau4[[#This Row],[Couverture 0 (%)]]*Tableau4[[#This Row],[Nombres appareils installés]]</f>
        <v>1.6985562272068742</v>
      </c>
      <c r="Q12" s="188">
        <f>($Q$4+$R$4*(Tableau4[[#This Row],[Capacité (BTU)]]/1000))*Tableau4[[#This Row],[Nombres appareils installés]]</f>
        <v>9300</v>
      </c>
      <c r="R12" s="188">
        <f>Tableau4[[#This Row],[AF 1 ($)]]/Tableau4[[#This Row],[Nombres appareils installés]]</f>
        <v>2325</v>
      </c>
      <c r="S12" s="191">
        <f>Tableau4[[#This Row],[AF 1 ($)]]/(J12*D12)</f>
        <v>0.57355716453073158</v>
      </c>
      <c r="T12" s="191">
        <f>Tableau4[[#This Row],[Couverture 1 (%)]]*Tableau4[[#This Row],[Nombres appareils installés]]</f>
        <v>2.2942286581229263</v>
      </c>
      <c r="U12" s="188">
        <f>($U$4+($V$4*(Tableau4[[#This Row],[Capacité (BTU)]]/1000)))*Tableau4[[#This Row],[Nombres appareils installés]]</f>
        <v>9950</v>
      </c>
      <c r="V12" s="188">
        <f>Tableau4[[#This Row],[AF 2 ($)]]/Tableau4[[#This Row],[Nombres appareils installés]]</f>
        <v>2487.5</v>
      </c>
      <c r="W12" s="192">
        <f>Tableau4[[#This Row],[AF 2 par appareil ($)]]/Tableau4[[#This Row],[Surcoût par appareil ($)]]</f>
        <v>0.61364449323449233</v>
      </c>
      <c r="X12" s="192">
        <f>Tableau4[[#This Row],[Couverture 2 (%)]]*Tableau4[[#This Row],[Nombres appareils installés]]</f>
        <v>2.4545779729379693</v>
      </c>
      <c r="Y12" s="188">
        <f>($Y$4+$Z$4*(Tableau4[[#This Row],[Capacité (BTU)]]/1000))*Tableau4[[#This Row],[Nombres appareils installés]]</f>
        <v>11300</v>
      </c>
      <c r="Z12" s="188">
        <f>Tableau4[[#This Row],[AF 3 ($)]]/Tableau4[[#This Row],[Nombres appareils installés]]</f>
        <v>2825</v>
      </c>
      <c r="AA12" s="193">
        <f>Tableau4[[#This Row],[AF 3 par appareil ($)]]/Tableau4[[#This Row],[Surcoût par appareil ($)]]</f>
        <v>0.69690279131153399</v>
      </c>
      <c r="AB12" s="193">
        <f>Tableau4[[#This Row],[Couverture 3 (%)]]*Tableau4[[#This Row],[Nombres appareils installés]]</f>
        <v>2.7876111652461359</v>
      </c>
      <c r="AC12" s="188">
        <f>($AC$4+$AD$4*(Tableau4[[#This Row],[Capacité (BTU)]]/1000))*Tableau4[[#This Row],[Nombres appareils installés]]</f>
        <v>9840</v>
      </c>
      <c r="AD12" s="188">
        <f>Tableau4[[#This Row],[AF 4 ($)]]/Tableau4[[#This Row],[Nombres appareils installés]]</f>
        <v>2460</v>
      </c>
      <c r="AE12" s="194">
        <f>Tableau4[[#This Row],[Couverture 4 (%)]]*Tableau4[[#This Row],[Nombres appareils installés]]</f>
        <v>2.4274419350461929</v>
      </c>
      <c r="AF12" s="193">
        <f>Tableau4[[#This Row],[AF 4 par appareil  ($)]]/Tableau4[[#This Row],[Surcoût par appareil ($)]]</f>
        <v>0.60686048376154822</v>
      </c>
    </row>
    <row r="13" spans="2:32" x14ac:dyDescent="0.3">
      <c r="B13" s="187" t="s">
        <v>111</v>
      </c>
      <c r="C13" s="188" t="s">
        <v>119</v>
      </c>
      <c r="D13" s="188">
        <v>1</v>
      </c>
      <c r="E13" s="188">
        <v>85000</v>
      </c>
      <c r="F13" s="189">
        <f>Tableau4[[#This Row],[Economies totales (m3)]]/Tableau4[[#This Row],[Nombres appareils installés]]</f>
        <v>1068</v>
      </c>
      <c r="G13" s="190">
        <v>1068</v>
      </c>
      <c r="H13" s="188">
        <f t="shared" si="0"/>
        <v>1741.65</v>
      </c>
      <c r="I13" s="188">
        <v>2400</v>
      </c>
      <c r="J13" s="188">
        <f>Tableau4[[#This Row],[Surcoût moyens de l''équipement ($)]]+Tableau4[[#This Row],[Surcoût moyen de l''installation ($)]]</f>
        <v>4141.6499999999996</v>
      </c>
      <c r="K13" s="188">
        <f>Tableau4[[#This Row],[Surcoût par appareil ($)]]*Tableau4[[#This Row],[Nombres appareils installés]]</f>
        <v>4141.6499999999996</v>
      </c>
      <c r="L13" s="190">
        <v>1700</v>
      </c>
      <c r="M13" s="188">
        <f t="shared" si="1"/>
        <v>1325</v>
      </c>
      <c r="N13" s="188">
        <f>Tableau4[[#This Row],[AF 0 ($)]]/Tableau4[[#This Row],[Nombres appareils installés]]</f>
        <v>1325</v>
      </c>
      <c r="O13" s="191">
        <f>(Tableau4[[#This Row],[AF accordée ($)]])/($J$6*D13)</f>
        <v>0.42463905680171854</v>
      </c>
      <c r="P13" s="191">
        <f>Tableau4[[#This Row],[Couverture 0 (%)]]*Tableau4[[#This Row],[Nombres appareils installés]]</f>
        <v>0.42463905680171854</v>
      </c>
      <c r="Q13" s="188">
        <f>($Q$4+$R$4*(Tableau4[[#This Row],[Capacité (BTU)]]/1000))*Tableau4[[#This Row],[Nombres appareils installés]]</f>
        <v>2425</v>
      </c>
      <c r="R13" s="188">
        <f>Tableau4[[#This Row],[AF 1 ($)]]/Tableau4[[#This Row],[Nombres appareils installés]]</f>
        <v>2425</v>
      </c>
      <c r="S13" s="191">
        <f>Tableau4[[#This Row],[AF 1 ($)]]/(J13*D13)</f>
        <v>0.58551543466975731</v>
      </c>
      <c r="T13" s="191">
        <f>Tableau4[[#This Row],[Couverture 1 (%)]]*Tableau4[[#This Row],[Nombres appareils installés]]</f>
        <v>0.58551543466975731</v>
      </c>
      <c r="U13" s="188">
        <f>($U$4+($V$4*(Tableau4[[#This Row],[Capacité (BTU)]]/1000)))*Tableau4[[#This Row],[Nombres appareils installés]]</f>
        <v>2637.5</v>
      </c>
      <c r="V13" s="188">
        <f>Tableau4[[#This Row],[AF 2 ($)]]/Tableau4[[#This Row],[Nombres appareils installés]]</f>
        <v>2637.5</v>
      </c>
      <c r="W13" s="192">
        <f>Tableau4[[#This Row],[AF 2 par appareil ($)]]/Tableau4[[#This Row],[Surcoût par appareil ($)]]</f>
        <v>0.63682348822329271</v>
      </c>
      <c r="X13" s="192">
        <f>Tableau4[[#This Row],[Couverture 2 (%)]]*Tableau4[[#This Row],[Nombres appareils installés]]</f>
        <v>0.63682348822329271</v>
      </c>
      <c r="Y13" s="188">
        <f>($Y$4+$Z$4*(Tableau4[[#This Row],[Capacité (BTU)]]/1000))*Tableau4[[#This Row],[Nombres appareils installés]]</f>
        <v>2925</v>
      </c>
      <c r="Z13" s="188">
        <f>Tableau4[[#This Row],[AF 3 ($)]]/Tableau4[[#This Row],[Nombres appareils installés]]</f>
        <v>2925</v>
      </c>
      <c r="AA13" s="193">
        <f>Tableau4[[#This Row],[AF 3 par appareil ($)]]/Tableau4[[#This Row],[Surcoût par appareil ($)]]</f>
        <v>0.70624026656042893</v>
      </c>
      <c r="AB13" s="193">
        <f>Tableau4[[#This Row],[Couverture 3 (%)]]*Tableau4[[#This Row],[Nombres appareils installés]]</f>
        <v>0.70624026656042893</v>
      </c>
      <c r="AC13" s="188">
        <f>($AC$4+$AD$4*(Tableau4[[#This Row],[Capacité (BTU)]]/1000))*Tableau4[[#This Row],[Nombres appareils installés]]</f>
        <v>2540</v>
      </c>
      <c r="AD13" s="188">
        <f>Tableau4[[#This Row],[AF 4 ($)]]/Tableau4[[#This Row],[Nombres appareils installés]]</f>
        <v>2540</v>
      </c>
      <c r="AE13" s="194">
        <f>Tableau4[[#This Row],[Couverture 4 (%)]]*Tableau4[[#This Row],[Nombres appareils installés]]</f>
        <v>0.61328214600461173</v>
      </c>
      <c r="AF13" s="193">
        <f>Tableau4[[#This Row],[AF 4 par appareil  ($)]]/Tableau4[[#This Row],[Surcoût par appareil ($)]]</f>
        <v>0.61328214600461173</v>
      </c>
    </row>
    <row r="14" spans="2:32" x14ac:dyDescent="0.3">
      <c r="B14" s="187" t="s">
        <v>111</v>
      </c>
      <c r="C14" s="188" t="s">
        <v>120</v>
      </c>
      <c r="D14" s="188">
        <v>1</v>
      </c>
      <c r="E14" s="188">
        <v>85000</v>
      </c>
      <c r="F14" s="189">
        <f>Tableau4[[#This Row],[Economies totales (m3)]]/Tableau4[[#This Row],[Nombres appareils installés]]</f>
        <v>1068</v>
      </c>
      <c r="G14" s="190">
        <v>1068</v>
      </c>
      <c r="H14" s="188">
        <f t="shared" si="0"/>
        <v>1741.65</v>
      </c>
      <c r="I14" s="188">
        <v>2400</v>
      </c>
      <c r="J14" s="188">
        <f>Tableau4[[#This Row],[Surcoût moyens de l''équipement ($)]]+Tableau4[[#This Row],[Surcoût moyen de l''installation ($)]]</f>
        <v>4141.6499999999996</v>
      </c>
      <c r="K14" s="188">
        <f>Tableau4[[#This Row],[Surcoût par appareil ($)]]*Tableau4[[#This Row],[Nombres appareils installés]]</f>
        <v>4141.6499999999996</v>
      </c>
      <c r="L14" s="190">
        <v>1700</v>
      </c>
      <c r="M14" s="188">
        <f t="shared" si="1"/>
        <v>1325</v>
      </c>
      <c r="N14" s="188">
        <f>Tableau4[[#This Row],[AF 0 ($)]]/Tableau4[[#This Row],[Nombres appareils installés]]</f>
        <v>1325</v>
      </c>
      <c r="O14" s="191">
        <f>(Tableau4[[#This Row],[AF accordée ($)]])/($J$6*D14)</f>
        <v>0.42463905680171854</v>
      </c>
      <c r="P14" s="191">
        <f>Tableau4[[#This Row],[Couverture 0 (%)]]*Tableau4[[#This Row],[Nombres appareils installés]]</f>
        <v>0.42463905680171854</v>
      </c>
      <c r="Q14" s="188">
        <f>($Q$4+$R$4*(Tableau4[[#This Row],[Capacité (BTU)]]/1000))*Tableau4[[#This Row],[Nombres appareils installés]]</f>
        <v>2425</v>
      </c>
      <c r="R14" s="188">
        <f>Tableau4[[#This Row],[AF 1 ($)]]/Tableau4[[#This Row],[Nombres appareils installés]]</f>
        <v>2425</v>
      </c>
      <c r="S14" s="191">
        <f>Tableau4[[#This Row],[AF 1 ($)]]/(J14*D14)</f>
        <v>0.58551543466975731</v>
      </c>
      <c r="T14" s="191">
        <f>Tableau4[[#This Row],[Couverture 1 (%)]]*Tableau4[[#This Row],[Nombres appareils installés]]</f>
        <v>0.58551543466975731</v>
      </c>
      <c r="U14" s="188">
        <f>($U$4+($V$4*(Tableau4[[#This Row],[Capacité (BTU)]]/1000)))*Tableau4[[#This Row],[Nombres appareils installés]]</f>
        <v>2637.5</v>
      </c>
      <c r="V14" s="188">
        <f>Tableau4[[#This Row],[AF 2 ($)]]/Tableau4[[#This Row],[Nombres appareils installés]]</f>
        <v>2637.5</v>
      </c>
      <c r="W14" s="192">
        <f>Tableau4[[#This Row],[AF 2 par appareil ($)]]/Tableau4[[#This Row],[Surcoût par appareil ($)]]</f>
        <v>0.63682348822329271</v>
      </c>
      <c r="X14" s="192">
        <f>Tableau4[[#This Row],[Couverture 2 (%)]]*Tableau4[[#This Row],[Nombres appareils installés]]</f>
        <v>0.63682348822329271</v>
      </c>
      <c r="Y14" s="188">
        <f>($Y$4+$Z$4*(Tableau4[[#This Row],[Capacité (BTU)]]/1000))*Tableau4[[#This Row],[Nombres appareils installés]]</f>
        <v>2925</v>
      </c>
      <c r="Z14" s="188">
        <f>Tableau4[[#This Row],[AF 3 ($)]]/Tableau4[[#This Row],[Nombres appareils installés]]</f>
        <v>2925</v>
      </c>
      <c r="AA14" s="193">
        <f>Tableau4[[#This Row],[AF 3 par appareil ($)]]/Tableau4[[#This Row],[Surcoût par appareil ($)]]</f>
        <v>0.70624026656042893</v>
      </c>
      <c r="AB14" s="193">
        <f>Tableau4[[#This Row],[Couverture 3 (%)]]*Tableau4[[#This Row],[Nombres appareils installés]]</f>
        <v>0.70624026656042893</v>
      </c>
      <c r="AC14" s="188">
        <f>($AC$4+$AD$4*(Tableau4[[#This Row],[Capacité (BTU)]]/1000))*Tableau4[[#This Row],[Nombres appareils installés]]</f>
        <v>2540</v>
      </c>
      <c r="AD14" s="188">
        <f>Tableau4[[#This Row],[AF 4 ($)]]/Tableau4[[#This Row],[Nombres appareils installés]]</f>
        <v>2540</v>
      </c>
      <c r="AE14" s="194">
        <f>Tableau4[[#This Row],[Couverture 4 (%)]]*Tableau4[[#This Row],[Nombres appareils installés]]</f>
        <v>0.61328214600461173</v>
      </c>
      <c r="AF14" s="193">
        <f>Tableau4[[#This Row],[AF 4 par appareil  ($)]]/Tableau4[[#This Row],[Surcoût par appareil ($)]]</f>
        <v>0.61328214600461173</v>
      </c>
    </row>
    <row r="15" spans="2:32" x14ac:dyDescent="0.3">
      <c r="B15" s="187" t="s">
        <v>111</v>
      </c>
      <c r="C15" s="188" t="s">
        <v>115</v>
      </c>
      <c r="D15" s="188">
        <v>1</v>
      </c>
      <c r="E15" s="188">
        <v>110000</v>
      </c>
      <c r="F15" s="189">
        <f>Tableau4[[#This Row],[Economies totales (m3)]]/Tableau4[[#This Row],[Nombres appareils installés]]</f>
        <v>1068</v>
      </c>
      <c r="G15" s="190">
        <v>1068</v>
      </c>
      <c r="H15" s="188">
        <f t="shared" si="0"/>
        <v>1885.4</v>
      </c>
      <c r="I15" s="188">
        <v>2400</v>
      </c>
      <c r="J15" s="188">
        <f>Tableau4[[#This Row],[Surcoût moyens de l''équipement ($)]]+Tableau4[[#This Row],[Surcoût moyen de l''installation ($)]]</f>
        <v>4285.3999999999996</v>
      </c>
      <c r="K15" s="188">
        <f>Tableau4[[#This Row],[Surcoût par appareil ($)]]*Tableau4[[#This Row],[Nombres appareils installés]]</f>
        <v>4285.3999999999996</v>
      </c>
      <c r="L15" s="190">
        <v>1700</v>
      </c>
      <c r="M15" s="188">
        <f t="shared" si="1"/>
        <v>1450</v>
      </c>
      <c r="N15" s="188">
        <f>Tableau4[[#This Row],[AF 0 ($)]]/Tableau4[[#This Row],[Nombres appareils installés]]</f>
        <v>1450</v>
      </c>
      <c r="O15" s="191">
        <f>(Tableau4[[#This Row],[AF accordée ($)]])/($J$6*D15)</f>
        <v>0.42463905680171854</v>
      </c>
      <c r="P15" s="191">
        <f>Tableau4[[#This Row],[Couverture 0 (%)]]*Tableau4[[#This Row],[Nombres appareils installés]]</f>
        <v>0.42463905680171854</v>
      </c>
      <c r="Q15" s="188">
        <f>($Q$4+$R$4*(Tableau4[[#This Row],[Capacité (BTU)]]/1000))*Tableau4[[#This Row],[Nombres appareils installés]]</f>
        <v>2550</v>
      </c>
      <c r="R15" s="188">
        <f>Tableau4[[#This Row],[AF 1 ($)]]/Tableau4[[#This Row],[Nombres appareils installés]]</f>
        <v>2550</v>
      </c>
      <c r="S15" s="191">
        <f>Tableau4[[#This Row],[AF 1 ($)]]/(J15*D15)</f>
        <v>0.5950436365333458</v>
      </c>
      <c r="T15" s="191">
        <f>Tableau4[[#This Row],[Couverture 1 (%)]]*Tableau4[[#This Row],[Nombres appareils installés]]</f>
        <v>0.5950436365333458</v>
      </c>
      <c r="U15" s="188">
        <f>($U$4+($V$4*(Tableau4[[#This Row],[Capacité (BTU)]]/1000)))*Tableau4[[#This Row],[Nombres appareils installés]]</f>
        <v>2825</v>
      </c>
      <c r="V15" s="188">
        <f>Tableau4[[#This Row],[AF 2 ($)]]/Tableau4[[#This Row],[Nombres appareils installés]]</f>
        <v>2825</v>
      </c>
      <c r="W15" s="192">
        <f>Tableau4[[#This Row],[AF 2 par appareil ($)]]/Tableau4[[#This Row],[Surcoût par appareil ($)]]</f>
        <v>0.65921500910066744</v>
      </c>
      <c r="X15" s="192">
        <f>Tableau4[[#This Row],[Couverture 2 (%)]]*Tableau4[[#This Row],[Nombres appareils installés]]</f>
        <v>0.65921500910066744</v>
      </c>
      <c r="Y15" s="188">
        <f>($Y$4+$Z$4*(Tableau4[[#This Row],[Capacité (BTU)]]/1000))*Tableau4[[#This Row],[Nombres appareils installés]]</f>
        <v>3050</v>
      </c>
      <c r="Z15" s="188">
        <f>Tableau4[[#This Row],[AF 3 ($)]]/Tableau4[[#This Row],[Nombres appareils installés]]</f>
        <v>3050</v>
      </c>
      <c r="AA15" s="193">
        <f>Tableau4[[#This Row],[AF 3 par appareil ($)]]/Tableau4[[#This Row],[Surcoût par appareil ($)]]</f>
        <v>0.71171885938302148</v>
      </c>
      <c r="AB15" s="193">
        <f>Tableau4[[#This Row],[Couverture 3 (%)]]*Tableau4[[#This Row],[Nombres appareils installés]]</f>
        <v>0.71171885938302148</v>
      </c>
      <c r="AC15" s="188">
        <f>($AC$4+$AD$4*(Tableau4[[#This Row],[Capacité (BTU)]]/1000))*Tableau4[[#This Row],[Nombres appareils installés]]</f>
        <v>2640</v>
      </c>
      <c r="AD15" s="188">
        <f>Tableau4[[#This Row],[AF 4 ($)]]/Tableau4[[#This Row],[Nombres appareils installés]]</f>
        <v>2640</v>
      </c>
      <c r="AE15" s="194">
        <f>Tableau4[[#This Row],[Couverture 4 (%)]]*Tableau4[[#This Row],[Nombres appareils installés]]</f>
        <v>0.61604517664628744</v>
      </c>
      <c r="AF15" s="193">
        <f>Tableau4[[#This Row],[AF 4 par appareil  ($)]]/Tableau4[[#This Row],[Surcoût par appareil ($)]]</f>
        <v>0.61604517664628744</v>
      </c>
    </row>
    <row r="16" spans="2:32" x14ac:dyDescent="0.3">
      <c r="B16" s="187" t="s">
        <v>111</v>
      </c>
      <c r="C16" s="188" t="s">
        <v>121</v>
      </c>
      <c r="D16" s="188">
        <v>1</v>
      </c>
      <c r="E16" s="188">
        <v>110000</v>
      </c>
      <c r="F16" s="189">
        <f>Tableau4[[#This Row],[Economies totales (m3)]]/Tableau4[[#This Row],[Nombres appareils installés]]</f>
        <v>1068</v>
      </c>
      <c r="G16" s="190">
        <v>1068</v>
      </c>
      <c r="H16" s="188">
        <f t="shared" si="0"/>
        <v>1885.4</v>
      </c>
      <c r="I16" s="188">
        <v>2400</v>
      </c>
      <c r="J16" s="188">
        <f>Tableau4[[#This Row],[Surcoût moyens de l''équipement ($)]]+Tableau4[[#This Row],[Surcoût moyen de l''installation ($)]]</f>
        <v>4285.3999999999996</v>
      </c>
      <c r="K16" s="188">
        <f>Tableau4[[#This Row],[Surcoût par appareil ($)]]*Tableau4[[#This Row],[Nombres appareils installés]]</f>
        <v>4285.3999999999996</v>
      </c>
      <c r="L16" s="190">
        <v>1700</v>
      </c>
      <c r="M16" s="188">
        <f t="shared" si="1"/>
        <v>1450</v>
      </c>
      <c r="N16" s="188">
        <f>Tableau4[[#This Row],[AF 0 ($)]]/Tableau4[[#This Row],[Nombres appareils installés]]</f>
        <v>1450</v>
      </c>
      <c r="O16" s="191">
        <f>(Tableau4[[#This Row],[AF accordée ($)]])/($J$6*D16)</f>
        <v>0.42463905680171854</v>
      </c>
      <c r="P16" s="191">
        <f>Tableau4[[#This Row],[Couverture 0 (%)]]*Tableau4[[#This Row],[Nombres appareils installés]]</f>
        <v>0.42463905680171854</v>
      </c>
      <c r="Q16" s="188">
        <f>($Q$4+$R$4*(Tableau4[[#This Row],[Capacité (BTU)]]/1000))*Tableau4[[#This Row],[Nombres appareils installés]]</f>
        <v>2550</v>
      </c>
      <c r="R16" s="188">
        <f>Tableau4[[#This Row],[AF 1 ($)]]/Tableau4[[#This Row],[Nombres appareils installés]]</f>
        <v>2550</v>
      </c>
      <c r="S16" s="191">
        <f>Tableau4[[#This Row],[AF 1 ($)]]/(J16*D16)</f>
        <v>0.5950436365333458</v>
      </c>
      <c r="T16" s="191">
        <f>Tableau4[[#This Row],[Couverture 1 (%)]]*Tableau4[[#This Row],[Nombres appareils installés]]</f>
        <v>0.5950436365333458</v>
      </c>
      <c r="U16" s="188">
        <f>($U$4+($V$4*(Tableau4[[#This Row],[Capacité (BTU)]]/1000)))*Tableau4[[#This Row],[Nombres appareils installés]]</f>
        <v>2825</v>
      </c>
      <c r="V16" s="188">
        <f>Tableau4[[#This Row],[AF 2 ($)]]/Tableau4[[#This Row],[Nombres appareils installés]]</f>
        <v>2825</v>
      </c>
      <c r="W16" s="192">
        <f>Tableau4[[#This Row],[AF 2 par appareil ($)]]/Tableau4[[#This Row],[Surcoût par appareil ($)]]</f>
        <v>0.65921500910066744</v>
      </c>
      <c r="X16" s="192">
        <f>Tableau4[[#This Row],[Couverture 2 (%)]]*Tableau4[[#This Row],[Nombres appareils installés]]</f>
        <v>0.65921500910066744</v>
      </c>
      <c r="Y16" s="188">
        <f>($Y$4+$Z$4*(Tableau4[[#This Row],[Capacité (BTU)]]/1000))*Tableau4[[#This Row],[Nombres appareils installés]]</f>
        <v>3050</v>
      </c>
      <c r="Z16" s="188">
        <f>Tableau4[[#This Row],[AF 3 ($)]]/Tableau4[[#This Row],[Nombres appareils installés]]</f>
        <v>3050</v>
      </c>
      <c r="AA16" s="193">
        <f>Tableau4[[#This Row],[AF 3 par appareil ($)]]/Tableau4[[#This Row],[Surcoût par appareil ($)]]</f>
        <v>0.71171885938302148</v>
      </c>
      <c r="AB16" s="193">
        <f>Tableau4[[#This Row],[Couverture 3 (%)]]*Tableau4[[#This Row],[Nombres appareils installés]]</f>
        <v>0.71171885938302148</v>
      </c>
      <c r="AC16" s="188">
        <f>($AC$4+$AD$4*(Tableau4[[#This Row],[Capacité (BTU)]]/1000))*Tableau4[[#This Row],[Nombres appareils installés]]</f>
        <v>2640</v>
      </c>
      <c r="AD16" s="188">
        <f>Tableau4[[#This Row],[AF 4 ($)]]/Tableau4[[#This Row],[Nombres appareils installés]]</f>
        <v>2640</v>
      </c>
      <c r="AE16" s="194">
        <f>Tableau4[[#This Row],[Couverture 4 (%)]]*Tableau4[[#This Row],[Nombres appareils installés]]</f>
        <v>0.61604517664628744</v>
      </c>
      <c r="AF16" s="193">
        <f>Tableau4[[#This Row],[AF 4 par appareil  ($)]]/Tableau4[[#This Row],[Surcoût par appareil ($)]]</f>
        <v>0.61604517664628744</v>
      </c>
    </row>
    <row r="17" spans="2:32" x14ac:dyDescent="0.3">
      <c r="B17" s="187" t="s">
        <v>111</v>
      </c>
      <c r="C17" s="188" t="s">
        <v>122</v>
      </c>
      <c r="D17" s="188">
        <v>1</v>
      </c>
      <c r="E17" s="188">
        <v>110000</v>
      </c>
      <c r="F17" s="189">
        <f>Tableau4[[#This Row],[Economies totales (m3)]]/Tableau4[[#This Row],[Nombres appareils installés]]</f>
        <v>1068</v>
      </c>
      <c r="G17" s="190">
        <v>1068</v>
      </c>
      <c r="H17" s="188">
        <f t="shared" si="0"/>
        <v>1885.4</v>
      </c>
      <c r="I17" s="188">
        <v>2400</v>
      </c>
      <c r="J17" s="188">
        <f>Tableau4[[#This Row],[Surcoût moyens de l''équipement ($)]]+Tableau4[[#This Row],[Surcoût moyen de l''installation ($)]]</f>
        <v>4285.3999999999996</v>
      </c>
      <c r="K17" s="188">
        <f>Tableau4[[#This Row],[Surcoût par appareil ($)]]*Tableau4[[#This Row],[Nombres appareils installés]]</f>
        <v>4285.3999999999996</v>
      </c>
      <c r="L17" s="190">
        <v>1700</v>
      </c>
      <c r="M17" s="188">
        <f t="shared" si="1"/>
        <v>1450</v>
      </c>
      <c r="N17" s="188">
        <f>Tableau4[[#This Row],[AF 0 ($)]]/Tableau4[[#This Row],[Nombres appareils installés]]</f>
        <v>1450</v>
      </c>
      <c r="O17" s="191">
        <f>(Tableau4[[#This Row],[AF accordée ($)]])/($J$6*D17)</f>
        <v>0.42463905680171854</v>
      </c>
      <c r="P17" s="191">
        <f>Tableau4[[#This Row],[Couverture 0 (%)]]*Tableau4[[#This Row],[Nombres appareils installés]]</f>
        <v>0.42463905680171854</v>
      </c>
      <c r="Q17" s="188">
        <f>($Q$4+$R$4*(Tableau4[[#This Row],[Capacité (BTU)]]/1000))*Tableau4[[#This Row],[Nombres appareils installés]]</f>
        <v>2550</v>
      </c>
      <c r="R17" s="188">
        <f>Tableau4[[#This Row],[AF 1 ($)]]/Tableau4[[#This Row],[Nombres appareils installés]]</f>
        <v>2550</v>
      </c>
      <c r="S17" s="191">
        <f>Tableau4[[#This Row],[AF 1 ($)]]/(J17*D17)</f>
        <v>0.5950436365333458</v>
      </c>
      <c r="T17" s="191">
        <f>Tableau4[[#This Row],[Couverture 1 (%)]]*Tableau4[[#This Row],[Nombres appareils installés]]</f>
        <v>0.5950436365333458</v>
      </c>
      <c r="U17" s="188">
        <f>($U$4+($V$4*(Tableau4[[#This Row],[Capacité (BTU)]]/1000)))*Tableau4[[#This Row],[Nombres appareils installés]]</f>
        <v>2825</v>
      </c>
      <c r="V17" s="188">
        <f>Tableau4[[#This Row],[AF 2 ($)]]/Tableau4[[#This Row],[Nombres appareils installés]]</f>
        <v>2825</v>
      </c>
      <c r="W17" s="192">
        <f>Tableau4[[#This Row],[AF 2 par appareil ($)]]/Tableau4[[#This Row],[Surcoût par appareil ($)]]</f>
        <v>0.65921500910066744</v>
      </c>
      <c r="X17" s="192">
        <f>Tableau4[[#This Row],[Couverture 2 (%)]]*Tableau4[[#This Row],[Nombres appareils installés]]</f>
        <v>0.65921500910066744</v>
      </c>
      <c r="Y17" s="188">
        <f>($Y$4+$Z$4*(Tableau4[[#This Row],[Capacité (BTU)]]/1000))*Tableau4[[#This Row],[Nombres appareils installés]]</f>
        <v>3050</v>
      </c>
      <c r="Z17" s="188">
        <f>Tableau4[[#This Row],[AF 3 ($)]]/Tableau4[[#This Row],[Nombres appareils installés]]</f>
        <v>3050</v>
      </c>
      <c r="AA17" s="193">
        <f>Tableau4[[#This Row],[AF 3 par appareil ($)]]/Tableau4[[#This Row],[Surcoût par appareil ($)]]</f>
        <v>0.71171885938302148</v>
      </c>
      <c r="AB17" s="193">
        <f>Tableau4[[#This Row],[Couverture 3 (%)]]*Tableau4[[#This Row],[Nombres appareils installés]]</f>
        <v>0.71171885938302148</v>
      </c>
      <c r="AC17" s="188">
        <f>($AC$4+$AD$4*(Tableau4[[#This Row],[Capacité (BTU)]]/1000))*Tableau4[[#This Row],[Nombres appareils installés]]</f>
        <v>2640</v>
      </c>
      <c r="AD17" s="188">
        <f>Tableau4[[#This Row],[AF 4 ($)]]/Tableau4[[#This Row],[Nombres appareils installés]]</f>
        <v>2640</v>
      </c>
      <c r="AE17" s="194">
        <f>Tableau4[[#This Row],[Couverture 4 (%)]]*Tableau4[[#This Row],[Nombres appareils installés]]</f>
        <v>0.61604517664628744</v>
      </c>
      <c r="AF17" s="193">
        <f>Tableau4[[#This Row],[AF 4 par appareil  ($)]]/Tableau4[[#This Row],[Surcoût par appareil ($)]]</f>
        <v>0.61604517664628744</v>
      </c>
    </row>
    <row r="18" spans="2:32" x14ac:dyDescent="0.3">
      <c r="B18" s="187" t="s">
        <v>111</v>
      </c>
      <c r="C18" s="188" t="s">
        <v>122</v>
      </c>
      <c r="D18" s="188">
        <v>1</v>
      </c>
      <c r="E18" s="188">
        <v>110000</v>
      </c>
      <c r="F18" s="189">
        <f>Tableau4[[#This Row],[Economies totales (m3)]]/Tableau4[[#This Row],[Nombres appareils installés]]</f>
        <v>1068</v>
      </c>
      <c r="G18" s="190">
        <v>1068</v>
      </c>
      <c r="H18" s="188">
        <f t="shared" si="0"/>
        <v>1885.4</v>
      </c>
      <c r="I18" s="188">
        <v>2400</v>
      </c>
      <c r="J18" s="188">
        <f>Tableau4[[#This Row],[Surcoût moyens de l''équipement ($)]]+Tableau4[[#This Row],[Surcoût moyen de l''installation ($)]]</f>
        <v>4285.3999999999996</v>
      </c>
      <c r="K18" s="188">
        <f>Tableau4[[#This Row],[Surcoût par appareil ($)]]*Tableau4[[#This Row],[Nombres appareils installés]]</f>
        <v>4285.3999999999996</v>
      </c>
      <c r="L18" s="190">
        <v>1700</v>
      </c>
      <c r="M18" s="188">
        <f t="shared" si="1"/>
        <v>1450</v>
      </c>
      <c r="N18" s="188">
        <f>Tableau4[[#This Row],[AF 0 ($)]]/Tableau4[[#This Row],[Nombres appareils installés]]</f>
        <v>1450</v>
      </c>
      <c r="O18" s="191">
        <f>(Tableau4[[#This Row],[AF accordée ($)]])/($J$6*D18)</f>
        <v>0.42463905680171854</v>
      </c>
      <c r="P18" s="191">
        <f>Tableau4[[#This Row],[Couverture 0 (%)]]*Tableau4[[#This Row],[Nombres appareils installés]]</f>
        <v>0.42463905680171854</v>
      </c>
      <c r="Q18" s="188">
        <f>($Q$4+$R$4*(Tableau4[[#This Row],[Capacité (BTU)]]/1000))*Tableau4[[#This Row],[Nombres appareils installés]]</f>
        <v>2550</v>
      </c>
      <c r="R18" s="188">
        <f>Tableau4[[#This Row],[AF 1 ($)]]/Tableau4[[#This Row],[Nombres appareils installés]]</f>
        <v>2550</v>
      </c>
      <c r="S18" s="191">
        <f>Tableau4[[#This Row],[AF 1 ($)]]/(J18*D18)</f>
        <v>0.5950436365333458</v>
      </c>
      <c r="T18" s="191">
        <f>Tableau4[[#This Row],[Couverture 1 (%)]]*Tableau4[[#This Row],[Nombres appareils installés]]</f>
        <v>0.5950436365333458</v>
      </c>
      <c r="U18" s="188">
        <f>($U$4+($V$4*(Tableau4[[#This Row],[Capacité (BTU)]]/1000)))*Tableau4[[#This Row],[Nombres appareils installés]]</f>
        <v>2825</v>
      </c>
      <c r="V18" s="188">
        <f>Tableau4[[#This Row],[AF 2 ($)]]/Tableau4[[#This Row],[Nombres appareils installés]]</f>
        <v>2825</v>
      </c>
      <c r="W18" s="192">
        <f>Tableau4[[#This Row],[AF 2 par appareil ($)]]/Tableau4[[#This Row],[Surcoût par appareil ($)]]</f>
        <v>0.65921500910066744</v>
      </c>
      <c r="X18" s="192">
        <f>Tableau4[[#This Row],[Couverture 2 (%)]]*Tableau4[[#This Row],[Nombres appareils installés]]</f>
        <v>0.65921500910066744</v>
      </c>
      <c r="Y18" s="188">
        <f>($Y$4+$Z$4*(Tableau4[[#This Row],[Capacité (BTU)]]/1000))*Tableau4[[#This Row],[Nombres appareils installés]]</f>
        <v>3050</v>
      </c>
      <c r="Z18" s="188">
        <f>Tableau4[[#This Row],[AF 3 ($)]]/Tableau4[[#This Row],[Nombres appareils installés]]</f>
        <v>3050</v>
      </c>
      <c r="AA18" s="193">
        <f>Tableau4[[#This Row],[AF 3 par appareil ($)]]/Tableau4[[#This Row],[Surcoût par appareil ($)]]</f>
        <v>0.71171885938302148</v>
      </c>
      <c r="AB18" s="193">
        <f>Tableau4[[#This Row],[Couverture 3 (%)]]*Tableau4[[#This Row],[Nombres appareils installés]]</f>
        <v>0.71171885938302148</v>
      </c>
      <c r="AC18" s="188">
        <f>($AC$4+$AD$4*(Tableau4[[#This Row],[Capacité (BTU)]]/1000))*Tableau4[[#This Row],[Nombres appareils installés]]</f>
        <v>2640</v>
      </c>
      <c r="AD18" s="188">
        <f>Tableau4[[#This Row],[AF 4 ($)]]/Tableau4[[#This Row],[Nombres appareils installés]]</f>
        <v>2640</v>
      </c>
      <c r="AE18" s="194">
        <f>Tableau4[[#This Row],[Couverture 4 (%)]]*Tableau4[[#This Row],[Nombres appareils installés]]</f>
        <v>0.61604517664628744</v>
      </c>
      <c r="AF18" s="193">
        <f>Tableau4[[#This Row],[AF 4 par appareil  ($)]]/Tableau4[[#This Row],[Surcoût par appareil ($)]]</f>
        <v>0.61604517664628744</v>
      </c>
    </row>
    <row r="19" spans="2:32" x14ac:dyDescent="0.3">
      <c r="B19" s="187" t="s">
        <v>111</v>
      </c>
      <c r="C19" s="188" t="s">
        <v>123</v>
      </c>
      <c r="D19" s="188">
        <v>1</v>
      </c>
      <c r="E19" s="188">
        <v>130000</v>
      </c>
      <c r="F19" s="189">
        <f>Tableau4[[#This Row],[Economies totales (m3)]]/Tableau4[[#This Row],[Nombres appareils installés]]</f>
        <v>1068</v>
      </c>
      <c r="G19" s="190">
        <v>1068</v>
      </c>
      <c r="H19" s="188">
        <f t="shared" si="0"/>
        <v>2027.4</v>
      </c>
      <c r="I19" s="188">
        <v>2400</v>
      </c>
      <c r="J19" s="188">
        <f>Tableau4[[#This Row],[Surcoût moyens de l''équipement ($)]]+Tableau4[[#This Row],[Surcoût moyen de l''installation ($)]]</f>
        <v>4427.3999999999996</v>
      </c>
      <c r="K19" s="188">
        <f>Tableau4[[#This Row],[Surcoût par appareil ($)]]*Tableau4[[#This Row],[Nombres appareils installés]]</f>
        <v>4427.3999999999996</v>
      </c>
      <c r="L19" s="190">
        <v>1700</v>
      </c>
      <c r="M19" s="188">
        <f t="shared" si="1"/>
        <v>1550</v>
      </c>
      <c r="N19" s="188">
        <f>Tableau4[[#This Row],[AF 0 ($)]]/Tableau4[[#This Row],[Nombres appareils installés]]</f>
        <v>1550</v>
      </c>
      <c r="O19" s="191">
        <f>(Tableau4[[#This Row],[AF accordée ($)]])/($J$6*D19)</f>
        <v>0.42463905680171854</v>
      </c>
      <c r="P19" s="191">
        <f>Tableau4[[#This Row],[Couverture 0 (%)]]*Tableau4[[#This Row],[Nombres appareils installés]]</f>
        <v>0.42463905680171854</v>
      </c>
      <c r="Q19" s="188">
        <f>($Q$4+$R$4*(Tableau4[[#This Row],[Capacité (BTU)]]/1000))*Tableau4[[#This Row],[Nombres appareils installés]]</f>
        <v>2650</v>
      </c>
      <c r="R19" s="188">
        <f>Tableau4[[#This Row],[AF 1 ($)]]/Tableau4[[#This Row],[Nombres appareils installés]]</f>
        <v>2650</v>
      </c>
      <c r="S19" s="191">
        <f>Tableau4[[#This Row],[AF 1 ($)]]/(J19*D19)</f>
        <v>0.59854542169218961</v>
      </c>
      <c r="T19" s="191">
        <f>Tableau4[[#This Row],[Couverture 1 (%)]]*Tableau4[[#This Row],[Nombres appareils installés]]</f>
        <v>0.59854542169218961</v>
      </c>
      <c r="U19" s="188">
        <f>($U$4+($V$4*(Tableau4[[#This Row],[Capacité (BTU)]]/1000)))*Tableau4[[#This Row],[Nombres appareils installés]]</f>
        <v>2975</v>
      </c>
      <c r="V19" s="188">
        <f>Tableau4[[#This Row],[AF 2 ($)]]/Tableau4[[#This Row],[Nombres appareils installés]]</f>
        <v>2975</v>
      </c>
      <c r="W19" s="192">
        <f>Tableau4[[#This Row],[AF 2 par appareil ($)]]/Tableau4[[#This Row],[Surcoût par appareil ($)]]</f>
        <v>0.67195193567330724</v>
      </c>
      <c r="X19" s="192">
        <f>Tableau4[[#This Row],[Couverture 2 (%)]]*Tableau4[[#This Row],[Nombres appareils installés]]</f>
        <v>0.67195193567330724</v>
      </c>
      <c r="Y19" s="188">
        <f>($Y$4+$Z$4*(Tableau4[[#This Row],[Capacité (BTU)]]/1000))*Tableau4[[#This Row],[Nombres appareils installés]]</f>
        <v>3150</v>
      </c>
      <c r="Z19" s="188">
        <f>Tableau4[[#This Row],[AF 3 ($)]]/Tableau4[[#This Row],[Nombres appareils installés]]</f>
        <v>3150</v>
      </c>
      <c r="AA19" s="193">
        <f>Tableau4[[#This Row],[AF 3 par appareil ($)]]/Tableau4[[#This Row],[Surcoût par appareil ($)]]</f>
        <v>0.71147852012467816</v>
      </c>
      <c r="AB19" s="193">
        <f>Tableau4[[#This Row],[Couverture 3 (%)]]*Tableau4[[#This Row],[Nombres appareils installés]]</f>
        <v>0.71147852012467816</v>
      </c>
      <c r="AC19" s="188">
        <f>($AC$4+$AD$4*(Tableau4[[#This Row],[Capacité (BTU)]]/1000))*Tableau4[[#This Row],[Nombres appareils installés]]</f>
        <v>2720</v>
      </c>
      <c r="AD19" s="188">
        <f>Tableau4[[#This Row],[AF 4 ($)]]/Tableau4[[#This Row],[Nombres appareils installés]]</f>
        <v>2720</v>
      </c>
      <c r="AE19" s="194">
        <f>Tableau4[[#This Row],[Couverture 4 (%)]]*Tableau4[[#This Row],[Nombres appareils installés]]</f>
        <v>0.61435605547273797</v>
      </c>
      <c r="AF19" s="193">
        <f>Tableau4[[#This Row],[AF 4 par appareil  ($)]]/Tableau4[[#This Row],[Surcoût par appareil ($)]]</f>
        <v>0.61435605547273797</v>
      </c>
    </row>
    <row r="20" spans="2:32" x14ac:dyDescent="0.3">
      <c r="B20" s="187" t="s">
        <v>111</v>
      </c>
      <c r="C20" s="188" t="s">
        <v>122</v>
      </c>
      <c r="D20" s="188">
        <v>2</v>
      </c>
      <c r="E20" s="188">
        <v>130000</v>
      </c>
      <c r="F20" s="189">
        <f>Tableau4[[#This Row],[Economies totales (m3)]]/Tableau4[[#This Row],[Nombres appareils installés]]</f>
        <v>1068</v>
      </c>
      <c r="G20" s="190">
        <v>2136</v>
      </c>
      <c r="H20" s="188">
        <f t="shared" si="0"/>
        <v>2027.4</v>
      </c>
      <c r="I20" s="188">
        <v>2400</v>
      </c>
      <c r="J20" s="188">
        <f>Tableau4[[#This Row],[Surcoût moyens de l''équipement ($)]]+Tableau4[[#This Row],[Surcoût moyen de l''installation ($)]]</f>
        <v>4427.3999999999996</v>
      </c>
      <c r="K20" s="188">
        <f>Tableau4[[#This Row],[Surcoût par appareil ($)]]*Tableau4[[#This Row],[Nombres appareils installés]]</f>
        <v>8854.7999999999993</v>
      </c>
      <c r="L20" s="190">
        <v>3400</v>
      </c>
      <c r="M20" s="188">
        <f t="shared" si="1"/>
        <v>3100</v>
      </c>
      <c r="N20" s="188">
        <f>Tableau4[[#This Row],[AF 0 ($)]]/Tableau4[[#This Row],[Nombres appareils installés]]</f>
        <v>1550</v>
      </c>
      <c r="O20" s="191">
        <f>(Tableau4[[#This Row],[AF accordée ($)]])/($J$6*D20)</f>
        <v>0.42463905680171854</v>
      </c>
      <c r="P20" s="191">
        <f>Tableau4[[#This Row],[Couverture 0 (%)]]*Tableau4[[#This Row],[Nombres appareils installés]]</f>
        <v>0.84927811360343708</v>
      </c>
      <c r="Q20" s="188">
        <f>($Q$4+$R$4*(Tableau4[[#This Row],[Capacité (BTU)]]/1000))*Tableau4[[#This Row],[Nombres appareils installés]]</f>
        <v>5300</v>
      </c>
      <c r="R20" s="188">
        <f>Tableau4[[#This Row],[AF 1 ($)]]/Tableau4[[#This Row],[Nombres appareils installés]]</f>
        <v>2650</v>
      </c>
      <c r="S20" s="191">
        <f>Tableau4[[#This Row],[AF 1 ($)]]/(J20*D20)</f>
        <v>0.59854542169218961</v>
      </c>
      <c r="T20" s="191">
        <f>Tableau4[[#This Row],[Couverture 1 (%)]]*Tableau4[[#This Row],[Nombres appareils installés]]</f>
        <v>1.1970908433843792</v>
      </c>
      <c r="U20" s="188">
        <f>($U$4+($V$4*(Tableau4[[#This Row],[Capacité (BTU)]]/1000)))*Tableau4[[#This Row],[Nombres appareils installés]]</f>
        <v>5950</v>
      </c>
      <c r="V20" s="188">
        <f>Tableau4[[#This Row],[AF 2 ($)]]/Tableau4[[#This Row],[Nombres appareils installés]]</f>
        <v>2975</v>
      </c>
      <c r="W20" s="192">
        <f>Tableau4[[#This Row],[AF 2 par appareil ($)]]/Tableau4[[#This Row],[Surcoût par appareil ($)]]</f>
        <v>0.67195193567330724</v>
      </c>
      <c r="X20" s="192">
        <f>Tableau4[[#This Row],[Couverture 2 (%)]]*Tableau4[[#This Row],[Nombres appareils installés]]</f>
        <v>1.3439038713466145</v>
      </c>
      <c r="Y20" s="188">
        <f>($Y$4+$Z$4*(Tableau4[[#This Row],[Capacité (BTU)]]/1000))*Tableau4[[#This Row],[Nombres appareils installés]]</f>
        <v>6300</v>
      </c>
      <c r="Z20" s="188">
        <f>Tableau4[[#This Row],[AF 3 ($)]]/Tableau4[[#This Row],[Nombres appareils installés]]</f>
        <v>3150</v>
      </c>
      <c r="AA20" s="193">
        <f>Tableau4[[#This Row],[AF 3 par appareil ($)]]/Tableau4[[#This Row],[Surcoût par appareil ($)]]</f>
        <v>0.71147852012467816</v>
      </c>
      <c r="AB20" s="193">
        <f>Tableau4[[#This Row],[Couverture 3 (%)]]*Tableau4[[#This Row],[Nombres appareils installés]]</f>
        <v>1.4229570402493563</v>
      </c>
      <c r="AC20" s="188">
        <f>($AC$4+$AD$4*(Tableau4[[#This Row],[Capacité (BTU)]]/1000))*Tableau4[[#This Row],[Nombres appareils installés]]</f>
        <v>5440</v>
      </c>
      <c r="AD20" s="188">
        <f>Tableau4[[#This Row],[AF 4 ($)]]/Tableau4[[#This Row],[Nombres appareils installés]]</f>
        <v>2720</v>
      </c>
      <c r="AE20" s="194">
        <f>Tableau4[[#This Row],[Couverture 4 (%)]]*Tableau4[[#This Row],[Nombres appareils installés]]</f>
        <v>1.2287121109454759</v>
      </c>
      <c r="AF20" s="193">
        <f>Tableau4[[#This Row],[AF 4 par appareil  ($)]]/Tableau4[[#This Row],[Surcoût par appareil ($)]]</f>
        <v>0.61435605547273797</v>
      </c>
    </row>
    <row r="21" spans="2:32" x14ac:dyDescent="0.3">
      <c r="B21" s="187" t="s">
        <v>111</v>
      </c>
      <c r="C21" s="188" t="s">
        <v>124</v>
      </c>
      <c r="D21" s="188">
        <v>1</v>
      </c>
      <c r="E21" s="188">
        <v>135000</v>
      </c>
      <c r="F21" s="189">
        <f>Tableau4[[#This Row],[Economies totales (m3)]]/Tableau4[[#This Row],[Nombres appareils installés]]</f>
        <v>1068</v>
      </c>
      <c r="G21" s="190">
        <v>1068</v>
      </c>
      <c r="H21" s="188">
        <f t="shared" si="0"/>
        <v>2066.65</v>
      </c>
      <c r="I21" s="188">
        <v>2400</v>
      </c>
      <c r="J21" s="188">
        <f>Tableau4[[#This Row],[Surcoût moyens de l''équipement ($)]]+Tableau4[[#This Row],[Surcoût moyen de l''installation ($)]]</f>
        <v>4466.6499999999996</v>
      </c>
      <c r="K21" s="188">
        <f>Tableau4[[#This Row],[Surcoût par appareil ($)]]*Tableau4[[#This Row],[Nombres appareils installés]]</f>
        <v>4466.6499999999996</v>
      </c>
      <c r="L21" s="190">
        <v>1700</v>
      </c>
      <c r="M21" s="188">
        <f t="shared" si="1"/>
        <v>1575</v>
      </c>
      <c r="N21" s="188">
        <f>Tableau4[[#This Row],[AF 0 ($)]]/Tableau4[[#This Row],[Nombres appareils installés]]</f>
        <v>1575</v>
      </c>
      <c r="O21" s="191">
        <f>(Tableau4[[#This Row],[AF accordée ($)]])/($J$6*D21)</f>
        <v>0.42463905680171854</v>
      </c>
      <c r="P21" s="191">
        <f>Tableau4[[#This Row],[Couverture 0 (%)]]*Tableau4[[#This Row],[Nombres appareils installés]]</f>
        <v>0.42463905680171854</v>
      </c>
      <c r="Q21" s="188">
        <f>($Q$4+$R$4*(Tableau4[[#This Row],[Capacité (BTU)]]/1000))*Tableau4[[#This Row],[Nombres appareils installés]]</f>
        <v>2675</v>
      </c>
      <c r="R21" s="188">
        <f>Tableau4[[#This Row],[AF 1 ($)]]/Tableau4[[#This Row],[Nombres appareils installés]]</f>
        <v>2675</v>
      </c>
      <c r="S21" s="191">
        <f>Tableau4[[#This Row],[AF 1 ($)]]/(J21*D21)</f>
        <v>0.59888283165235701</v>
      </c>
      <c r="T21" s="191">
        <f>Tableau4[[#This Row],[Couverture 1 (%)]]*Tableau4[[#This Row],[Nombres appareils installés]]</f>
        <v>0.59888283165235701</v>
      </c>
      <c r="U21" s="188">
        <f>($U$4+($V$4*(Tableau4[[#This Row],[Capacité (BTU)]]/1000)))*Tableau4[[#This Row],[Nombres appareils installés]]</f>
        <v>3012.5</v>
      </c>
      <c r="V21" s="188">
        <f>Tableau4[[#This Row],[AF 2 ($)]]/Tableau4[[#This Row],[Nombres appareils installés]]</f>
        <v>3012.5</v>
      </c>
      <c r="W21" s="192">
        <f>Tableau4[[#This Row],[AF 2 par appareil ($)]]/Tableau4[[#This Row],[Surcoût par appareil ($)]]</f>
        <v>0.67444281508513093</v>
      </c>
      <c r="X21" s="192">
        <f>Tableau4[[#This Row],[Couverture 2 (%)]]*Tableau4[[#This Row],[Nombres appareils installés]]</f>
        <v>0.67444281508513093</v>
      </c>
      <c r="Y21" s="188">
        <f>($Y$4+$Z$4*(Tableau4[[#This Row],[Capacité (BTU)]]/1000))*Tableau4[[#This Row],[Nombres appareils installés]]</f>
        <v>3175</v>
      </c>
      <c r="Z21" s="188">
        <f>Tableau4[[#This Row],[AF 3 ($)]]/Tableau4[[#This Row],[Nombres appareils installés]]</f>
        <v>3175</v>
      </c>
      <c r="AA21" s="193">
        <f>Tableau4[[#This Row],[AF 3 par appareil ($)]]/Tableau4[[#This Row],[Surcoût par appareil ($)]]</f>
        <v>0.71082354784905921</v>
      </c>
      <c r="AB21" s="193">
        <f>Tableau4[[#This Row],[Couverture 3 (%)]]*Tableau4[[#This Row],[Nombres appareils installés]]</f>
        <v>0.71082354784905921</v>
      </c>
      <c r="AC21" s="188">
        <f>($AC$4+$AD$4*(Tableau4[[#This Row],[Capacité (BTU)]]/1000))*Tableau4[[#This Row],[Nombres appareils installés]]</f>
        <v>2740</v>
      </c>
      <c r="AD21" s="188">
        <f>Tableau4[[#This Row],[AF 4 ($)]]/Tableau4[[#This Row],[Nombres appareils installés]]</f>
        <v>2740</v>
      </c>
      <c r="AE21" s="194">
        <f>Tableau4[[#This Row],[Couverture 4 (%)]]*Tableau4[[#This Row],[Nombres appareils installés]]</f>
        <v>0.61343512475792827</v>
      </c>
      <c r="AF21" s="193">
        <f>Tableau4[[#This Row],[AF 4 par appareil  ($)]]/Tableau4[[#This Row],[Surcoût par appareil ($)]]</f>
        <v>0.61343512475792827</v>
      </c>
    </row>
    <row r="22" spans="2:32" x14ac:dyDescent="0.3">
      <c r="B22" s="187" t="s">
        <v>111</v>
      </c>
      <c r="C22" s="188" t="s">
        <v>125</v>
      </c>
      <c r="D22" s="188">
        <v>1</v>
      </c>
      <c r="E22" s="188">
        <v>135000</v>
      </c>
      <c r="F22" s="189">
        <f>Tableau4[[#This Row],[Economies totales (m3)]]/Tableau4[[#This Row],[Nombres appareils installés]]</f>
        <v>1068</v>
      </c>
      <c r="G22" s="190">
        <v>1068</v>
      </c>
      <c r="H22" s="188">
        <f t="shared" si="0"/>
        <v>2066.65</v>
      </c>
      <c r="I22" s="188">
        <v>2400</v>
      </c>
      <c r="J22" s="188">
        <f>Tableau4[[#This Row],[Surcoût moyens de l''équipement ($)]]+Tableau4[[#This Row],[Surcoût moyen de l''installation ($)]]</f>
        <v>4466.6499999999996</v>
      </c>
      <c r="K22" s="188">
        <f>Tableau4[[#This Row],[Surcoût par appareil ($)]]*Tableau4[[#This Row],[Nombres appareils installés]]</f>
        <v>4466.6499999999996</v>
      </c>
      <c r="L22" s="190">
        <v>1700</v>
      </c>
      <c r="M22" s="188">
        <f t="shared" si="1"/>
        <v>1575</v>
      </c>
      <c r="N22" s="188">
        <f>Tableau4[[#This Row],[AF 0 ($)]]/Tableau4[[#This Row],[Nombres appareils installés]]</f>
        <v>1575</v>
      </c>
      <c r="O22" s="191">
        <f>(Tableau4[[#This Row],[AF accordée ($)]])/($J$6*D22)</f>
        <v>0.42463905680171854</v>
      </c>
      <c r="P22" s="191">
        <f>Tableau4[[#This Row],[Couverture 0 (%)]]*Tableau4[[#This Row],[Nombres appareils installés]]</f>
        <v>0.42463905680171854</v>
      </c>
      <c r="Q22" s="188">
        <f>($Q$4+$R$4*(Tableau4[[#This Row],[Capacité (BTU)]]/1000))*Tableau4[[#This Row],[Nombres appareils installés]]</f>
        <v>2675</v>
      </c>
      <c r="R22" s="188">
        <f>Tableau4[[#This Row],[AF 1 ($)]]/Tableau4[[#This Row],[Nombres appareils installés]]</f>
        <v>2675</v>
      </c>
      <c r="S22" s="191">
        <f>Tableau4[[#This Row],[AF 1 ($)]]/(J22*D22)</f>
        <v>0.59888283165235701</v>
      </c>
      <c r="T22" s="191">
        <f>Tableau4[[#This Row],[Couverture 1 (%)]]*Tableau4[[#This Row],[Nombres appareils installés]]</f>
        <v>0.59888283165235701</v>
      </c>
      <c r="U22" s="188">
        <f>($U$4+($V$4*(Tableau4[[#This Row],[Capacité (BTU)]]/1000)))*Tableau4[[#This Row],[Nombres appareils installés]]</f>
        <v>3012.5</v>
      </c>
      <c r="V22" s="188">
        <f>Tableau4[[#This Row],[AF 2 ($)]]/Tableau4[[#This Row],[Nombres appareils installés]]</f>
        <v>3012.5</v>
      </c>
      <c r="W22" s="192">
        <f>Tableau4[[#This Row],[AF 2 par appareil ($)]]/Tableau4[[#This Row],[Surcoût par appareil ($)]]</f>
        <v>0.67444281508513093</v>
      </c>
      <c r="X22" s="192">
        <f>Tableau4[[#This Row],[Couverture 2 (%)]]*Tableau4[[#This Row],[Nombres appareils installés]]</f>
        <v>0.67444281508513093</v>
      </c>
      <c r="Y22" s="188">
        <f>($Y$4+$Z$4*(Tableau4[[#This Row],[Capacité (BTU)]]/1000))*Tableau4[[#This Row],[Nombres appareils installés]]</f>
        <v>3175</v>
      </c>
      <c r="Z22" s="188">
        <f>Tableau4[[#This Row],[AF 3 ($)]]/Tableau4[[#This Row],[Nombres appareils installés]]</f>
        <v>3175</v>
      </c>
      <c r="AA22" s="193">
        <f>Tableau4[[#This Row],[AF 3 par appareil ($)]]/Tableau4[[#This Row],[Surcoût par appareil ($)]]</f>
        <v>0.71082354784905921</v>
      </c>
      <c r="AB22" s="193">
        <f>Tableau4[[#This Row],[Couverture 3 (%)]]*Tableau4[[#This Row],[Nombres appareils installés]]</f>
        <v>0.71082354784905921</v>
      </c>
      <c r="AC22" s="188">
        <f>($AC$4+$AD$4*(Tableau4[[#This Row],[Capacité (BTU)]]/1000))*Tableau4[[#This Row],[Nombres appareils installés]]</f>
        <v>2740</v>
      </c>
      <c r="AD22" s="188">
        <f>Tableau4[[#This Row],[AF 4 ($)]]/Tableau4[[#This Row],[Nombres appareils installés]]</f>
        <v>2740</v>
      </c>
      <c r="AE22" s="194">
        <f>Tableau4[[#This Row],[Couverture 4 (%)]]*Tableau4[[#This Row],[Nombres appareils installés]]</f>
        <v>0.61343512475792827</v>
      </c>
      <c r="AF22" s="193">
        <f>Tableau4[[#This Row],[AF 4 par appareil  ($)]]/Tableau4[[#This Row],[Surcoût par appareil ($)]]</f>
        <v>0.61343512475792827</v>
      </c>
    </row>
    <row r="23" spans="2:32" x14ac:dyDescent="0.3">
      <c r="B23" s="187" t="s">
        <v>111</v>
      </c>
      <c r="C23" s="188" t="s">
        <v>126</v>
      </c>
      <c r="D23" s="188">
        <v>1</v>
      </c>
      <c r="E23" s="188">
        <v>135000</v>
      </c>
      <c r="F23" s="189">
        <f>Tableau4[[#This Row],[Economies totales (m3)]]/Tableau4[[#This Row],[Nombres appareils installés]]</f>
        <v>1068</v>
      </c>
      <c r="G23" s="190">
        <v>1068</v>
      </c>
      <c r="H23" s="188">
        <f t="shared" si="0"/>
        <v>2066.65</v>
      </c>
      <c r="I23" s="188">
        <v>2400</v>
      </c>
      <c r="J23" s="188">
        <f>Tableau4[[#This Row],[Surcoût moyens de l''équipement ($)]]+Tableau4[[#This Row],[Surcoût moyen de l''installation ($)]]</f>
        <v>4466.6499999999996</v>
      </c>
      <c r="K23" s="188">
        <f>Tableau4[[#This Row],[Surcoût par appareil ($)]]*Tableau4[[#This Row],[Nombres appareils installés]]</f>
        <v>4466.6499999999996</v>
      </c>
      <c r="L23" s="190">
        <v>1700</v>
      </c>
      <c r="M23" s="188">
        <f t="shared" si="1"/>
        <v>1575</v>
      </c>
      <c r="N23" s="188">
        <f>Tableau4[[#This Row],[AF 0 ($)]]/Tableau4[[#This Row],[Nombres appareils installés]]</f>
        <v>1575</v>
      </c>
      <c r="O23" s="191">
        <f>(Tableau4[[#This Row],[AF accordée ($)]])/($J$6*D23)</f>
        <v>0.42463905680171854</v>
      </c>
      <c r="P23" s="191">
        <f>Tableau4[[#This Row],[Couverture 0 (%)]]*Tableau4[[#This Row],[Nombres appareils installés]]</f>
        <v>0.42463905680171854</v>
      </c>
      <c r="Q23" s="188">
        <f>($Q$4+$R$4*(Tableau4[[#This Row],[Capacité (BTU)]]/1000))*Tableau4[[#This Row],[Nombres appareils installés]]</f>
        <v>2675</v>
      </c>
      <c r="R23" s="188">
        <f>Tableau4[[#This Row],[AF 1 ($)]]/Tableau4[[#This Row],[Nombres appareils installés]]</f>
        <v>2675</v>
      </c>
      <c r="S23" s="191">
        <f>Tableau4[[#This Row],[AF 1 ($)]]/(J23*D23)</f>
        <v>0.59888283165235701</v>
      </c>
      <c r="T23" s="191">
        <f>Tableau4[[#This Row],[Couverture 1 (%)]]*Tableau4[[#This Row],[Nombres appareils installés]]</f>
        <v>0.59888283165235701</v>
      </c>
      <c r="U23" s="188">
        <f>($U$4+($V$4*(Tableau4[[#This Row],[Capacité (BTU)]]/1000)))*Tableau4[[#This Row],[Nombres appareils installés]]</f>
        <v>3012.5</v>
      </c>
      <c r="V23" s="188">
        <f>Tableau4[[#This Row],[AF 2 ($)]]/Tableau4[[#This Row],[Nombres appareils installés]]</f>
        <v>3012.5</v>
      </c>
      <c r="W23" s="192">
        <f>Tableau4[[#This Row],[AF 2 par appareil ($)]]/Tableau4[[#This Row],[Surcoût par appareil ($)]]</f>
        <v>0.67444281508513093</v>
      </c>
      <c r="X23" s="192">
        <f>Tableau4[[#This Row],[Couverture 2 (%)]]*Tableau4[[#This Row],[Nombres appareils installés]]</f>
        <v>0.67444281508513093</v>
      </c>
      <c r="Y23" s="188">
        <f>($Y$4+$Z$4*(Tableau4[[#This Row],[Capacité (BTU)]]/1000))*Tableau4[[#This Row],[Nombres appareils installés]]</f>
        <v>3175</v>
      </c>
      <c r="Z23" s="188">
        <f>Tableau4[[#This Row],[AF 3 ($)]]/Tableau4[[#This Row],[Nombres appareils installés]]</f>
        <v>3175</v>
      </c>
      <c r="AA23" s="193">
        <f>Tableau4[[#This Row],[AF 3 par appareil ($)]]/Tableau4[[#This Row],[Surcoût par appareil ($)]]</f>
        <v>0.71082354784905921</v>
      </c>
      <c r="AB23" s="193">
        <f>Tableau4[[#This Row],[Couverture 3 (%)]]*Tableau4[[#This Row],[Nombres appareils installés]]</f>
        <v>0.71082354784905921</v>
      </c>
      <c r="AC23" s="188">
        <f>($AC$4+$AD$4*(Tableau4[[#This Row],[Capacité (BTU)]]/1000))*Tableau4[[#This Row],[Nombres appareils installés]]</f>
        <v>2740</v>
      </c>
      <c r="AD23" s="188">
        <f>Tableau4[[#This Row],[AF 4 ($)]]/Tableau4[[#This Row],[Nombres appareils installés]]</f>
        <v>2740</v>
      </c>
      <c r="AE23" s="194">
        <f>Tableau4[[#This Row],[Couverture 4 (%)]]*Tableau4[[#This Row],[Nombres appareils installés]]</f>
        <v>0.61343512475792827</v>
      </c>
      <c r="AF23" s="193">
        <f>Tableau4[[#This Row],[AF 4 par appareil  ($)]]/Tableau4[[#This Row],[Surcoût par appareil ($)]]</f>
        <v>0.61343512475792827</v>
      </c>
    </row>
    <row r="24" spans="2:32" x14ac:dyDescent="0.3">
      <c r="B24" s="187" t="s">
        <v>111</v>
      </c>
      <c r="C24" s="188" t="s">
        <v>122</v>
      </c>
      <c r="D24" s="188">
        <v>1</v>
      </c>
      <c r="E24" s="188">
        <v>135000</v>
      </c>
      <c r="F24" s="189">
        <f>Tableau4[[#This Row],[Economies totales (m3)]]/Tableau4[[#This Row],[Nombres appareils installés]]</f>
        <v>1068</v>
      </c>
      <c r="G24" s="190">
        <v>1068</v>
      </c>
      <c r="H24" s="188">
        <f t="shared" si="0"/>
        <v>2066.65</v>
      </c>
      <c r="I24" s="188">
        <v>2400</v>
      </c>
      <c r="J24" s="188">
        <f>Tableau4[[#This Row],[Surcoût moyens de l''équipement ($)]]+Tableau4[[#This Row],[Surcoût moyen de l''installation ($)]]</f>
        <v>4466.6499999999996</v>
      </c>
      <c r="K24" s="188">
        <f>Tableau4[[#This Row],[Surcoût par appareil ($)]]*Tableau4[[#This Row],[Nombres appareils installés]]</f>
        <v>4466.6499999999996</v>
      </c>
      <c r="L24" s="190">
        <v>1700</v>
      </c>
      <c r="M24" s="188">
        <f t="shared" si="1"/>
        <v>1575</v>
      </c>
      <c r="N24" s="188">
        <f>Tableau4[[#This Row],[AF 0 ($)]]/Tableau4[[#This Row],[Nombres appareils installés]]</f>
        <v>1575</v>
      </c>
      <c r="O24" s="191">
        <f>(Tableau4[[#This Row],[AF accordée ($)]])/($J$6*D24)</f>
        <v>0.42463905680171854</v>
      </c>
      <c r="P24" s="191">
        <f>Tableau4[[#This Row],[Couverture 0 (%)]]*Tableau4[[#This Row],[Nombres appareils installés]]</f>
        <v>0.42463905680171854</v>
      </c>
      <c r="Q24" s="188">
        <f>($Q$4+$R$4*(Tableau4[[#This Row],[Capacité (BTU)]]/1000))*Tableau4[[#This Row],[Nombres appareils installés]]</f>
        <v>2675</v>
      </c>
      <c r="R24" s="188">
        <f>Tableau4[[#This Row],[AF 1 ($)]]/Tableau4[[#This Row],[Nombres appareils installés]]</f>
        <v>2675</v>
      </c>
      <c r="S24" s="191">
        <f>Tableau4[[#This Row],[AF 1 ($)]]/(J24*D24)</f>
        <v>0.59888283165235701</v>
      </c>
      <c r="T24" s="191">
        <f>Tableau4[[#This Row],[Couverture 1 (%)]]*Tableau4[[#This Row],[Nombres appareils installés]]</f>
        <v>0.59888283165235701</v>
      </c>
      <c r="U24" s="188">
        <f>($U$4+($V$4*(Tableau4[[#This Row],[Capacité (BTU)]]/1000)))*Tableau4[[#This Row],[Nombres appareils installés]]</f>
        <v>3012.5</v>
      </c>
      <c r="V24" s="188">
        <f>Tableau4[[#This Row],[AF 2 ($)]]/Tableau4[[#This Row],[Nombres appareils installés]]</f>
        <v>3012.5</v>
      </c>
      <c r="W24" s="192">
        <f>Tableau4[[#This Row],[AF 2 par appareil ($)]]/Tableau4[[#This Row],[Surcoût par appareil ($)]]</f>
        <v>0.67444281508513093</v>
      </c>
      <c r="X24" s="192">
        <f>Tableau4[[#This Row],[Couverture 2 (%)]]*Tableau4[[#This Row],[Nombres appareils installés]]</f>
        <v>0.67444281508513093</v>
      </c>
      <c r="Y24" s="188">
        <f>($Y$4+$Z$4*(Tableau4[[#This Row],[Capacité (BTU)]]/1000))*Tableau4[[#This Row],[Nombres appareils installés]]</f>
        <v>3175</v>
      </c>
      <c r="Z24" s="188">
        <f>Tableau4[[#This Row],[AF 3 ($)]]/Tableau4[[#This Row],[Nombres appareils installés]]</f>
        <v>3175</v>
      </c>
      <c r="AA24" s="193">
        <f>Tableau4[[#This Row],[AF 3 par appareil ($)]]/Tableau4[[#This Row],[Surcoût par appareil ($)]]</f>
        <v>0.71082354784905921</v>
      </c>
      <c r="AB24" s="193">
        <f>Tableau4[[#This Row],[Couverture 3 (%)]]*Tableau4[[#This Row],[Nombres appareils installés]]</f>
        <v>0.71082354784905921</v>
      </c>
      <c r="AC24" s="188">
        <f>($AC$4+$AD$4*(Tableau4[[#This Row],[Capacité (BTU)]]/1000))*Tableau4[[#This Row],[Nombres appareils installés]]</f>
        <v>2740</v>
      </c>
      <c r="AD24" s="188">
        <f>Tableau4[[#This Row],[AF 4 ($)]]/Tableau4[[#This Row],[Nombres appareils installés]]</f>
        <v>2740</v>
      </c>
      <c r="AE24" s="194">
        <f>Tableau4[[#This Row],[Couverture 4 (%)]]*Tableau4[[#This Row],[Nombres appareils installés]]</f>
        <v>0.61343512475792827</v>
      </c>
      <c r="AF24" s="193">
        <f>Tableau4[[#This Row],[AF 4 par appareil  ($)]]/Tableau4[[#This Row],[Surcoût par appareil ($)]]</f>
        <v>0.61343512475792827</v>
      </c>
    </row>
    <row r="25" spans="2:32" x14ac:dyDescent="0.3">
      <c r="B25" s="187" t="s">
        <v>111</v>
      </c>
      <c r="C25" s="188" t="s">
        <v>122</v>
      </c>
      <c r="D25" s="188">
        <v>2</v>
      </c>
      <c r="E25" s="188">
        <v>135000</v>
      </c>
      <c r="F25" s="189">
        <f>Tableau4[[#This Row],[Economies totales (m3)]]/Tableau4[[#This Row],[Nombres appareils installés]]</f>
        <v>1068</v>
      </c>
      <c r="G25" s="190">
        <v>2136</v>
      </c>
      <c r="H25" s="188">
        <f t="shared" si="0"/>
        <v>2066.65</v>
      </c>
      <c r="I25" s="188">
        <v>2400</v>
      </c>
      <c r="J25" s="188">
        <f>Tableau4[[#This Row],[Surcoût moyens de l''équipement ($)]]+Tableau4[[#This Row],[Surcoût moyen de l''installation ($)]]</f>
        <v>4466.6499999999996</v>
      </c>
      <c r="K25" s="188">
        <f>Tableau4[[#This Row],[Surcoût par appareil ($)]]*Tableau4[[#This Row],[Nombres appareils installés]]</f>
        <v>8933.2999999999993</v>
      </c>
      <c r="L25" s="190">
        <v>3400</v>
      </c>
      <c r="M25" s="188">
        <f t="shared" si="1"/>
        <v>3150</v>
      </c>
      <c r="N25" s="188">
        <f>Tableau4[[#This Row],[AF 0 ($)]]/Tableau4[[#This Row],[Nombres appareils installés]]</f>
        <v>1575</v>
      </c>
      <c r="O25" s="191">
        <f>(Tableau4[[#This Row],[AF accordée ($)]])/($J$6*D25)</f>
        <v>0.42463905680171854</v>
      </c>
      <c r="P25" s="191">
        <f>Tableau4[[#This Row],[Couverture 0 (%)]]*Tableau4[[#This Row],[Nombres appareils installés]]</f>
        <v>0.84927811360343708</v>
      </c>
      <c r="Q25" s="188">
        <f>($Q$4+$R$4*(Tableau4[[#This Row],[Capacité (BTU)]]/1000))*Tableau4[[#This Row],[Nombres appareils installés]]</f>
        <v>5350</v>
      </c>
      <c r="R25" s="188">
        <f>Tableau4[[#This Row],[AF 1 ($)]]/Tableau4[[#This Row],[Nombres appareils installés]]</f>
        <v>2675</v>
      </c>
      <c r="S25" s="191">
        <f>Tableau4[[#This Row],[AF 1 ($)]]/(J25*D25)</f>
        <v>0.59888283165235701</v>
      </c>
      <c r="T25" s="191">
        <f>Tableau4[[#This Row],[Couverture 1 (%)]]*Tableau4[[#This Row],[Nombres appareils installés]]</f>
        <v>1.197765663304714</v>
      </c>
      <c r="U25" s="188">
        <f>($U$4+($V$4*(Tableau4[[#This Row],[Capacité (BTU)]]/1000)))*Tableau4[[#This Row],[Nombres appareils installés]]</f>
        <v>6025</v>
      </c>
      <c r="V25" s="188">
        <f>Tableau4[[#This Row],[AF 2 ($)]]/Tableau4[[#This Row],[Nombres appareils installés]]</f>
        <v>3012.5</v>
      </c>
      <c r="W25" s="192">
        <f>Tableau4[[#This Row],[AF 2 par appareil ($)]]/Tableau4[[#This Row],[Surcoût par appareil ($)]]</f>
        <v>0.67444281508513093</v>
      </c>
      <c r="X25" s="192">
        <f>Tableau4[[#This Row],[Couverture 2 (%)]]*Tableau4[[#This Row],[Nombres appareils installés]]</f>
        <v>1.3488856301702619</v>
      </c>
      <c r="Y25" s="188">
        <f>($Y$4+$Z$4*(Tableau4[[#This Row],[Capacité (BTU)]]/1000))*Tableau4[[#This Row],[Nombres appareils installés]]</f>
        <v>6350</v>
      </c>
      <c r="Z25" s="188">
        <f>Tableau4[[#This Row],[AF 3 ($)]]/Tableau4[[#This Row],[Nombres appareils installés]]</f>
        <v>3175</v>
      </c>
      <c r="AA25" s="193">
        <f>Tableau4[[#This Row],[AF 3 par appareil ($)]]/Tableau4[[#This Row],[Surcoût par appareil ($)]]</f>
        <v>0.71082354784905921</v>
      </c>
      <c r="AB25" s="193">
        <f>Tableau4[[#This Row],[Couverture 3 (%)]]*Tableau4[[#This Row],[Nombres appareils installés]]</f>
        <v>1.4216470956981184</v>
      </c>
      <c r="AC25" s="188">
        <f>($AC$4+$AD$4*(Tableau4[[#This Row],[Capacité (BTU)]]/1000))*Tableau4[[#This Row],[Nombres appareils installés]]</f>
        <v>5480</v>
      </c>
      <c r="AD25" s="188">
        <f>Tableau4[[#This Row],[AF 4 ($)]]/Tableau4[[#This Row],[Nombres appareils installés]]</f>
        <v>2740</v>
      </c>
      <c r="AE25" s="194">
        <f>Tableau4[[#This Row],[Couverture 4 (%)]]*Tableau4[[#This Row],[Nombres appareils installés]]</f>
        <v>1.2268702495158565</v>
      </c>
      <c r="AF25" s="193">
        <f>Tableau4[[#This Row],[AF 4 par appareil  ($)]]/Tableau4[[#This Row],[Surcoût par appareil ($)]]</f>
        <v>0.61343512475792827</v>
      </c>
    </row>
    <row r="26" spans="2:32" x14ac:dyDescent="0.3">
      <c r="B26" s="187" t="s">
        <v>111</v>
      </c>
      <c r="C26" s="188" t="s">
        <v>122</v>
      </c>
      <c r="D26" s="188">
        <v>2</v>
      </c>
      <c r="E26" s="188">
        <v>135000</v>
      </c>
      <c r="F26" s="189">
        <f>Tableau4[[#This Row],[Economies totales (m3)]]/Tableau4[[#This Row],[Nombres appareils installés]]</f>
        <v>1068</v>
      </c>
      <c r="G26" s="190">
        <v>2136</v>
      </c>
      <c r="H26" s="188">
        <f t="shared" si="0"/>
        <v>2066.65</v>
      </c>
      <c r="I26" s="188">
        <v>2400</v>
      </c>
      <c r="J26" s="188">
        <f>Tableau4[[#This Row],[Surcoût moyens de l''équipement ($)]]+Tableau4[[#This Row],[Surcoût moyen de l''installation ($)]]</f>
        <v>4466.6499999999996</v>
      </c>
      <c r="K26" s="188">
        <f>Tableau4[[#This Row],[Surcoût par appareil ($)]]*Tableau4[[#This Row],[Nombres appareils installés]]</f>
        <v>8933.2999999999993</v>
      </c>
      <c r="L26" s="190">
        <v>3400</v>
      </c>
      <c r="M26" s="188">
        <f t="shared" si="1"/>
        <v>3150</v>
      </c>
      <c r="N26" s="188">
        <f>Tableau4[[#This Row],[AF 0 ($)]]/Tableau4[[#This Row],[Nombres appareils installés]]</f>
        <v>1575</v>
      </c>
      <c r="O26" s="191">
        <f>(Tableau4[[#This Row],[AF accordée ($)]])/($J$6*D26)</f>
        <v>0.42463905680171854</v>
      </c>
      <c r="P26" s="191">
        <f>Tableau4[[#This Row],[Couverture 0 (%)]]*Tableau4[[#This Row],[Nombres appareils installés]]</f>
        <v>0.84927811360343708</v>
      </c>
      <c r="Q26" s="188">
        <f>($Q$4+$R$4*(Tableau4[[#This Row],[Capacité (BTU)]]/1000))*Tableau4[[#This Row],[Nombres appareils installés]]</f>
        <v>5350</v>
      </c>
      <c r="R26" s="188">
        <f>Tableau4[[#This Row],[AF 1 ($)]]/Tableau4[[#This Row],[Nombres appareils installés]]</f>
        <v>2675</v>
      </c>
      <c r="S26" s="191">
        <f>Tableau4[[#This Row],[AF 1 ($)]]/(J26*D26)</f>
        <v>0.59888283165235701</v>
      </c>
      <c r="T26" s="191">
        <f>Tableau4[[#This Row],[Couverture 1 (%)]]*Tableau4[[#This Row],[Nombres appareils installés]]</f>
        <v>1.197765663304714</v>
      </c>
      <c r="U26" s="188">
        <f>($U$4+($V$4*(Tableau4[[#This Row],[Capacité (BTU)]]/1000)))*Tableau4[[#This Row],[Nombres appareils installés]]</f>
        <v>6025</v>
      </c>
      <c r="V26" s="188">
        <f>Tableau4[[#This Row],[AF 2 ($)]]/Tableau4[[#This Row],[Nombres appareils installés]]</f>
        <v>3012.5</v>
      </c>
      <c r="W26" s="192">
        <f>Tableau4[[#This Row],[AF 2 par appareil ($)]]/Tableau4[[#This Row],[Surcoût par appareil ($)]]</f>
        <v>0.67444281508513093</v>
      </c>
      <c r="X26" s="192">
        <f>Tableau4[[#This Row],[Couverture 2 (%)]]*Tableau4[[#This Row],[Nombres appareils installés]]</f>
        <v>1.3488856301702619</v>
      </c>
      <c r="Y26" s="188">
        <f>($Y$4+$Z$4*(Tableau4[[#This Row],[Capacité (BTU)]]/1000))*Tableau4[[#This Row],[Nombres appareils installés]]</f>
        <v>6350</v>
      </c>
      <c r="Z26" s="188">
        <f>Tableau4[[#This Row],[AF 3 ($)]]/Tableau4[[#This Row],[Nombres appareils installés]]</f>
        <v>3175</v>
      </c>
      <c r="AA26" s="193">
        <f>Tableau4[[#This Row],[AF 3 par appareil ($)]]/Tableau4[[#This Row],[Surcoût par appareil ($)]]</f>
        <v>0.71082354784905921</v>
      </c>
      <c r="AB26" s="193">
        <f>Tableau4[[#This Row],[Couverture 3 (%)]]*Tableau4[[#This Row],[Nombres appareils installés]]</f>
        <v>1.4216470956981184</v>
      </c>
      <c r="AC26" s="188">
        <f>($AC$4+$AD$4*(Tableau4[[#This Row],[Capacité (BTU)]]/1000))*Tableau4[[#This Row],[Nombres appareils installés]]</f>
        <v>5480</v>
      </c>
      <c r="AD26" s="188">
        <f>Tableau4[[#This Row],[AF 4 ($)]]/Tableau4[[#This Row],[Nombres appareils installés]]</f>
        <v>2740</v>
      </c>
      <c r="AE26" s="194">
        <f>Tableau4[[#This Row],[Couverture 4 (%)]]*Tableau4[[#This Row],[Nombres appareils installés]]</f>
        <v>1.2268702495158565</v>
      </c>
      <c r="AF26" s="193">
        <f>Tableau4[[#This Row],[AF 4 par appareil  ($)]]/Tableau4[[#This Row],[Surcoût par appareil ($)]]</f>
        <v>0.61343512475792827</v>
      </c>
    </row>
    <row r="27" spans="2:32" x14ac:dyDescent="0.3">
      <c r="B27" s="187" t="s">
        <v>111</v>
      </c>
      <c r="C27" s="188" t="s">
        <v>127</v>
      </c>
      <c r="D27" s="188">
        <v>1</v>
      </c>
      <c r="E27" s="188">
        <v>150000</v>
      </c>
      <c r="F27" s="189">
        <f>Tableau4[[#This Row],[Economies totales (m3)]]/Tableau4[[#This Row],[Nombres appareils installés]]</f>
        <v>1068</v>
      </c>
      <c r="G27" s="190">
        <v>1068</v>
      </c>
      <c r="H27" s="188">
        <f t="shared" si="0"/>
        <v>2193.4</v>
      </c>
      <c r="I27" s="188">
        <v>2400</v>
      </c>
      <c r="J27" s="188">
        <f>Tableau4[[#This Row],[Surcoût moyens de l''équipement ($)]]+Tableau4[[#This Row],[Surcoût moyen de l''installation ($)]]</f>
        <v>4593.3999999999996</v>
      </c>
      <c r="K27" s="188">
        <f>Tableau4[[#This Row],[Surcoût par appareil ($)]]*Tableau4[[#This Row],[Nombres appareils installés]]</f>
        <v>4593.3999999999996</v>
      </c>
      <c r="L27" s="190">
        <v>1700</v>
      </c>
      <c r="M27" s="188">
        <f t="shared" si="1"/>
        <v>1650</v>
      </c>
      <c r="N27" s="188">
        <f>Tableau4[[#This Row],[AF 0 ($)]]/Tableau4[[#This Row],[Nombres appareils installés]]</f>
        <v>1650</v>
      </c>
      <c r="O27" s="191">
        <f>(Tableau4[[#This Row],[AF accordée ($)]])/($J$6*D27)</f>
        <v>0.42463905680171854</v>
      </c>
      <c r="P27" s="191">
        <f>Tableau4[[#This Row],[Couverture 0 (%)]]*Tableau4[[#This Row],[Nombres appareils installés]]</f>
        <v>0.42463905680171854</v>
      </c>
      <c r="Q27" s="188">
        <f>($Q$4+$R$4*(Tableau4[[#This Row],[Capacité (BTU)]]/1000))*Tableau4[[#This Row],[Nombres appareils installés]]</f>
        <v>2750</v>
      </c>
      <c r="R27" s="188">
        <f>Tableau4[[#This Row],[AF 1 ($)]]/Tableau4[[#This Row],[Nombres appareils installés]]</f>
        <v>2750</v>
      </c>
      <c r="S27" s="191">
        <f>Tableau4[[#This Row],[AF 1 ($)]]/(J27*D27)</f>
        <v>0.59868506988287551</v>
      </c>
      <c r="T27" s="191">
        <f>Tableau4[[#This Row],[Couverture 1 (%)]]*Tableau4[[#This Row],[Nombres appareils installés]]</f>
        <v>0.59868506988287551</v>
      </c>
      <c r="U27" s="188">
        <f>($U$4+($V$4*(Tableau4[[#This Row],[Capacité (BTU)]]/1000)))*Tableau4[[#This Row],[Nombres appareils installés]]</f>
        <v>3125</v>
      </c>
      <c r="V27" s="188">
        <f>Tableau4[[#This Row],[AF 2 ($)]]/Tableau4[[#This Row],[Nombres appareils installés]]</f>
        <v>3125</v>
      </c>
      <c r="W27" s="192">
        <f>Tableau4[[#This Row],[AF 2 par appareil ($)]]/Tableau4[[#This Row],[Surcoût par appareil ($)]]</f>
        <v>0.68032394304872212</v>
      </c>
      <c r="X27" s="192">
        <f>Tableau4[[#This Row],[Couverture 2 (%)]]*Tableau4[[#This Row],[Nombres appareils installés]]</f>
        <v>0.68032394304872212</v>
      </c>
      <c r="Y27" s="188">
        <f>($Y$4+$Z$4*(Tableau4[[#This Row],[Capacité (BTU)]]/1000))*Tableau4[[#This Row],[Nombres appareils installés]]</f>
        <v>3250</v>
      </c>
      <c r="Z27" s="188">
        <f>Tableau4[[#This Row],[AF 3 ($)]]/Tableau4[[#This Row],[Nombres appareils installés]]</f>
        <v>3250</v>
      </c>
      <c r="AA27" s="193">
        <f>Tableau4[[#This Row],[AF 3 par appareil ($)]]/Tableau4[[#This Row],[Surcoût par appareil ($)]]</f>
        <v>0.707536900770671</v>
      </c>
      <c r="AB27" s="193">
        <f>Tableau4[[#This Row],[Couverture 3 (%)]]*Tableau4[[#This Row],[Nombres appareils installés]]</f>
        <v>0.707536900770671</v>
      </c>
      <c r="AC27" s="188">
        <f>($AC$4+$AD$4*(Tableau4[[#This Row],[Capacité (BTU)]]/1000))*Tableau4[[#This Row],[Nombres appareils installés]]</f>
        <v>2800</v>
      </c>
      <c r="AD27" s="188">
        <f>Tableau4[[#This Row],[AF 4 ($)]]/Tableau4[[#This Row],[Nombres appareils installés]]</f>
        <v>2800</v>
      </c>
      <c r="AE27" s="194">
        <f>Tableau4[[#This Row],[Couverture 4 (%)]]*Tableau4[[#This Row],[Nombres appareils installés]]</f>
        <v>0.60957025297165501</v>
      </c>
      <c r="AF27" s="193">
        <f>Tableau4[[#This Row],[AF 4 par appareil  ($)]]/Tableau4[[#This Row],[Surcoût par appareil ($)]]</f>
        <v>0.60957025297165501</v>
      </c>
    </row>
    <row r="28" spans="2:32" x14ac:dyDescent="0.3">
      <c r="B28" s="187" t="s">
        <v>111</v>
      </c>
      <c r="C28" s="188" t="s">
        <v>128</v>
      </c>
      <c r="D28" s="188">
        <v>1</v>
      </c>
      <c r="E28" s="188">
        <v>155000</v>
      </c>
      <c r="F28" s="189">
        <f>Tableau4[[#This Row],[Economies totales (m3)]]/Tableau4[[#This Row],[Nombres appareils installés]]</f>
        <v>1068</v>
      </c>
      <c r="G28" s="190">
        <v>1068</v>
      </c>
      <c r="H28" s="188">
        <f t="shared" si="0"/>
        <v>2238.65</v>
      </c>
      <c r="I28" s="188">
        <v>2400</v>
      </c>
      <c r="J28" s="188">
        <f>Tableau4[[#This Row],[Surcoût moyens de l''équipement ($)]]+Tableau4[[#This Row],[Surcoût moyen de l''installation ($)]]</f>
        <v>4638.6499999999996</v>
      </c>
      <c r="K28" s="188">
        <f>Tableau4[[#This Row],[Surcoût par appareil ($)]]*Tableau4[[#This Row],[Nombres appareils installés]]</f>
        <v>4638.6499999999996</v>
      </c>
      <c r="L28" s="190">
        <v>1700</v>
      </c>
      <c r="M28" s="188">
        <f t="shared" si="1"/>
        <v>1675</v>
      </c>
      <c r="N28" s="188">
        <f>Tableau4[[#This Row],[AF 0 ($)]]/Tableau4[[#This Row],[Nombres appareils installés]]</f>
        <v>1675</v>
      </c>
      <c r="O28" s="191">
        <f>(Tableau4[[#This Row],[AF accordée ($)]])/($J$6*D28)</f>
        <v>0.42463905680171854</v>
      </c>
      <c r="P28" s="191">
        <f>Tableau4[[#This Row],[Couverture 0 (%)]]*Tableau4[[#This Row],[Nombres appareils installés]]</f>
        <v>0.42463905680171854</v>
      </c>
      <c r="Q28" s="188">
        <f>($Q$4+$R$4*(Tableau4[[#This Row],[Capacité (BTU)]]/1000))*Tableau4[[#This Row],[Nombres appareils installés]]</f>
        <v>2775</v>
      </c>
      <c r="R28" s="188">
        <f>Tableau4[[#This Row],[AF 1 ($)]]/Tableau4[[#This Row],[Nombres appareils installés]]</f>
        <v>2775</v>
      </c>
      <c r="S28" s="191">
        <f>Tableau4[[#This Row],[AF 1 ($)]]/(J28*D28)</f>
        <v>0.59823440009485518</v>
      </c>
      <c r="T28" s="191">
        <f>Tableau4[[#This Row],[Couverture 1 (%)]]*Tableau4[[#This Row],[Nombres appareils installés]]</f>
        <v>0.59823440009485518</v>
      </c>
      <c r="U28" s="188">
        <f>($U$4+($V$4*(Tableau4[[#This Row],[Capacité (BTU)]]/1000)))*Tableau4[[#This Row],[Nombres appareils installés]]</f>
        <v>3162.5</v>
      </c>
      <c r="V28" s="188">
        <f>Tableau4[[#This Row],[AF 2 ($)]]/Tableau4[[#This Row],[Nombres appareils installés]]</f>
        <v>3162.5</v>
      </c>
      <c r="W28" s="192">
        <f>Tableau4[[#This Row],[AF 2 par appareil ($)]]/Tableau4[[#This Row],[Surcoût par appareil ($)]]</f>
        <v>0.68177163614413683</v>
      </c>
      <c r="X28" s="192">
        <f>Tableau4[[#This Row],[Couverture 2 (%)]]*Tableau4[[#This Row],[Nombres appareils installés]]</f>
        <v>0.68177163614413683</v>
      </c>
      <c r="Y28" s="188">
        <f>($Y$4+$Z$4*(Tableau4[[#This Row],[Capacité (BTU)]]/1000))*Tableau4[[#This Row],[Nombres appareils installés]]</f>
        <v>3275</v>
      </c>
      <c r="Z28" s="188">
        <f>Tableau4[[#This Row],[AF 3 ($)]]/Tableau4[[#This Row],[Nombres appareils installés]]</f>
        <v>3275</v>
      </c>
      <c r="AA28" s="193">
        <f>Tableau4[[#This Row],[AF 3 par appareil ($)]]/Tableau4[[#This Row],[Surcoût par appareil ($)]]</f>
        <v>0.70602438209392826</v>
      </c>
      <c r="AB28" s="193">
        <f>Tableau4[[#This Row],[Couverture 3 (%)]]*Tableau4[[#This Row],[Nombres appareils installés]]</f>
        <v>0.70602438209392826</v>
      </c>
      <c r="AC28" s="188">
        <f>($AC$4+$AD$4*(Tableau4[[#This Row],[Capacité (BTU)]]/1000))*Tableau4[[#This Row],[Nombres appareils installés]]</f>
        <v>2820</v>
      </c>
      <c r="AD28" s="188">
        <f>Tableau4[[#This Row],[AF 4 ($)]]/Tableau4[[#This Row],[Nombres appareils installés]]</f>
        <v>2820</v>
      </c>
      <c r="AE28" s="194">
        <f>Tableau4[[#This Row],[Couverture 4 (%)]]*Tableau4[[#This Row],[Nombres appareils installés]]</f>
        <v>0.6079354984747718</v>
      </c>
      <c r="AF28" s="193">
        <f>Tableau4[[#This Row],[AF 4 par appareil  ($)]]/Tableau4[[#This Row],[Surcoût par appareil ($)]]</f>
        <v>0.6079354984747718</v>
      </c>
    </row>
    <row r="29" spans="2:32" x14ac:dyDescent="0.3">
      <c r="B29" s="187" t="s">
        <v>111</v>
      </c>
      <c r="C29" s="188" t="s">
        <v>129</v>
      </c>
      <c r="D29" s="188">
        <v>2</v>
      </c>
      <c r="E29" s="188">
        <v>155000</v>
      </c>
      <c r="F29" s="189">
        <f>Tableau4[[#This Row],[Economies totales (m3)]]/Tableau4[[#This Row],[Nombres appareils installés]]</f>
        <v>1068</v>
      </c>
      <c r="G29" s="190">
        <v>2136</v>
      </c>
      <c r="H29" s="188">
        <f t="shared" si="0"/>
        <v>2238.65</v>
      </c>
      <c r="I29" s="188">
        <v>2400</v>
      </c>
      <c r="J29" s="188">
        <f>Tableau4[[#This Row],[Surcoût moyens de l''équipement ($)]]+Tableau4[[#This Row],[Surcoût moyen de l''installation ($)]]</f>
        <v>4638.6499999999996</v>
      </c>
      <c r="K29" s="188">
        <f>Tableau4[[#This Row],[Surcoût par appareil ($)]]*Tableau4[[#This Row],[Nombres appareils installés]]</f>
        <v>9277.2999999999993</v>
      </c>
      <c r="L29" s="190">
        <v>3400</v>
      </c>
      <c r="M29" s="188">
        <f t="shared" si="1"/>
        <v>3350</v>
      </c>
      <c r="N29" s="188">
        <f>Tableau4[[#This Row],[AF 0 ($)]]/Tableau4[[#This Row],[Nombres appareils installés]]</f>
        <v>1675</v>
      </c>
      <c r="O29" s="191">
        <f>(Tableau4[[#This Row],[AF accordée ($)]])/($J$6*D29)</f>
        <v>0.42463905680171854</v>
      </c>
      <c r="P29" s="191">
        <f>Tableau4[[#This Row],[Couverture 0 (%)]]*Tableau4[[#This Row],[Nombres appareils installés]]</f>
        <v>0.84927811360343708</v>
      </c>
      <c r="Q29" s="188">
        <f>($Q$4+$R$4*(Tableau4[[#This Row],[Capacité (BTU)]]/1000))*Tableau4[[#This Row],[Nombres appareils installés]]</f>
        <v>5550</v>
      </c>
      <c r="R29" s="188">
        <f>Tableau4[[#This Row],[AF 1 ($)]]/Tableau4[[#This Row],[Nombres appareils installés]]</f>
        <v>2775</v>
      </c>
      <c r="S29" s="191">
        <f>Tableau4[[#This Row],[AF 1 ($)]]/(J29*D29)</f>
        <v>0.59823440009485518</v>
      </c>
      <c r="T29" s="191">
        <f>Tableau4[[#This Row],[Couverture 1 (%)]]*Tableau4[[#This Row],[Nombres appareils installés]]</f>
        <v>1.1964688001897104</v>
      </c>
      <c r="U29" s="188">
        <f>($U$4+($V$4*(Tableau4[[#This Row],[Capacité (BTU)]]/1000)))*Tableau4[[#This Row],[Nombres appareils installés]]</f>
        <v>6325</v>
      </c>
      <c r="V29" s="188">
        <f>Tableau4[[#This Row],[AF 2 ($)]]/Tableau4[[#This Row],[Nombres appareils installés]]</f>
        <v>3162.5</v>
      </c>
      <c r="W29" s="192">
        <f>Tableau4[[#This Row],[AF 2 par appareil ($)]]/Tableau4[[#This Row],[Surcoût par appareil ($)]]</f>
        <v>0.68177163614413683</v>
      </c>
      <c r="X29" s="192">
        <f>Tableau4[[#This Row],[Couverture 2 (%)]]*Tableau4[[#This Row],[Nombres appareils installés]]</f>
        <v>1.3635432722882737</v>
      </c>
      <c r="Y29" s="188">
        <f>($Y$4+$Z$4*(Tableau4[[#This Row],[Capacité (BTU)]]/1000))*Tableau4[[#This Row],[Nombres appareils installés]]</f>
        <v>6550</v>
      </c>
      <c r="Z29" s="188">
        <f>Tableau4[[#This Row],[AF 3 ($)]]/Tableau4[[#This Row],[Nombres appareils installés]]</f>
        <v>3275</v>
      </c>
      <c r="AA29" s="193">
        <f>Tableau4[[#This Row],[AF 3 par appareil ($)]]/Tableau4[[#This Row],[Surcoût par appareil ($)]]</f>
        <v>0.70602438209392826</v>
      </c>
      <c r="AB29" s="193">
        <f>Tableau4[[#This Row],[Couverture 3 (%)]]*Tableau4[[#This Row],[Nombres appareils installés]]</f>
        <v>1.4120487641878565</v>
      </c>
      <c r="AC29" s="188">
        <f>($AC$4+$AD$4*(Tableau4[[#This Row],[Capacité (BTU)]]/1000))*Tableau4[[#This Row],[Nombres appareils installés]]</f>
        <v>5640</v>
      </c>
      <c r="AD29" s="188">
        <f>Tableau4[[#This Row],[AF 4 ($)]]/Tableau4[[#This Row],[Nombres appareils installés]]</f>
        <v>2820</v>
      </c>
      <c r="AE29" s="194">
        <f>Tableau4[[#This Row],[Couverture 4 (%)]]*Tableau4[[#This Row],[Nombres appareils installés]]</f>
        <v>1.2158709969495436</v>
      </c>
      <c r="AF29" s="193">
        <f>Tableau4[[#This Row],[AF 4 par appareil  ($)]]/Tableau4[[#This Row],[Surcoût par appareil ($)]]</f>
        <v>0.6079354984747718</v>
      </c>
    </row>
    <row r="30" spans="2:32" x14ac:dyDescent="0.3">
      <c r="B30" s="187" t="s">
        <v>111</v>
      </c>
      <c r="C30" s="188" t="s">
        <v>130</v>
      </c>
      <c r="D30" s="188">
        <v>1</v>
      </c>
      <c r="E30" s="188">
        <v>180000</v>
      </c>
      <c r="F30" s="189">
        <f>Tableau4[[#This Row],[Economies totales (m3)]]/Tableau4[[#This Row],[Nombres appareils installés]]</f>
        <v>1068</v>
      </c>
      <c r="G30" s="190">
        <v>1068</v>
      </c>
      <c r="H30" s="188">
        <f t="shared" si="0"/>
        <v>2487.4</v>
      </c>
      <c r="I30" s="188">
        <v>2400</v>
      </c>
      <c r="J30" s="188">
        <f>Tableau4[[#This Row],[Surcoût moyens de l''équipement ($)]]+Tableau4[[#This Row],[Surcoût moyen de l''installation ($)]]</f>
        <v>4887.3999999999996</v>
      </c>
      <c r="K30" s="188">
        <f>Tableau4[[#This Row],[Surcoût par appareil ($)]]*Tableau4[[#This Row],[Nombres appareils installés]]</f>
        <v>4887.3999999999996</v>
      </c>
      <c r="L30" s="190">
        <v>1700</v>
      </c>
      <c r="M30" s="188">
        <f t="shared" si="1"/>
        <v>1800</v>
      </c>
      <c r="N30" s="188">
        <f>Tableau4[[#This Row],[AF 0 ($)]]/Tableau4[[#This Row],[Nombres appareils installés]]</f>
        <v>1800</v>
      </c>
      <c r="O30" s="191">
        <f>(Tableau4[[#This Row],[AF accordée ($)]])/($J$6*D30)</f>
        <v>0.42463905680171854</v>
      </c>
      <c r="P30" s="191">
        <f>Tableau4[[#This Row],[Couverture 0 (%)]]*Tableau4[[#This Row],[Nombres appareils installés]]</f>
        <v>0.42463905680171854</v>
      </c>
      <c r="Q30" s="188">
        <f>($Q$4+$R$4*(Tableau4[[#This Row],[Capacité (BTU)]]/1000))*Tableau4[[#This Row],[Nombres appareils installés]]</f>
        <v>2900</v>
      </c>
      <c r="R30" s="188">
        <f>Tableau4[[#This Row],[AF 1 ($)]]/Tableau4[[#This Row],[Nombres appareils installés]]</f>
        <v>2900</v>
      </c>
      <c r="S30" s="191">
        <f>Tableau4[[#This Row],[AF 1 ($)]]/(J30*D30)</f>
        <v>0.59336252404141265</v>
      </c>
      <c r="T30" s="191">
        <f>Tableau4[[#This Row],[Couverture 1 (%)]]*Tableau4[[#This Row],[Nombres appareils installés]]</f>
        <v>0.59336252404141265</v>
      </c>
      <c r="U30" s="188">
        <f>($U$4+($V$4*(Tableau4[[#This Row],[Capacité (BTU)]]/1000)))*Tableau4[[#This Row],[Nombres appareils installés]]</f>
        <v>3350</v>
      </c>
      <c r="V30" s="188">
        <f>Tableau4[[#This Row],[AF 2 ($)]]/Tableau4[[#This Row],[Nombres appareils installés]]</f>
        <v>3350</v>
      </c>
      <c r="W30" s="192">
        <f>Tableau4[[#This Row],[AF 2 par appareil ($)]]/Tableau4[[#This Row],[Surcoût par appareil ($)]]</f>
        <v>0.68543601915128705</v>
      </c>
      <c r="X30" s="192">
        <f>Tableau4[[#This Row],[Couverture 2 (%)]]*Tableau4[[#This Row],[Nombres appareils installés]]</f>
        <v>0.68543601915128705</v>
      </c>
      <c r="Y30" s="188">
        <f>($Y$4+$Z$4*(Tableau4[[#This Row],[Capacité (BTU)]]/1000))*Tableau4[[#This Row],[Nombres appareils installés]]</f>
        <v>3400</v>
      </c>
      <c r="Z30" s="188">
        <f>Tableau4[[#This Row],[AF 3 ($)]]/Tableau4[[#This Row],[Nombres appareils installés]]</f>
        <v>3400</v>
      </c>
      <c r="AA30" s="193">
        <f>Tableau4[[#This Row],[AF 3 par appareil ($)]]/Tableau4[[#This Row],[Surcoût par appareil ($)]]</f>
        <v>0.69566640749682862</v>
      </c>
      <c r="AB30" s="193">
        <f>Tableau4[[#This Row],[Couverture 3 (%)]]*Tableau4[[#This Row],[Nombres appareils installés]]</f>
        <v>0.69566640749682862</v>
      </c>
      <c r="AC30" s="188">
        <f>($AC$4+$AD$4*(Tableau4[[#This Row],[Capacité (BTU)]]/1000))*Tableau4[[#This Row],[Nombres appareils installés]]</f>
        <v>2920</v>
      </c>
      <c r="AD30" s="188">
        <f>Tableau4[[#This Row],[AF 4 ($)]]/Tableau4[[#This Row],[Nombres appareils installés]]</f>
        <v>2920</v>
      </c>
      <c r="AE30" s="194">
        <f>Tableau4[[#This Row],[Couverture 4 (%)]]*Tableau4[[#This Row],[Nombres appareils installés]]</f>
        <v>0.59745467937962926</v>
      </c>
      <c r="AF30" s="193">
        <f>Tableau4[[#This Row],[AF 4 par appareil  ($)]]/Tableau4[[#This Row],[Surcoût par appareil ($)]]</f>
        <v>0.59745467937962926</v>
      </c>
    </row>
    <row r="31" spans="2:32" x14ac:dyDescent="0.3">
      <c r="B31" s="187" t="s">
        <v>111</v>
      </c>
      <c r="C31" s="188" t="s">
        <v>123</v>
      </c>
      <c r="D31" s="188">
        <v>1</v>
      </c>
      <c r="E31" s="188">
        <v>180000</v>
      </c>
      <c r="F31" s="189">
        <f>Tableau4[[#This Row],[Economies totales (m3)]]/Tableau4[[#This Row],[Nombres appareils installés]]</f>
        <v>1068</v>
      </c>
      <c r="G31" s="190">
        <v>1068</v>
      </c>
      <c r="H31" s="188">
        <f t="shared" si="0"/>
        <v>2487.4</v>
      </c>
      <c r="I31" s="188">
        <v>2400</v>
      </c>
      <c r="J31" s="188">
        <f>Tableau4[[#This Row],[Surcoût moyens de l''équipement ($)]]+Tableau4[[#This Row],[Surcoût moyen de l''installation ($)]]</f>
        <v>4887.3999999999996</v>
      </c>
      <c r="K31" s="188">
        <f>Tableau4[[#This Row],[Surcoût par appareil ($)]]*Tableau4[[#This Row],[Nombres appareils installés]]</f>
        <v>4887.3999999999996</v>
      </c>
      <c r="L31" s="190">
        <v>1700</v>
      </c>
      <c r="M31" s="188">
        <f t="shared" si="1"/>
        <v>1800</v>
      </c>
      <c r="N31" s="188">
        <f>Tableau4[[#This Row],[AF 0 ($)]]/Tableau4[[#This Row],[Nombres appareils installés]]</f>
        <v>1800</v>
      </c>
      <c r="O31" s="191">
        <f>(Tableau4[[#This Row],[AF accordée ($)]])/($J$6*D31)</f>
        <v>0.42463905680171854</v>
      </c>
      <c r="P31" s="191">
        <f>Tableau4[[#This Row],[Couverture 0 (%)]]*Tableau4[[#This Row],[Nombres appareils installés]]</f>
        <v>0.42463905680171854</v>
      </c>
      <c r="Q31" s="188">
        <f>($Q$4+$R$4*(Tableau4[[#This Row],[Capacité (BTU)]]/1000))*Tableau4[[#This Row],[Nombres appareils installés]]</f>
        <v>2900</v>
      </c>
      <c r="R31" s="188">
        <f>Tableau4[[#This Row],[AF 1 ($)]]/Tableau4[[#This Row],[Nombres appareils installés]]</f>
        <v>2900</v>
      </c>
      <c r="S31" s="191">
        <f>Tableau4[[#This Row],[AF 1 ($)]]/(J31*D31)</f>
        <v>0.59336252404141265</v>
      </c>
      <c r="T31" s="191">
        <f>Tableau4[[#This Row],[Couverture 1 (%)]]*Tableau4[[#This Row],[Nombres appareils installés]]</f>
        <v>0.59336252404141265</v>
      </c>
      <c r="U31" s="188">
        <f>($U$4+($V$4*(Tableau4[[#This Row],[Capacité (BTU)]]/1000)))*Tableau4[[#This Row],[Nombres appareils installés]]</f>
        <v>3350</v>
      </c>
      <c r="V31" s="188">
        <f>Tableau4[[#This Row],[AF 2 ($)]]/Tableau4[[#This Row],[Nombres appareils installés]]</f>
        <v>3350</v>
      </c>
      <c r="W31" s="192">
        <f>Tableau4[[#This Row],[AF 2 par appareil ($)]]/Tableau4[[#This Row],[Surcoût par appareil ($)]]</f>
        <v>0.68543601915128705</v>
      </c>
      <c r="X31" s="192">
        <f>Tableau4[[#This Row],[Couverture 2 (%)]]*Tableau4[[#This Row],[Nombres appareils installés]]</f>
        <v>0.68543601915128705</v>
      </c>
      <c r="Y31" s="188">
        <f>($Y$4+$Z$4*(Tableau4[[#This Row],[Capacité (BTU)]]/1000))*Tableau4[[#This Row],[Nombres appareils installés]]</f>
        <v>3400</v>
      </c>
      <c r="Z31" s="188">
        <f>Tableau4[[#This Row],[AF 3 ($)]]/Tableau4[[#This Row],[Nombres appareils installés]]</f>
        <v>3400</v>
      </c>
      <c r="AA31" s="193">
        <f>Tableau4[[#This Row],[AF 3 par appareil ($)]]/Tableau4[[#This Row],[Surcoût par appareil ($)]]</f>
        <v>0.69566640749682862</v>
      </c>
      <c r="AB31" s="193">
        <f>Tableau4[[#This Row],[Couverture 3 (%)]]*Tableau4[[#This Row],[Nombres appareils installés]]</f>
        <v>0.69566640749682862</v>
      </c>
      <c r="AC31" s="188">
        <f>($AC$4+$AD$4*(Tableau4[[#This Row],[Capacité (BTU)]]/1000))*Tableau4[[#This Row],[Nombres appareils installés]]</f>
        <v>2920</v>
      </c>
      <c r="AD31" s="188">
        <f>Tableau4[[#This Row],[AF 4 ($)]]/Tableau4[[#This Row],[Nombres appareils installés]]</f>
        <v>2920</v>
      </c>
      <c r="AE31" s="194">
        <f>Tableau4[[#This Row],[Couverture 4 (%)]]*Tableau4[[#This Row],[Nombres appareils installés]]</f>
        <v>0.59745467937962926</v>
      </c>
      <c r="AF31" s="193">
        <f>Tableau4[[#This Row],[AF 4 par appareil  ($)]]/Tableau4[[#This Row],[Surcoût par appareil ($)]]</f>
        <v>0.59745467937962926</v>
      </c>
    </row>
    <row r="32" spans="2:32" x14ac:dyDescent="0.3">
      <c r="B32" s="187" t="s">
        <v>111</v>
      </c>
      <c r="C32" s="188" t="s">
        <v>122</v>
      </c>
      <c r="D32" s="188">
        <v>1</v>
      </c>
      <c r="E32" s="188">
        <v>180000</v>
      </c>
      <c r="F32" s="189">
        <f>Tableau4[[#This Row],[Economies totales (m3)]]/Tableau4[[#This Row],[Nombres appareils installés]]</f>
        <v>1068</v>
      </c>
      <c r="G32" s="190">
        <v>1068</v>
      </c>
      <c r="H32" s="188">
        <f t="shared" si="0"/>
        <v>2487.4</v>
      </c>
      <c r="I32" s="188">
        <v>2400</v>
      </c>
      <c r="J32" s="188">
        <f>Tableau4[[#This Row],[Surcoût moyens de l''équipement ($)]]+Tableau4[[#This Row],[Surcoût moyen de l''installation ($)]]</f>
        <v>4887.3999999999996</v>
      </c>
      <c r="K32" s="188">
        <f>Tableau4[[#This Row],[Surcoût par appareil ($)]]*Tableau4[[#This Row],[Nombres appareils installés]]</f>
        <v>4887.3999999999996</v>
      </c>
      <c r="L32" s="190">
        <v>1700</v>
      </c>
      <c r="M32" s="188">
        <f t="shared" si="1"/>
        <v>1800</v>
      </c>
      <c r="N32" s="188">
        <f>Tableau4[[#This Row],[AF 0 ($)]]/Tableau4[[#This Row],[Nombres appareils installés]]</f>
        <v>1800</v>
      </c>
      <c r="O32" s="191">
        <f>(Tableau4[[#This Row],[AF accordée ($)]])/($J$6*D32)</f>
        <v>0.42463905680171854</v>
      </c>
      <c r="P32" s="191">
        <f>Tableau4[[#This Row],[Couverture 0 (%)]]*Tableau4[[#This Row],[Nombres appareils installés]]</f>
        <v>0.42463905680171854</v>
      </c>
      <c r="Q32" s="188">
        <f>($Q$4+$R$4*(Tableau4[[#This Row],[Capacité (BTU)]]/1000))*Tableau4[[#This Row],[Nombres appareils installés]]</f>
        <v>2900</v>
      </c>
      <c r="R32" s="188">
        <f>Tableau4[[#This Row],[AF 1 ($)]]/Tableau4[[#This Row],[Nombres appareils installés]]</f>
        <v>2900</v>
      </c>
      <c r="S32" s="191">
        <f>Tableau4[[#This Row],[AF 1 ($)]]/(J32*D32)</f>
        <v>0.59336252404141265</v>
      </c>
      <c r="T32" s="191">
        <f>Tableau4[[#This Row],[Couverture 1 (%)]]*Tableau4[[#This Row],[Nombres appareils installés]]</f>
        <v>0.59336252404141265</v>
      </c>
      <c r="U32" s="188">
        <f>($U$4+($V$4*(Tableau4[[#This Row],[Capacité (BTU)]]/1000)))*Tableau4[[#This Row],[Nombres appareils installés]]</f>
        <v>3350</v>
      </c>
      <c r="V32" s="188">
        <f>Tableau4[[#This Row],[AF 2 ($)]]/Tableau4[[#This Row],[Nombres appareils installés]]</f>
        <v>3350</v>
      </c>
      <c r="W32" s="192">
        <f>Tableau4[[#This Row],[AF 2 par appareil ($)]]/Tableau4[[#This Row],[Surcoût par appareil ($)]]</f>
        <v>0.68543601915128705</v>
      </c>
      <c r="X32" s="192">
        <f>Tableau4[[#This Row],[Couverture 2 (%)]]*Tableau4[[#This Row],[Nombres appareils installés]]</f>
        <v>0.68543601915128705</v>
      </c>
      <c r="Y32" s="188">
        <f>($Y$4+$Z$4*(Tableau4[[#This Row],[Capacité (BTU)]]/1000))*Tableau4[[#This Row],[Nombres appareils installés]]</f>
        <v>3400</v>
      </c>
      <c r="Z32" s="188">
        <f>Tableau4[[#This Row],[AF 3 ($)]]/Tableau4[[#This Row],[Nombres appareils installés]]</f>
        <v>3400</v>
      </c>
      <c r="AA32" s="193">
        <f>Tableau4[[#This Row],[AF 3 par appareil ($)]]/Tableau4[[#This Row],[Surcoût par appareil ($)]]</f>
        <v>0.69566640749682862</v>
      </c>
      <c r="AB32" s="193">
        <f>Tableau4[[#This Row],[Couverture 3 (%)]]*Tableau4[[#This Row],[Nombres appareils installés]]</f>
        <v>0.69566640749682862</v>
      </c>
      <c r="AC32" s="188">
        <f>($AC$4+$AD$4*(Tableau4[[#This Row],[Capacité (BTU)]]/1000))*Tableau4[[#This Row],[Nombres appareils installés]]</f>
        <v>2920</v>
      </c>
      <c r="AD32" s="188">
        <f>Tableau4[[#This Row],[AF 4 ($)]]/Tableau4[[#This Row],[Nombres appareils installés]]</f>
        <v>2920</v>
      </c>
      <c r="AE32" s="194">
        <f>Tableau4[[#This Row],[Couverture 4 (%)]]*Tableau4[[#This Row],[Nombres appareils installés]]</f>
        <v>0.59745467937962926</v>
      </c>
      <c r="AF32" s="193">
        <f>Tableau4[[#This Row],[AF 4 par appareil  ($)]]/Tableau4[[#This Row],[Surcoût par appareil ($)]]</f>
        <v>0.59745467937962926</v>
      </c>
    </row>
    <row r="33" spans="2:32" x14ac:dyDescent="0.3">
      <c r="B33" s="187" t="s">
        <v>111</v>
      </c>
      <c r="C33" s="188" t="s">
        <v>122</v>
      </c>
      <c r="D33" s="188">
        <v>1</v>
      </c>
      <c r="E33" s="188">
        <v>180000</v>
      </c>
      <c r="F33" s="189">
        <f>Tableau4[[#This Row],[Economies totales (m3)]]/Tableau4[[#This Row],[Nombres appareils installés]]</f>
        <v>1068</v>
      </c>
      <c r="G33" s="190">
        <v>1068</v>
      </c>
      <c r="H33" s="188">
        <f t="shared" si="0"/>
        <v>2487.4</v>
      </c>
      <c r="I33" s="188">
        <v>2400</v>
      </c>
      <c r="J33" s="188">
        <f>Tableau4[[#This Row],[Surcoût moyens de l''équipement ($)]]+Tableau4[[#This Row],[Surcoût moyen de l''installation ($)]]</f>
        <v>4887.3999999999996</v>
      </c>
      <c r="K33" s="188">
        <f>Tableau4[[#This Row],[Surcoût par appareil ($)]]*Tableau4[[#This Row],[Nombres appareils installés]]</f>
        <v>4887.3999999999996</v>
      </c>
      <c r="L33" s="190">
        <v>1700</v>
      </c>
      <c r="M33" s="188">
        <f t="shared" si="1"/>
        <v>1800</v>
      </c>
      <c r="N33" s="188">
        <f>Tableau4[[#This Row],[AF 0 ($)]]/Tableau4[[#This Row],[Nombres appareils installés]]</f>
        <v>1800</v>
      </c>
      <c r="O33" s="191">
        <f>(Tableau4[[#This Row],[AF accordée ($)]])/($J$6*D33)</f>
        <v>0.42463905680171854</v>
      </c>
      <c r="P33" s="191">
        <f>Tableau4[[#This Row],[Couverture 0 (%)]]*Tableau4[[#This Row],[Nombres appareils installés]]</f>
        <v>0.42463905680171854</v>
      </c>
      <c r="Q33" s="188">
        <f>($Q$4+$R$4*(Tableau4[[#This Row],[Capacité (BTU)]]/1000))*Tableau4[[#This Row],[Nombres appareils installés]]</f>
        <v>2900</v>
      </c>
      <c r="R33" s="188">
        <f>Tableau4[[#This Row],[AF 1 ($)]]/Tableau4[[#This Row],[Nombres appareils installés]]</f>
        <v>2900</v>
      </c>
      <c r="S33" s="191">
        <f>Tableau4[[#This Row],[AF 1 ($)]]/(J33*D33)</f>
        <v>0.59336252404141265</v>
      </c>
      <c r="T33" s="191">
        <f>Tableau4[[#This Row],[Couverture 1 (%)]]*Tableau4[[#This Row],[Nombres appareils installés]]</f>
        <v>0.59336252404141265</v>
      </c>
      <c r="U33" s="188">
        <f>($U$4+($V$4*(Tableau4[[#This Row],[Capacité (BTU)]]/1000)))*Tableau4[[#This Row],[Nombres appareils installés]]</f>
        <v>3350</v>
      </c>
      <c r="V33" s="188">
        <f>Tableau4[[#This Row],[AF 2 ($)]]/Tableau4[[#This Row],[Nombres appareils installés]]</f>
        <v>3350</v>
      </c>
      <c r="W33" s="192">
        <f>Tableau4[[#This Row],[AF 2 par appareil ($)]]/Tableau4[[#This Row],[Surcoût par appareil ($)]]</f>
        <v>0.68543601915128705</v>
      </c>
      <c r="X33" s="192">
        <f>Tableau4[[#This Row],[Couverture 2 (%)]]*Tableau4[[#This Row],[Nombres appareils installés]]</f>
        <v>0.68543601915128705</v>
      </c>
      <c r="Y33" s="188">
        <f>($Y$4+$Z$4*(Tableau4[[#This Row],[Capacité (BTU)]]/1000))*Tableau4[[#This Row],[Nombres appareils installés]]</f>
        <v>3400</v>
      </c>
      <c r="Z33" s="188">
        <f>Tableau4[[#This Row],[AF 3 ($)]]/Tableau4[[#This Row],[Nombres appareils installés]]</f>
        <v>3400</v>
      </c>
      <c r="AA33" s="193">
        <f>Tableau4[[#This Row],[AF 3 par appareil ($)]]/Tableau4[[#This Row],[Surcoût par appareil ($)]]</f>
        <v>0.69566640749682862</v>
      </c>
      <c r="AB33" s="193">
        <f>Tableau4[[#This Row],[Couverture 3 (%)]]*Tableau4[[#This Row],[Nombres appareils installés]]</f>
        <v>0.69566640749682862</v>
      </c>
      <c r="AC33" s="188">
        <f>($AC$4+$AD$4*(Tableau4[[#This Row],[Capacité (BTU)]]/1000))*Tableau4[[#This Row],[Nombres appareils installés]]</f>
        <v>2920</v>
      </c>
      <c r="AD33" s="188">
        <f>Tableau4[[#This Row],[AF 4 ($)]]/Tableau4[[#This Row],[Nombres appareils installés]]</f>
        <v>2920</v>
      </c>
      <c r="AE33" s="194">
        <f>Tableau4[[#This Row],[Couverture 4 (%)]]*Tableau4[[#This Row],[Nombres appareils installés]]</f>
        <v>0.59745467937962926</v>
      </c>
      <c r="AF33" s="193">
        <f>Tableau4[[#This Row],[AF 4 par appareil  ($)]]/Tableau4[[#This Row],[Surcoût par appareil ($)]]</f>
        <v>0.59745467937962926</v>
      </c>
    </row>
    <row r="34" spans="2:32" x14ac:dyDescent="0.3">
      <c r="B34" s="187" t="s">
        <v>111</v>
      </c>
      <c r="C34" s="188" t="s">
        <v>122</v>
      </c>
      <c r="D34" s="188">
        <v>1</v>
      </c>
      <c r="E34" s="188">
        <v>180000</v>
      </c>
      <c r="F34" s="189">
        <f>Tableau4[[#This Row],[Economies totales (m3)]]/Tableau4[[#This Row],[Nombres appareils installés]]</f>
        <v>1068</v>
      </c>
      <c r="G34" s="190">
        <v>1068</v>
      </c>
      <c r="H34" s="188">
        <f t="shared" si="0"/>
        <v>2487.4</v>
      </c>
      <c r="I34" s="188">
        <v>2400</v>
      </c>
      <c r="J34" s="188">
        <f>Tableau4[[#This Row],[Surcoût moyens de l''équipement ($)]]+Tableau4[[#This Row],[Surcoût moyen de l''installation ($)]]</f>
        <v>4887.3999999999996</v>
      </c>
      <c r="K34" s="188">
        <f>Tableau4[[#This Row],[Surcoût par appareil ($)]]*Tableau4[[#This Row],[Nombres appareils installés]]</f>
        <v>4887.3999999999996</v>
      </c>
      <c r="L34" s="190">
        <v>1700</v>
      </c>
      <c r="M34" s="188">
        <f t="shared" si="1"/>
        <v>1800</v>
      </c>
      <c r="N34" s="188">
        <f>Tableau4[[#This Row],[AF 0 ($)]]/Tableau4[[#This Row],[Nombres appareils installés]]</f>
        <v>1800</v>
      </c>
      <c r="O34" s="191">
        <f>(Tableau4[[#This Row],[AF accordée ($)]])/($J$6*D34)</f>
        <v>0.42463905680171854</v>
      </c>
      <c r="P34" s="191">
        <f>Tableau4[[#This Row],[Couverture 0 (%)]]*Tableau4[[#This Row],[Nombres appareils installés]]</f>
        <v>0.42463905680171854</v>
      </c>
      <c r="Q34" s="188">
        <f>($Q$4+$R$4*(Tableau4[[#This Row],[Capacité (BTU)]]/1000))*Tableau4[[#This Row],[Nombres appareils installés]]</f>
        <v>2900</v>
      </c>
      <c r="R34" s="188">
        <f>Tableau4[[#This Row],[AF 1 ($)]]/Tableau4[[#This Row],[Nombres appareils installés]]</f>
        <v>2900</v>
      </c>
      <c r="S34" s="191">
        <f>Tableau4[[#This Row],[AF 1 ($)]]/(J34*D34)</f>
        <v>0.59336252404141265</v>
      </c>
      <c r="T34" s="191">
        <f>Tableau4[[#This Row],[Couverture 1 (%)]]*Tableau4[[#This Row],[Nombres appareils installés]]</f>
        <v>0.59336252404141265</v>
      </c>
      <c r="U34" s="188">
        <f>($U$4+($V$4*(Tableau4[[#This Row],[Capacité (BTU)]]/1000)))*Tableau4[[#This Row],[Nombres appareils installés]]</f>
        <v>3350</v>
      </c>
      <c r="V34" s="188">
        <f>Tableau4[[#This Row],[AF 2 ($)]]/Tableau4[[#This Row],[Nombres appareils installés]]</f>
        <v>3350</v>
      </c>
      <c r="W34" s="192">
        <f>Tableau4[[#This Row],[AF 2 par appareil ($)]]/Tableau4[[#This Row],[Surcoût par appareil ($)]]</f>
        <v>0.68543601915128705</v>
      </c>
      <c r="X34" s="192">
        <f>Tableau4[[#This Row],[Couverture 2 (%)]]*Tableau4[[#This Row],[Nombres appareils installés]]</f>
        <v>0.68543601915128705</v>
      </c>
      <c r="Y34" s="188">
        <f>($Y$4+$Z$4*(Tableau4[[#This Row],[Capacité (BTU)]]/1000))*Tableau4[[#This Row],[Nombres appareils installés]]</f>
        <v>3400</v>
      </c>
      <c r="Z34" s="188">
        <f>Tableau4[[#This Row],[AF 3 ($)]]/Tableau4[[#This Row],[Nombres appareils installés]]</f>
        <v>3400</v>
      </c>
      <c r="AA34" s="193">
        <f>Tableau4[[#This Row],[AF 3 par appareil ($)]]/Tableau4[[#This Row],[Surcoût par appareil ($)]]</f>
        <v>0.69566640749682862</v>
      </c>
      <c r="AB34" s="193">
        <f>Tableau4[[#This Row],[Couverture 3 (%)]]*Tableau4[[#This Row],[Nombres appareils installés]]</f>
        <v>0.69566640749682862</v>
      </c>
      <c r="AC34" s="188">
        <f>($AC$4+$AD$4*(Tableau4[[#This Row],[Capacité (BTU)]]/1000))*Tableau4[[#This Row],[Nombres appareils installés]]</f>
        <v>2920</v>
      </c>
      <c r="AD34" s="188">
        <f>Tableau4[[#This Row],[AF 4 ($)]]/Tableau4[[#This Row],[Nombres appareils installés]]</f>
        <v>2920</v>
      </c>
      <c r="AE34" s="194">
        <f>Tableau4[[#This Row],[Couverture 4 (%)]]*Tableau4[[#This Row],[Nombres appareils installés]]</f>
        <v>0.59745467937962926</v>
      </c>
      <c r="AF34" s="193">
        <f>Tableau4[[#This Row],[AF 4 par appareil  ($)]]/Tableau4[[#This Row],[Surcoût par appareil ($)]]</f>
        <v>0.59745467937962926</v>
      </c>
    </row>
    <row r="35" spans="2:32" x14ac:dyDescent="0.3">
      <c r="B35" s="187" t="s">
        <v>111</v>
      </c>
      <c r="C35" s="188" t="s">
        <v>122</v>
      </c>
      <c r="D35" s="188">
        <v>1</v>
      </c>
      <c r="E35" s="188">
        <v>180000</v>
      </c>
      <c r="F35" s="189">
        <f>Tableau4[[#This Row],[Economies totales (m3)]]/Tableau4[[#This Row],[Nombres appareils installés]]</f>
        <v>1068</v>
      </c>
      <c r="G35" s="190">
        <v>1068</v>
      </c>
      <c r="H35" s="188">
        <f t="shared" si="0"/>
        <v>2487.4</v>
      </c>
      <c r="I35" s="188">
        <v>2400</v>
      </c>
      <c r="J35" s="188">
        <f>Tableau4[[#This Row],[Surcoût moyens de l''équipement ($)]]+Tableau4[[#This Row],[Surcoût moyen de l''installation ($)]]</f>
        <v>4887.3999999999996</v>
      </c>
      <c r="K35" s="188">
        <f>Tableau4[[#This Row],[Surcoût par appareil ($)]]*Tableau4[[#This Row],[Nombres appareils installés]]</f>
        <v>4887.3999999999996</v>
      </c>
      <c r="L35" s="190">
        <v>1700</v>
      </c>
      <c r="M35" s="188">
        <f t="shared" si="1"/>
        <v>1800</v>
      </c>
      <c r="N35" s="188">
        <f>Tableau4[[#This Row],[AF 0 ($)]]/Tableau4[[#This Row],[Nombres appareils installés]]</f>
        <v>1800</v>
      </c>
      <c r="O35" s="191">
        <f>(Tableau4[[#This Row],[AF accordée ($)]])/($J$6*D35)</f>
        <v>0.42463905680171854</v>
      </c>
      <c r="P35" s="191">
        <f>Tableau4[[#This Row],[Couverture 0 (%)]]*Tableau4[[#This Row],[Nombres appareils installés]]</f>
        <v>0.42463905680171854</v>
      </c>
      <c r="Q35" s="188">
        <f>($Q$4+$R$4*(Tableau4[[#This Row],[Capacité (BTU)]]/1000))*Tableau4[[#This Row],[Nombres appareils installés]]</f>
        <v>2900</v>
      </c>
      <c r="R35" s="188">
        <f>Tableau4[[#This Row],[AF 1 ($)]]/Tableau4[[#This Row],[Nombres appareils installés]]</f>
        <v>2900</v>
      </c>
      <c r="S35" s="191">
        <f>Tableau4[[#This Row],[AF 1 ($)]]/(J35*D35)</f>
        <v>0.59336252404141265</v>
      </c>
      <c r="T35" s="191">
        <f>Tableau4[[#This Row],[Couverture 1 (%)]]*Tableau4[[#This Row],[Nombres appareils installés]]</f>
        <v>0.59336252404141265</v>
      </c>
      <c r="U35" s="188">
        <f>($U$4+($V$4*(Tableau4[[#This Row],[Capacité (BTU)]]/1000)))*Tableau4[[#This Row],[Nombres appareils installés]]</f>
        <v>3350</v>
      </c>
      <c r="V35" s="188">
        <f>Tableau4[[#This Row],[AF 2 ($)]]/Tableau4[[#This Row],[Nombres appareils installés]]</f>
        <v>3350</v>
      </c>
      <c r="W35" s="192">
        <f>Tableau4[[#This Row],[AF 2 par appareil ($)]]/Tableau4[[#This Row],[Surcoût par appareil ($)]]</f>
        <v>0.68543601915128705</v>
      </c>
      <c r="X35" s="192">
        <f>Tableau4[[#This Row],[Couverture 2 (%)]]*Tableau4[[#This Row],[Nombres appareils installés]]</f>
        <v>0.68543601915128705</v>
      </c>
      <c r="Y35" s="188">
        <f>($Y$4+$Z$4*(Tableau4[[#This Row],[Capacité (BTU)]]/1000))*Tableau4[[#This Row],[Nombres appareils installés]]</f>
        <v>3400</v>
      </c>
      <c r="Z35" s="188">
        <f>Tableau4[[#This Row],[AF 3 ($)]]/Tableau4[[#This Row],[Nombres appareils installés]]</f>
        <v>3400</v>
      </c>
      <c r="AA35" s="193">
        <f>Tableau4[[#This Row],[AF 3 par appareil ($)]]/Tableau4[[#This Row],[Surcoût par appareil ($)]]</f>
        <v>0.69566640749682862</v>
      </c>
      <c r="AB35" s="193">
        <f>Tableau4[[#This Row],[Couverture 3 (%)]]*Tableau4[[#This Row],[Nombres appareils installés]]</f>
        <v>0.69566640749682862</v>
      </c>
      <c r="AC35" s="188">
        <f>($AC$4+$AD$4*(Tableau4[[#This Row],[Capacité (BTU)]]/1000))*Tableau4[[#This Row],[Nombres appareils installés]]</f>
        <v>2920</v>
      </c>
      <c r="AD35" s="188">
        <f>Tableau4[[#This Row],[AF 4 ($)]]/Tableau4[[#This Row],[Nombres appareils installés]]</f>
        <v>2920</v>
      </c>
      <c r="AE35" s="194">
        <f>Tableau4[[#This Row],[Couverture 4 (%)]]*Tableau4[[#This Row],[Nombres appareils installés]]</f>
        <v>0.59745467937962926</v>
      </c>
      <c r="AF35" s="193">
        <f>Tableau4[[#This Row],[AF 4 par appareil  ($)]]/Tableau4[[#This Row],[Surcoût par appareil ($)]]</f>
        <v>0.59745467937962926</v>
      </c>
    </row>
    <row r="36" spans="2:32" x14ac:dyDescent="0.3">
      <c r="B36" s="187" t="s">
        <v>111</v>
      </c>
      <c r="C36" s="188" t="s">
        <v>131</v>
      </c>
      <c r="D36" s="188">
        <v>2</v>
      </c>
      <c r="E36" s="188">
        <v>180000</v>
      </c>
      <c r="F36" s="189">
        <f>Tableau4[[#This Row],[Economies totales (m3)]]/Tableau4[[#This Row],[Nombres appareils installés]]</f>
        <v>1068</v>
      </c>
      <c r="G36" s="190">
        <v>2136</v>
      </c>
      <c r="H36" s="188">
        <f t="shared" si="0"/>
        <v>2487.4</v>
      </c>
      <c r="I36" s="188">
        <v>2400</v>
      </c>
      <c r="J36" s="188">
        <f>Tableau4[[#This Row],[Surcoût moyens de l''équipement ($)]]+Tableau4[[#This Row],[Surcoût moyen de l''installation ($)]]</f>
        <v>4887.3999999999996</v>
      </c>
      <c r="K36" s="188">
        <f>Tableau4[[#This Row],[Surcoût par appareil ($)]]*Tableau4[[#This Row],[Nombres appareils installés]]</f>
        <v>9774.7999999999993</v>
      </c>
      <c r="L36" s="190">
        <v>3400</v>
      </c>
      <c r="M36" s="188">
        <f t="shared" si="1"/>
        <v>3600</v>
      </c>
      <c r="N36" s="188">
        <f>Tableau4[[#This Row],[AF 0 ($)]]/Tableau4[[#This Row],[Nombres appareils installés]]</f>
        <v>1800</v>
      </c>
      <c r="O36" s="191">
        <f>(Tableau4[[#This Row],[AF accordée ($)]])/($J$6*D36)</f>
        <v>0.42463905680171854</v>
      </c>
      <c r="P36" s="191">
        <f>Tableau4[[#This Row],[Couverture 0 (%)]]*Tableau4[[#This Row],[Nombres appareils installés]]</f>
        <v>0.84927811360343708</v>
      </c>
      <c r="Q36" s="188">
        <f>($Q$4+$R$4*(Tableau4[[#This Row],[Capacité (BTU)]]/1000))*Tableau4[[#This Row],[Nombres appareils installés]]</f>
        <v>5800</v>
      </c>
      <c r="R36" s="188">
        <f>Tableau4[[#This Row],[AF 1 ($)]]/Tableau4[[#This Row],[Nombres appareils installés]]</f>
        <v>2900</v>
      </c>
      <c r="S36" s="191">
        <f>Tableau4[[#This Row],[AF 1 ($)]]/(J36*D36)</f>
        <v>0.59336252404141265</v>
      </c>
      <c r="T36" s="191">
        <f>Tableau4[[#This Row],[Couverture 1 (%)]]*Tableau4[[#This Row],[Nombres appareils installés]]</f>
        <v>1.1867250480828253</v>
      </c>
      <c r="U36" s="188">
        <f>($U$4+($V$4*(Tableau4[[#This Row],[Capacité (BTU)]]/1000)))*Tableau4[[#This Row],[Nombres appareils installés]]</f>
        <v>6700</v>
      </c>
      <c r="V36" s="188">
        <f>Tableau4[[#This Row],[AF 2 ($)]]/Tableau4[[#This Row],[Nombres appareils installés]]</f>
        <v>3350</v>
      </c>
      <c r="W36" s="192">
        <f>Tableau4[[#This Row],[AF 2 par appareil ($)]]/Tableau4[[#This Row],[Surcoût par appareil ($)]]</f>
        <v>0.68543601915128705</v>
      </c>
      <c r="X36" s="192">
        <f>Tableau4[[#This Row],[Couverture 2 (%)]]*Tableau4[[#This Row],[Nombres appareils installés]]</f>
        <v>1.3708720383025741</v>
      </c>
      <c r="Y36" s="188">
        <f>($Y$4+$Z$4*(Tableau4[[#This Row],[Capacité (BTU)]]/1000))*Tableau4[[#This Row],[Nombres appareils installés]]</f>
        <v>6800</v>
      </c>
      <c r="Z36" s="188">
        <f>Tableau4[[#This Row],[AF 3 ($)]]/Tableau4[[#This Row],[Nombres appareils installés]]</f>
        <v>3400</v>
      </c>
      <c r="AA36" s="193">
        <f>Tableau4[[#This Row],[AF 3 par appareil ($)]]/Tableau4[[#This Row],[Surcoût par appareil ($)]]</f>
        <v>0.69566640749682862</v>
      </c>
      <c r="AB36" s="193">
        <f>Tableau4[[#This Row],[Couverture 3 (%)]]*Tableau4[[#This Row],[Nombres appareils installés]]</f>
        <v>1.3913328149936572</v>
      </c>
      <c r="AC36" s="188">
        <f>($AC$4+$AD$4*(Tableau4[[#This Row],[Capacité (BTU)]]/1000))*Tableau4[[#This Row],[Nombres appareils installés]]</f>
        <v>5840</v>
      </c>
      <c r="AD36" s="188">
        <f>Tableau4[[#This Row],[AF 4 ($)]]/Tableau4[[#This Row],[Nombres appareils installés]]</f>
        <v>2920</v>
      </c>
      <c r="AE36" s="194">
        <f>Tableau4[[#This Row],[Couverture 4 (%)]]*Tableau4[[#This Row],[Nombres appareils installés]]</f>
        <v>1.1949093587592585</v>
      </c>
      <c r="AF36" s="193">
        <f>Tableau4[[#This Row],[AF 4 par appareil  ($)]]/Tableau4[[#This Row],[Surcoût par appareil ($)]]</f>
        <v>0.59745467937962926</v>
      </c>
    </row>
    <row r="37" spans="2:32" x14ac:dyDescent="0.3">
      <c r="B37" s="187" t="s">
        <v>111</v>
      </c>
      <c r="C37" s="188" t="s">
        <v>132</v>
      </c>
      <c r="D37" s="188">
        <v>2</v>
      </c>
      <c r="E37" s="188">
        <v>180000</v>
      </c>
      <c r="F37" s="189">
        <f>Tableau4[[#This Row],[Economies totales (m3)]]/Tableau4[[#This Row],[Nombres appareils installés]]</f>
        <v>1068</v>
      </c>
      <c r="G37" s="190">
        <v>2136</v>
      </c>
      <c r="H37" s="188">
        <f t="shared" si="0"/>
        <v>2487.4</v>
      </c>
      <c r="I37" s="188">
        <v>2400</v>
      </c>
      <c r="J37" s="188">
        <f>Tableau4[[#This Row],[Surcoût moyens de l''équipement ($)]]+Tableau4[[#This Row],[Surcoût moyen de l''installation ($)]]</f>
        <v>4887.3999999999996</v>
      </c>
      <c r="K37" s="188">
        <f>Tableau4[[#This Row],[Surcoût par appareil ($)]]*Tableau4[[#This Row],[Nombres appareils installés]]</f>
        <v>9774.7999999999993</v>
      </c>
      <c r="L37" s="190">
        <v>3400</v>
      </c>
      <c r="M37" s="188">
        <f t="shared" si="1"/>
        <v>3600</v>
      </c>
      <c r="N37" s="188">
        <f>Tableau4[[#This Row],[AF 0 ($)]]/Tableau4[[#This Row],[Nombres appareils installés]]</f>
        <v>1800</v>
      </c>
      <c r="O37" s="191">
        <f>(Tableau4[[#This Row],[AF accordée ($)]])/($J$6*D37)</f>
        <v>0.42463905680171854</v>
      </c>
      <c r="P37" s="191">
        <f>Tableau4[[#This Row],[Couverture 0 (%)]]*Tableau4[[#This Row],[Nombres appareils installés]]</f>
        <v>0.84927811360343708</v>
      </c>
      <c r="Q37" s="188">
        <f>($Q$4+$R$4*(Tableau4[[#This Row],[Capacité (BTU)]]/1000))*Tableau4[[#This Row],[Nombres appareils installés]]</f>
        <v>5800</v>
      </c>
      <c r="R37" s="188">
        <f>Tableau4[[#This Row],[AF 1 ($)]]/Tableau4[[#This Row],[Nombres appareils installés]]</f>
        <v>2900</v>
      </c>
      <c r="S37" s="191">
        <f>Tableau4[[#This Row],[AF 1 ($)]]/(J37*D37)</f>
        <v>0.59336252404141265</v>
      </c>
      <c r="T37" s="191">
        <f>Tableau4[[#This Row],[Couverture 1 (%)]]*Tableau4[[#This Row],[Nombres appareils installés]]</f>
        <v>1.1867250480828253</v>
      </c>
      <c r="U37" s="188">
        <f>($U$4+($V$4*(Tableau4[[#This Row],[Capacité (BTU)]]/1000)))*Tableau4[[#This Row],[Nombres appareils installés]]</f>
        <v>6700</v>
      </c>
      <c r="V37" s="188">
        <f>Tableau4[[#This Row],[AF 2 ($)]]/Tableau4[[#This Row],[Nombres appareils installés]]</f>
        <v>3350</v>
      </c>
      <c r="W37" s="192">
        <f>Tableau4[[#This Row],[AF 2 par appareil ($)]]/Tableau4[[#This Row],[Surcoût par appareil ($)]]</f>
        <v>0.68543601915128705</v>
      </c>
      <c r="X37" s="192">
        <f>Tableau4[[#This Row],[Couverture 2 (%)]]*Tableau4[[#This Row],[Nombres appareils installés]]</f>
        <v>1.3708720383025741</v>
      </c>
      <c r="Y37" s="188">
        <f>($Y$4+$Z$4*(Tableau4[[#This Row],[Capacité (BTU)]]/1000))*Tableau4[[#This Row],[Nombres appareils installés]]</f>
        <v>6800</v>
      </c>
      <c r="Z37" s="188">
        <f>Tableau4[[#This Row],[AF 3 ($)]]/Tableau4[[#This Row],[Nombres appareils installés]]</f>
        <v>3400</v>
      </c>
      <c r="AA37" s="193">
        <f>Tableau4[[#This Row],[AF 3 par appareil ($)]]/Tableau4[[#This Row],[Surcoût par appareil ($)]]</f>
        <v>0.69566640749682862</v>
      </c>
      <c r="AB37" s="193">
        <f>Tableau4[[#This Row],[Couverture 3 (%)]]*Tableau4[[#This Row],[Nombres appareils installés]]</f>
        <v>1.3913328149936572</v>
      </c>
      <c r="AC37" s="188">
        <f>($AC$4+$AD$4*(Tableau4[[#This Row],[Capacité (BTU)]]/1000))*Tableau4[[#This Row],[Nombres appareils installés]]</f>
        <v>5840</v>
      </c>
      <c r="AD37" s="188">
        <f>Tableau4[[#This Row],[AF 4 ($)]]/Tableau4[[#This Row],[Nombres appareils installés]]</f>
        <v>2920</v>
      </c>
      <c r="AE37" s="194">
        <f>Tableau4[[#This Row],[Couverture 4 (%)]]*Tableau4[[#This Row],[Nombres appareils installés]]</f>
        <v>1.1949093587592585</v>
      </c>
      <c r="AF37" s="193">
        <f>Tableau4[[#This Row],[AF 4 par appareil  ($)]]/Tableau4[[#This Row],[Surcoût par appareil ($)]]</f>
        <v>0.59745467937962926</v>
      </c>
    </row>
    <row r="38" spans="2:32" x14ac:dyDescent="0.3">
      <c r="B38" s="187" t="s">
        <v>111</v>
      </c>
      <c r="C38" s="188" t="s">
        <v>133</v>
      </c>
      <c r="D38" s="188">
        <v>2</v>
      </c>
      <c r="E38" s="188">
        <v>180000</v>
      </c>
      <c r="F38" s="189">
        <f>Tableau4[[#This Row],[Economies totales (m3)]]/Tableau4[[#This Row],[Nombres appareils installés]]</f>
        <v>1068</v>
      </c>
      <c r="G38" s="190">
        <v>2136</v>
      </c>
      <c r="H38" s="188">
        <f t="shared" si="0"/>
        <v>2487.4</v>
      </c>
      <c r="I38" s="188">
        <v>2400</v>
      </c>
      <c r="J38" s="188">
        <f>Tableau4[[#This Row],[Surcoût moyens de l''équipement ($)]]+Tableau4[[#This Row],[Surcoût moyen de l''installation ($)]]</f>
        <v>4887.3999999999996</v>
      </c>
      <c r="K38" s="188">
        <f>Tableau4[[#This Row],[Surcoût par appareil ($)]]*Tableau4[[#This Row],[Nombres appareils installés]]</f>
        <v>9774.7999999999993</v>
      </c>
      <c r="L38" s="190">
        <v>3400</v>
      </c>
      <c r="M38" s="188">
        <f t="shared" si="1"/>
        <v>3600</v>
      </c>
      <c r="N38" s="188">
        <f>Tableau4[[#This Row],[AF 0 ($)]]/Tableau4[[#This Row],[Nombres appareils installés]]</f>
        <v>1800</v>
      </c>
      <c r="O38" s="191">
        <f>(Tableau4[[#This Row],[AF accordée ($)]])/($J$6*D38)</f>
        <v>0.42463905680171854</v>
      </c>
      <c r="P38" s="191">
        <f>Tableau4[[#This Row],[Couverture 0 (%)]]*Tableau4[[#This Row],[Nombres appareils installés]]</f>
        <v>0.84927811360343708</v>
      </c>
      <c r="Q38" s="188">
        <f>($Q$4+$R$4*(Tableau4[[#This Row],[Capacité (BTU)]]/1000))*Tableau4[[#This Row],[Nombres appareils installés]]</f>
        <v>5800</v>
      </c>
      <c r="R38" s="188">
        <f>Tableau4[[#This Row],[AF 1 ($)]]/Tableau4[[#This Row],[Nombres appareils installés]]</f>
        <v>2900</v>
      </c>
      <c r="S38" s="191">
        <f>Tableau4[[#This Row],[AF 1 ($)]]/(J38*D38)</f>
        <v>0.59336252404141265</v>
      </c>
      <c r="T38" s="191">
        <f>Tableau4[[#This Row],[Couverture 1 (%)]]*Tableau4[[#This Row],[Nombres appareils installés]]</f>
        <v>1.1867250480828253</v>
      </c>
      <c r="U38" s="188">
        <f>($U$4+($V$4*(Tableau4[[#This Row],[Capacité (BTU)]]/1000)))*Tableau4[[#This Row],[Nombres appareils installés]]</f>
        <v>6700</v>
      </c>
      <c r="V38" s="188">
        <f>Tableau4[[#This Row],[AF 2 ($)]]/Tableau4[[#This Row],[Nombres appareils installés]]</f>
        <v>3350</v>
      </c>
      <c r="W38" s="192">
        <f>Tableau4[[#This Row],[AF 2 par appareil ($)]]/Tableau4[[#This Row],[Surcoût par appareil ($)]]</f>
        <v>0.68543601915128705</v>
      </c>
      <c r="X38" s="192">
        <f>Tableau4[[#This Row],[Couverture 2 (%)]]*Tableau4[[#This Row],[Nombres appareils installés]]</f>
        <v>1.3708720383025741</v>
      </c>
      <c r="Y38" s="188">
        <f>($Y$4+$Z$4*(Tableau4[[#This Row],[Capacité (BTU)]]/1000))*Tableau4[[#This Row],[Nombres appareils installés]]</f>
        <v>6800</v>
      </c>
      <c r="Z38" s="188">
        <f>Tableau4[[#This Row],[AF 3 ($)]]/Tableau4[[#This Row],[Nombres appareils installés]]</f>
        <v>3400</v>
      </c>
      <c r="AA38" s="193">
        <f>Tableau4[[#This Row],[AF 3 par appareil ($)]]/Tableau4[[#This Row],[Surcoût par appareil ($)]]</f>
        <v>0.69566640749682862</v>
      </c>
      <c r="AB38" s="193">
        <f>Tableau4[[#This Row],[Couverture 3 (%)]]*Tableau4[[#This Row],[Nombres appareils installés]]</f>
        <v>1.3913328149936572</v>
      </c>
      <c r="AC38" s="188">
        <f>($AC$4+$AD$4*(Tableau4[[#This Row],[Capacité (BTU)]]/1000))*Tableau4[[#This Row],[Nombres appareils installés]]</f>
        <v>5840</v>
      </c>
      <c r="AD38" s="188">
        <f>Tableau4[[#This Row],[AF 4 ($)]]/Tableau4[[#This Row],[Nombres appareils installés]]</f>
        <v>2920</v>
      </c>
      <c r="AE38" s="194">
        <f>Tableau4[[#This Row],[Couverture 4 (%)]]*Tableau4[[#This Row],[Nombres appareils installés]]</f>
        <v>1.1949093587592585</v>
      </c>
      <c r="AF38" s="193">
        <f>Tableau4[[#This Row],[AF 4 par appareil  ($)]]/Tableau4[[#This Row],[Surcoût par appareil ($)]]</f>
        <v>0.59745467937962926</v>
      </c>
    </row>
    <row r="39" spans="2:32" x14ac:dyDescent="0.3">
      <c r="B39" s="187" t="s">
        <v>111</v>
      </c>
      <c r="C39" s="188" t="s">
        <v>122</v>
      </c>
      <c r="D39" s="188">
        <v>2</v>
      </c>
      <c r="E39" s="188">
        <v>180000</v>
      </c>
      <c r="F39" s="189">
        <f>Tableau4[[#This Row],[Economies totales (m3)]]/Tableau4[[#This Row],[Nombres appareils installés]]</f>
        <v>1068</v>
      </c>
      <c r="G39" s="190">
        <v>2136</v>
      </c>
      <c r="H39" s="188">
        <f t="shared" si="0"/>
        <v>2487.4</v>
      </c>
      <c r="I39" s="188">
        <v>2400</v>
      </c>
      <c r="J39" s="188">
        <f>Tableau4[[#This Row],[Surcoût moyens de l''équipement ($)]]+Tableau4[[#This Row],[Surcoût moyen de l''installation ($)]]</f>
        <v>4887.3999999999996</v>
      </c>
      <c r="K39" s="188">
        <f>Tableau4[[#This Row],[Surcoût par appareil ($)]]*Tableau4[[#This Row],[Nombres appareils installés]]</f>
        <v>9774.7999999999993</v>
      </c>
      <c r="L39" s="190">
        <v>3400</v>
      </c>
      <c r="M39" s="188">
        <f t="shared" si="1"/>
        <v>3600</v>
      </c>
      <c r="N39" s="188">
        <f>Tableau4[[#This Row],[AF 0 ($)]]/Tableau4[[#This Row],[Nombres appareils installés]]</f>
        <v>1800</v>
      </c>
      <c r="O39" s="191">
        <f>(Tableau4[[#This Row],[AF accordée ($)]])/($J$6*D39)</f>
        <v>0.42463905680171854</v>
      </c>
      <c r="P39" s="191">
        <f>Tableau4[[#This Row],[Couverture 0 (%)]]*Tableau4[[#This Row],[Nombres appareils installés]]</f>
        <v>0.84927811360343708</v>
      </c>
      <c r="Q39" s="188">
        <f>($Q$4+$R$4*(Tableau4[[#This Row],[Capacité (BTU)]]/1000))*Tableau4[[#This Row],[Nombres appareils installés]]</f>
        <v>5800</v>
      </c>
      <c r="R39" s="188">
        <f>Tableau4[[#This Row],[AF 1 ($)]]/Tableau4[[#This Row],[Nombres appareils installés]]</f>
        <v>2900</v>
      </c>
      <c r="S39" s="191">
        <f>Tableau4[[#This Row],[AF 1 ($)]]/(J39*D39)</f>
        <v>0.59336252404141265</v>
      </c>
      <c r="T39" s="191">
        <f>Tableau4[[#This Row],[Couverture 1 (%)]]*Tableau4[[#This Row],[Nombres appareils installés]]</f>
        <v>1.1867250480828253</v>
      </c>
      <c r="U39" s="188">
        <f>($U$4+($V$4*(Tableau4[[#This Row],[Capacité (BTU)]]/1000)))*Tableau4[[#This Row],[Nombres appareils installés]]</f>
        <v>6700</v>
      </c>
      <c r="V39" s="188">
        <f>Tableau4[[#This Row],[AF 2 ($)]]/Tableau4[[#This Row],[Nombres appareils installés]]</f>
        <v>3350</v>
      </c>
      <c r="W39" s="192">
        <f>Tableau4[[#This Row],[AF 2 par appareil ($)]]/Tableau4[[#This Row],[Surcoût par appareil ($)]]</f>
        <v>0.68543601915128705</v>
      </c>
      <c r="X39" s="192">
        <f>Tableau4[[#This Row],[Couverture 2 (%)]]*Tableau4[[#This Row],[Nombres appareils installés]]</f>
        <v>1.3708720383025741</v>
      </c>
      <c r="Y39" s="188">
        <f>($Y$4+$Z$4*(Tableau4[[#This Row],[Capacité (BTU)]]/1000))*Tableau4[[#This Row],[Nombres appareils installés]]</f>
        <v>6800</v>
      </c>
      <c r="Z39" s="188">
        <f>Tableau4[[#This Row],[AF 3 ($)]]/Tableau4[[#This Row],[Nombres appareils installés]]</f>
        <v>3400</v>
      </c>
      <c r="AA39" s="193">
        <f>Tableau4[[#This Row],[AF 3 par appareil ($)]]/Tableau4[[#This Row],[Surcoût par appareil ($)]]</f>
        <v>0.69566640749682862</v>
      </c>
      <c r="AB39" s="193">
        <f>Tableau4[[#This Row],[Couverture 3 (%)]]*Tableau4[[#This Row],[Nombres appareils installés]]</f>
        <v>1.3913328149936572</v>
      </c>
      <c r="AC39" s="188">
        <f>($AC$4+$AD$4*(Tableau4[[#This Row],[Capacité (BTU)]]/1000))*Tableau4[[#This Row],[Nombres appareils installés]]</f>
        <v>5840</v>
      </c>
      <c r="AD39" s="188">
        <f>Tableau4[[#This Row],[AF 4 ($)]]/Tableau4[[#This Row],[Nombres appareils installés]]</f>
        <v>2920</v>
      </c>
      <c r="AE39" s="194">
        <f>Tableau4[[#This Row],[Couverture 4 (%)]]*Tableau4[[#This Row],[Nombres appareils installés]]</f>
        <v>1.1949093587592585</v>
      </c>
      <c r="AF39" s="193">
        <f>Tableau4[[#This Row],[AF 4 par appareil  ($)]]/Tableau4[[#This Row],[Surcoût par appareil ($)]]</f>
        <v>0.59745467937962926</v>
      </c>
    </row>
    <row r="40" spans="2:32" x14ac:dyDescent="0.3">
      <c r="B40" s="187" t="s">
        <v>111</v>
      </c>
      <c r="C40" s="188" t="s">
        <v>124</v>
      </c>
      <c r="D40" s="188">
        <v>3</v>
      </c>
      <c r="E40" s="188">
        <v>180000</v>
      </c>
      <c r="F40" s="189">
        <f>Tableau4[[#This Row],[Economies totales (m3)]]/Tableau4[[#This Row],[Nombres appareils installés]]</f>
        <v>1068</v>
      </c>
      <c r="G40" s="190">
        <v>3204</v>
      </c>
      <c r="H40" s="188">
        <f t="shared" si="0"/>
        <v>2487.4</v>
      </c>
      <c r="I40" s="188">
        <v>2400</v>
      </c>
      <c r="J40" s="188">
        <f>Tableau4[[#This Row],[Surcoût moyens de l''équipement ($)]]+Tableau4[[#This Row],[Surcoût moyen de l''installation ($)]]</f>
        <v>4887.3999999999996</v>
      </c>
      <c r="K40" s="188">
        <f>Tableau4[[#This Row],[Surcoût par appareil ($)]]*Tableau4[[#This Row],[Nombres appareils installés]]</f>
        <v>14662.199999999999</v>
      </c>
      <c r="L40" s="190">
        <v>5100</v>
      </c>
      <c r="M40" s="188">
        <f t="shared" si="1"/>
        <v>5400</v>
      </c>
      <c r="N40" s="188">
        <f>Tableau4[[#This Row],[AF 0 ($)]]/Tableau4[[#This Row],[Nombres appareils installés]]</f>
        <v>1800</v>
      </c>
      <c r="O40" s="191">
        <f>(Tableau4[[#This Row],[AF accordée ($)]])/($J$6*D40)</f>
        <v>0.42463905680171854</v>
      </c>
      <c r="P40" s="191">
        <f>Tableau4[[#This Row],[Couverture 0 (%)]]*Tableau4[[#This Row],[Nombres appareils installés]]</f>
        <v>1.2739171704051557</v>
      </c>
      <c r="Q40" s="188">
        <f>($Q$4+$R$4*(Tableau4[[#This Row],[Capacité (BTU)]]/1000))*Tableau4[[#This Row],[Nombres appareils installés]]</f>
        <v>8700</v>
      </c>
      <c r="R40" s="188">
        <f>Tableau4[[#This Row],[AF 1 ($)]]/Tableau4[[#This Row],[Nombres appareils installés]]</f>
        <v>2900</v>
      </c>
      <c r="S40" s="191">
        <f>Tableau4[[#This Row],[AF 1 ($)]]/(J40*D40)</f>
        <v>0.59336252404141265</v>
      </c>
      <c r="T40" s="191">
        <f>Tableau4[[#This Row],[Couverture 1 (%)]]*Tableau4[[#This Row],[Nombres appareils installés]]</f>
        <v>1.780087572124238</v>
      </c>
      <c r="U40" s="188">
        <f>($U$4+($V$4*(Tableau4[[#This Row],[Capacité (BTU)]]/1000)))*Tableau4[[#This Row],[Nombres appareils installés]]</f>
        <v>10050</v>
      </c>
      <c r="V40" s="188">
        <f>Tableau4[[#This Row],[AF 2 ($)]]/Tableau4[[#This Row],[Nombres appareils installés]]</f>
        <v>3350</v>
      </c>
      <c r="W40" s="192">
        <f>Tableau4[[#This Row],[AF 2 par appareil ($)]]/Tableau4[[#This Row],[Surcoût par appareil ($)]]</f>
        <v>0.68543601915128705</v>
      </c>
      <c r="X40" s="192">
        <f>Tableau4[[#This Row],[Couverture 2 (%)]]*Tableau4[[#This Row],[Nombres appareils installés]]</f>
        <v>2.0563080574538612</v>
      </c>
      <c r="Y40" s="188">
        <f>($Y$4+$Z$4*(Tableau4[[#This Row],[Capacité (BTU)]]/1000))*Tableau4[[#This Row],[Nombres appareils installés]]</f>
        <v>10200</v>
      </c>
      <c r="Z40" s="188">
        <f>Tableau4[[#This Row],[AF 3 ($)]]/Tableau4[[#This Row],[Nombres appareils installés]]</f>
        <v>3400</v>
      </c>
      <c r="AA40" s="193">
        <f>Tableau4[[#This Row],[AF 3 par appareil ($)]]/Tableau4[[#This Row],[Surcoût par appareil ($)]]</f>
        <v>0.69566640749682862</v>
      </c>
      <c r="AB40" s="193">
        <f>Tableau4[[#This Row],[Couverture 3 (%)]]*Tableau4[[#This Row],[Nombres appareils installés]]</f>
        <v>2.0869992224904861</v>
      </c>
      <c r="AC40" s="188">
        <f>($AC$4+$AD$4*(Tableau4[[#This Row],[Capacité (BTU)]]/1000))*Tableau4[[#This Row],[Nombres appareils installés]]</f>
        <v>8760</v>
      </c>
      <c r="AD40" s="188">
        <f>Tableau4[[#This Row],[AF 4 ($)]]/Tableau4[[#This Row],[Nombres appareils installés]]</f>
        <v>2920</v>
      </c>
      <c r="AE40" s="194">
        <f>Tableau4[[#This Row],[Couverture 4 (%)]]*Tableau4[[#This Row],[Nombres appareils installés]]</f>
        <v>1.7923640381388877</v>
      </c>
      <c r="AF40" s="193">
        <f>Tableau4[[#This Row],[AF 4 par appareil  ($)]]/Tableau4[[#This Row],[Surcoût par appareil ($)]]</f>
        <v>0.59745467937962926</v>
      </c>
    </row>
    <row r="41" spans="2:32" x14ac:dyDescent="0.3">
      <c r="B41" s="187" t="s">
        <v>111</v>
      </c>
      <c r="C41" s="188" t="s">
        <v>134</v>
      </c>
      <c r="D41" s="188">
        <v>7</v>
      </c>
      <c r="E41" s="188">
        <v>180000</v>
      </c>
      <c r="F41" s="189">
        <f>Tableau4[[#This Row],[Economies totales (m3)]]/Tableau4[[#This Row],[Nombres appareils installés]]</f>
        <v>1068</v>
      </c>
      <c r="G41" s="190">
        <v>7476</v>
      </c>
      <c r="H41" s="188">
        <f t="shared" si="0"/>
        <v>2487.4</v>
      </c>
      <c r="I41" s="188">
        <v>2400</v>
      </c>
      <c r="J41" s="188">
        <f>Tableau4[[#This Row],[Surcoût moyens de l''équipement ($)]]+Tableau4[[#This Row],[Surcoût moyen de l''installation ($)]]</f>
        <v>4887.3999999999996</v>
      </c>
      <c r="K41" s="188">
        <f>Tableau4[[#This Row],[Surcoût par appareil ($)]]*Tableau4[[#This Row],[Nombres appareils installés]]</f>
        <v>34211.799999999996</v>
      </c>
      <c r="L41" s="190">
        <v>11900</v>
      </c>
      <c r="M41" s="188">
        <f t="shared" si="1"/>
        <v>12600</v>
      </c>
      <c r="N41" s="188">
        <f>Tableau4[[#This Row],[AF 0 ($)]]/Tableau4[[#This Row],[Nombres appareils installés]]</f>
        <v>1800</v>
      </c>
      <c r="O41" s="191">
        <f>(Tableau4[[#This Row],[AF accordée ($)]])/($J$6*D41)</f>
        <v>0.42463905680171854</v>
      </c>
      <c r="P41" s="191">
        <f>Tableau4[[#This Row],[Couverture 0 (%)]]*Tableau4[[#This Row],[Nombres appareils installés]]</f>
        <v>2.9724733976120299</v>
      </c>
      <c r="Q41" s="188">
        <f>($Q$4+$R$4*(Tableau4[[#This Row],[Capacité (BTU)]]/1000))*Tableau4[[#This Row],[Nombres appareils installés]]</f>
        <v>20300</v>
      </c>
      <c r="R41" s="188">
        <f>Tableau4[[#This Row],[AF 1 ($)]]/Tableau4[[#This Row],[Nombres appareils installés]]</f>
        <v>2900</v>
      </c>
      <c r="S41" s="191">
        <f>Tableau4[[#This Row],[AF 1 ($)]]/(J41*D41)</f>
        <v>0.59336252404141265</v>
      </c>
      <c r="T41" s="191">
        <f>Tableau4[[#This Row],[Couverture 1 (%)]]*Tableau4[[#This Row],[Nombres appareils installés]]</f>
        <v>4.1535376682898884</v>
      </c>
      <c r="U41" s="188">
        <f>($U$4+($V$4*(Tableau4[[#This Row],[Capacité (BTU)]]/1000)))*Tableau4[[#This Row],[Nombres appareils installés]]</f>
        <v>23450</v>
      </c>
      <c r="V41" s="188">
        <f>Tableau4[[#This Row],[AF 2 ($)]]/Tableau4[[#This Row],[Nombres appareils installés]]</f>
        <v>3350</v>
      </c>
      <c r="W41" s="192">
        <f>Tableau4[[#This Row],[AF 2 par appareil ($)]]/Tableau4[[#This Row],[Surcoût par appareil ($)]]</f>
        <v>0.68543601915128705</v>
      </c>
      <c r="X41" s="192">
        <f>Tableau4[[#This Row],[Couverture 2 (%)]]*Tableau4[[#This Row],[Nombres appareils installés]]</f>
        <v>4.7980521340590094</v>
      </c>
      <c r="Y41" s="188">
        <f>($Y$4+$Z$4*(Tableau4[[#This Row],[Capacité (BTU)]]/1000))*Tableau4[[#This Row],[Nombres appareils installés]]</f>
        <v>23800</v>
      </c>
      <c r="Z41" s="188">
        <f>Tableau4[[#This Row],[AF 3 ($)]]/Tableau4[[#This Row],[Nombres appareils installés]]</f>
        <v>3400</v>
      </c>
      <c r="AA41" s="193">
        <f>Tableau4[[#This Row],[AF 3 par appareil ($)]]/Tableau4[[#This Row],[Surcoût par appareil ($)]]</f>
        <v>0.69566640749682862</v>
      </c>
      <c r="AB41" s="193">
        <f>Tableau4[[#This Row],[Couverture 3 (%)]]*Tableau4[[#This Row],[Nombres appareils installés]]</f>
        <v>4.8696648524778006</v>
      </c>
      <c r="AC41" s="188">
        <f>($AC$4+$AD$4*(Tableau4[[#This Row],[Capacité (BTU)]]/1000))*Tableau4[[#This Row],[Nombres appareils installés]]</f>
        <v>20440</v>
      </c>
      <c r="AD41" s="188">
        <f>Tableau4[[#This Row],[AF 4 ($)]]/Tableau4[[#This Row],[Nombres appareils installés]]</f>
        <v>2920</v>
      </c>
      <c r="AE41" s="194">
        <f>Tableau4[[#This Row],[Couverture 4 (%)]]*Tableau4[[#This Row],[Nombres appareils installés]]</f>
        <v>4.1821827556574052</v>
      </c>
      <c r="AF41" s="193">
        <f>Tableau4[[#This Row],[AF 4 par appareil  ($)]]/Tableau4[[#This Row],[Surcoût par appareil ($)]]</f>
        <v>0.59745467937962926</v>
      </c>
    </row>
    <row r="42" spans="2:32" x14ac:dyDescent="0.3">
      <c r="B42" s="187" t="s">
        <v>111</v>
      </c>
      <c r="C42" s="188" t="s">
        <v>135</v>
      </c>
      <c r="D42" s="188">
        <v>1</v>
      </c>
      <c r="E42" s="188">
        <v>215000</v>
      </c>
      <c r="F42" s="189">
        <f>Tableau4[[#This Row],[Economies totales (m3)]]/Tableau4[[#This Row],[Nombres appareils installés]]</f>
        <v>1068</v>
      </c>
      <c r="G42" s="190">
        <v>1068</v>
      </c>
      <c r="H42" s="188">
        <f t="shared" si="0"/>
        <v>2898.6499999999996</v>
      </c>
      <c r="I42" s="188">
        <v>2400</v>
      </c>
      <c r="J42" s="188">
        <f>Tableau4[[#This Row],[Surcoût moyens de l''équipement ($)]]+Tableau4[[#This Row],[Surcoût moyen de l''installation ($)]]</f>
        <v>5298.65</v>
      </c>
      <c r="K42" s="188">
        <f>Tableau4[[#This Row],[Surcoût par appareil ($)]]*Tableau4[[#This Row],[Nombres appareils installés]]</f>
        <v>5298.65</v>
      </c>
      <c r="L42" s="190">
        <v>1700</v>
      </c>
      <c r="M42" s="188">
        <f t="shared" si="1"/>
        <v>1975</v>
      </c>
      <c r="N42" s="188">
        <f>Tableau4[[#This Row],[AF 0 ($)]]/Tableau4[[#This Row],[Nombres appareils installés]]</f>
        <v>1975</v>
      </c>
      <c r="O42" s="191">
        <f>(Tableau4[[#This Row],[AF accordée ($)]])/($J$6*D42)</f>
        <v>0.42463905680171854</v>
      </c>
      <c r="P42" s="191">
        <f>Tableau4[[#This Row],[Couverture 0 (%)]]*Tableau4[[#This Row],[Nombres appareils installés]]</f>
        <v>0.42463905680171854</v>
      </c>
      <c r="Q42" s="188">
        <f>($Q$4+$R$4*(Tableau4[[#This Row],[Capacité (BTU)]]/1000))*Tableau4[[#This Row],[Nombres appareils installés]]</f>
        <v>3075</v>
      </c>
      <c r="R42" s="188">
        <f>Tableau4[[#This Row],[AF 1 ($)]]/Tableau4[[#This Row],[Nombres appareils installés]]</f>
        <v>3075</v>
      </c>
      <c r="S42" s="191">
        <f>Tableau4[[#This Row],[AF 1 ($)]]/(J42*D42)</f>
        <v>0.58033650080680932</v>
      </c>
      <c r="T42" s="191">
        <f>Tableau4[[#This Row],[Couverture 1 (%)]]*Tableau4[[#This Row],[Nombres appareils installés]]</f>
        <v>0.58033650080680932</v>
      </c>
      <c r="U42" s="188">
        <f>($U$4+($V$4*(Tableau4[[#This Row],[Capacité (BTU)]]/1000)))*Tableau4[[#This Row],[Nombres appareils installés]]</f>
        <v>3612.5</v>
      </c>
      <c r="V42" s="188">
        <f>Tableau4[[#This Row],[AF 2 ($)]]/Tableau4[[#This Row],[Nombres appareils installés]]</f>
        <v>3612.5</v>
      </c>
      <c r="W42" s="192">
        <f>Tableau4[[#This Row],[AF 2 par appareil ($)]]/Tableau4[[#This Row],[Surcoût par appareil ($)]]</f>
        <v>0.68177743387466627</v>
      </c>
      <c r="X42" s="192">
        <f>Tableau4[[#This Row],[Couverture 2 (%)]]*Tableau4[[#This Row],[Nombres appareils installés]]</f>
        <v>0.68177743387466627</v>
      </c>
      <c r="Y42" s="188">
        <f>($Y$4+$Z$4*(Tableau4[[#This Row],[Capacité (BTU)]]/1000))*Tableau4[[#This Row],[Nombres appareils installés]]</f>
        <v>3575</v>
      </c>
      <c r="Z42" s="188">
        <f>Tableau4[[#This Row],[AF 3 ($)]]/Tableau4[[#This Row],[Nombres appareils installés]]</f>
        <v>3575</v>
      </c>
      <c r="AA42" s="193">
        <f>Tableau4[[#This Row],[AF 3 par appareil ($)]]/Tableau4[[#This Row],[Surcoût par appareil ($)]]</f>
        <v>0.67470015947458317</v>
      </c>
      <c r="AB42" s="193">
        <f>Tableau4[[#This Row],[Couverture 3 (%)]]*Tableau4[[#This Row],[Nombres appareils installés]]</f>
        <v>0.67470015947458317</v>
      </c>
      <c r="AC42" s="188">
        <f>($AC$4+$AD$4*(Tableau4[[#This Row],[Capacité (BTU)]]/1000))*Tableau4[[#This Row],[Nombres appareils installés]]</f>
        <v>3060</v>
      </c>
      <c r="AD42" s="188">
        <f>Tableau4[[#This Row],[AF 4 ($)]]/Tableau4[[#This Row],[Nombres appareils installés]]</f>
        <v>3060</v>
      </c>
      <c r="AE42" s="194">
        <f>Tableau4[[#This Row],[Couverture 4 (%)]]*Tableau4[[#This Row],[Nombres appareils installés]]</f>
        <v>0.57750559104677612</v>
      </c>
      <c r="AF42" s="193">
        <f>Tableau4[[#This Row],[AF 4 par appareil  ($)]]/Tableau4[[#This Row],[Surcoût par appareil ($)]]</f>
        <v>0.57750559104677612</v>
      </c>
    </row>
    <row r="43" spans="2:32" x14ac:dyDescent="0.3">
      <c r="B43" s="187" t="s">
        <v>111</v>
      </c>
      <c r="C43" s="188" t="s">
        <v>122</v>
      </c>
      <c r="D43" s="188">
        <v>1</v>
      </c>
      <c r="E43" s="188">
        <v>215000</v>
      </c>
      <c r="F43" s="189">
        <f>Tableau4[[#This Row],[Economies totales (m3)]]/Tableau4[[#This Row],[Nombres appareils installés]]</f>
        <v>1068</v>
      </c>
      <c r="G43" s="190">
        <v>1068</v>
      </c>
      <c r="H43" s="188">
        <f t="shared" si="0"/>
        <v>2898.6499999999996</v>
      </c>
      <c r="I43" s="188">
        <v>2400</v>
      </c>
      <c r="J43" s="188">
        <f>Tableau4[[#This Row],[Surcoût moyens de l''équipement ($)]]+Tableau4[[#This Row],[Surcoût moyen de l''installation ($)]]</f>
        <v>5298.65</v>
      </c>
      <c r="K43" s="188">
        <f>Tableau4[[#This Row],[Surcoût par appareil ($)]]*Tableau4[[#This Row],[Nombres appareils installés]]</f>
        <v>5298.65</v>
      </c>
      <c r="L43" s="190">
        <v>1700</v>
      </c>
      <c r="M43" s="188">
        <f t="shared" si="1"/>
        <v>1975</v>
      </c>
      <c r="N43" s="188">
        <f>Tableau4[[#This Row],[AF 0 ($)]]/Tableau4[[#This Row],[Nombres appareils installés]]</f>
        <v>1975</v>
      </c>
      <c r="O43" s="191">
        <f>(Tableau4[[#This Row],[AF accordée ($)]])/($J$6*D43)</f>
        <v>0.42463905680171854</v>
      </c>
      <c r="P43" s="191">
        <f>Tableau4[[#This Row],[Couverture 0 (%)]]*Tableau4[[#This Row],[Nombres appareils installés]]</f>
        <v>0.42463905680171854</v>
      </c>
      <c r="Q43" s="188">
        <f>($Q$4+$R$4*(Tableau4[[#This Row],[Capacité (BTU)]]/1000))*Tableau4[[#This Row],[Nombres appareils installés]]</f>
        <v>3075</v>
      </c>
      <c r="R43" s="188">
        <f>Tableau4[[#This Row],[AF 1 ($)]]/Tableau4[[#This Row],[Nombres appareils installés]]</f>
        <v>3075</v>
      </c>
      <c r="S43" s="191">
        <f>Tableau4[[#This Row],[AF 1 ($)]]/(J43*D43)</f>
        <v>0.58033650080680932</v>
      </c>
      <c r="T43" s="191">
        <f>Tableau4[[#This Row],[Couverture 1 (%)]]*Tableau4[[#This Row],[Nombres appareils installés]]</f>
        <v>0.58033650080680932</v>
      </c>
      <c r="U43" s="188">
        <f>($U$4+($V$4*(Tableau4[[#This Row],[Capacité (BTU)]]/1000)))*Tableau4[[#This Row],[Nombres appareils installés]]</f>
        <v>3612.5</v>
      </c>
      <c r="V43" s="188">
        <f>Tableau4[[#This Row],[AF 2 ($)]]/Tableau4[[#This Row],[Nombres appareils installés]]</f>
        <v>3612.5</v>
      </c>
      <c r="W43" s="192">
        <f>Tableau4[[#This Row],[AF 2 par appareil ($)]]/Tableau4[[#This Row],[Surcoût par appareil ($)]]</f>
        <v>0.68177743387466627</v>
      </c>
      <c r="X43" s="192">
        <f>Tableau4[[#This Row],[Couverture 2 (%)]]*Tableau4[[#This Row],[Nombres appareils installés]]</f>
        <v>0.68177743387466627</v>
      </c>
      <c r="Y43" s="188">
        <f>($Y$4+$Z$4*(Tableau4[[#This Row],[Capacité (BTU)]]/1000))*Tableau4[[#This Row],[Nombres appareils installés]]</f>
        <v>3575</v>
      </c>
      <c r="Z43" s="188">
        <f>Tableau4[[#This Row],[AF 3 ($)]]/Tableau4[[#This Row],[Nombres appareils installés]]</f>
        <v>3575</v>
      </c>
      <c r="AA43" s="193">
        <f>Tableau4[[#This Row],[AF 3 par appareil ($)]]/Tableau4[[#This Row],[Surcoût par appareil ($)]]</f>
        <v>0.67470015947458317</v>
      </c>
      <c r="AB43" s="193">
        <f>Tableau4[[#This Row],[Couverture 3 (%)]]*Tableau4[[#This Row],[Nombres appareils installés]]</f>
        <v>0.67470015947458317</v>
      </c>
      <c r="AC43" s="188">
        <f>($AC$4+$AD$4*(Tableau4[[#This Row],[Capacité (BTU)]]/1000))*Tableau4[[#This Row],[Nombres appareils installés]]</f>
        <v>3060</v>
      </c>
      <c r="AD43" s="188">
        <f>Tableau4[[#This Row],[AF 4 ($)]]/Tableau4[[#This Row],[Nombres appareils installés]]</f>
        <v>3060</v>
      </c>
      <c r="AE43" s="194">
        <f>Tableau4[[#This Row],[Couverture 4 (%)]]*Tableau4[[#This Row],[Nombres appareils installés]]</f>
        <v>0.57750559104677612</v>
      </c>
      <c r="AF43" s="193">
        <f>Tableau4[[#This Row],[AF 4 par appareil  ($)]]/Tableau4[[#This Row],[Surcoût par appareil ($)]]</f>
        <v>0.57750559104677612</v>
      </c>
    </row>
    <row r="44" spans="2:32" x14ac:dyDescent="0.3">
      <c r="B44" s="187" t="s">
        <v>111</v>
      </c>
      <c r="C44" s="188" t="s">
        <v>136</v>
      </c>
      <c r="D44" s="188">
        <v>8</v>
      </c>
      <c r="E44" s="188">
        <v>215000</v>
      </c>
      <c r="F44" s="189">
        <f>Tableau4[[#This Row],[Economies totales (m3)]]/Tableau4[[#This Row],[Nombres appareils installés]]</f>
        <v>1068</v>
      </c>
      <c r="G44" s="190">
        <v>8544</v>
      </c>
      <c r="H44" s="188">
        <f t="shared" si="0"/>
        <v>2898.6499999999996</v>
      </c>
      <c r="I44" s="188">
        <v>2400</v>
      </c>
      <c r="J44" s="188">
        <f>Tableau4[[#This Row],[Surcoût moyens de l''équipement ($)]]+Tableau4[[#This Row],[Surcoût moyen de l''installation ($)]]</f>
        <v>5298.65</v>
      </c>
      <c r="K44" s="188">
        <f>Tableau4[[#This Row],[Surcoût par appareil ($)]]*Tableau4[[#This Row],[Nombres appareils installés]]</f>
        <v>42389.2</v>
      </c>
      <c r="L44" s="190">
        <v>13600</v>
      </c>
      <c r="M44" s="188">
        <f t="shared" si="1"/>
        <v>15800</v>
      </c>
      <c r="N44" s="188">
        <f>Tableau4[[#This Row],[AF 0 ($)]]/Tableau4[[#This Row],[Nombres appareils installés]]</f>
        <v>1975</v>
      </c>
      <c r="O44" s="191">
        <f>(Tableau4[[#This Row],[AF accordée ($)]])/($J$6*D44)</f>
        <v>0.42463905680171854</v>
      </c>
      <c r="P44" s="191">
        <f>Tableau4[[#This Row],[Couverture 0 (%)]]*Tableau4[[#This Row],[Nombres appareils installés]]</f>
        <v>3.3971124544137483</v>
      </c>
      <c r="Q44" s="188">
        <f>($Q$4+$R$4*(Tableau4[[#This Row],[Capacité (BTU)]]/1000))*Tableau4[[#This Row],[Nombres appareils installés]]</f>
        <v>24600</v>
      </c>
      <c r="R44" s="188">
        <f>Tableau4[[#This Row],[AF 1 ($)]]/Tableau4[[#This Row],[Nombres appareils installés]]</f>
        <v>3075</v>
      </c>
      <c r="S44" s="191">
        <f>Tableau4[[#This Row],[AF 1 ($)]]/(J44*D44)</f>
        <v>0.58033650080680932</v>
      </c>
      <c r="T44" s="191">
        <f>Tableau4[[#This Row],[Couverture 1 (%)]]*Tableau4[[#This Row],[Nombres appareils installés]]</f>
        <v>4.6426920064544746</v>
      </c>
      <c r="U44" s="188">
        <f>($U$4+($V$4*(Tableau4[[#This Row],[Capacité (BTU)]]/1000)))*Tableau4[[#This Row],[Nombres appareils installés]]</f>
        <v>28900</v>
      </c>
      <c r="V44" s="188">
        <f>Tableau4[[#This Row],[AF 2 ($)]]/Tableau4[[#This Row],[Nombres appareils installés]]</f>
        <v>3612.5</v>
      </c>
      <c r="W44" s="192">
        <f>Tableau4[[#This Row],[AF 2 par appareil ($)]]/Tableau4[[#This Row],[Surcoût par appareil ($)]]</f>
        <v>0.68177743387466627</v>
      </c>
      <c r="X44" s="192">
        <f>Tableau4[[#This Row],[Couverture 2 (%)]]*Tableau4[[#This Row],[Nombres appareils installés]]</f>
        <v>5.4542194709973302</v>
      </c>
      <c r="Y44" s="188">
        <f>($Y$4+$Z$4*(Tableau4[[#This Row],[Capacité (BTU)]]/1000))*Tableau4[[#This Row],[Nombres appareils installés]]</f>
        <v>28600</v>
      </c>
      <c r="Z44" s="188">
        <f>Tableau4[[#This Row],[AF 3 ($)]]/Tableau4[[#This Row],[Nombres appareils installés]]</f>
        <v>3575</v>
      </c>
      <c r="AA44" s="193">
        <f>Tableau4[[#This Row],[AF 3 par appareil ($)]]/Tableau4[[#This Row],[Surcoût par appareil ($)]]</f>
        <v>0.67470015947458317</v>
      </c>
      <c r="AB44" s="193">
        <f>Tableau4[[#This Row],[Couverture 3 (%)]]*Tableau4[[#This Row],[Nombres appareils installés]]</f>
        <v>5.3976012757966654</v>
      </c>
      <c r="AC44" s="188">
        <f>($AC$4+$AD$4*(Tableau4[[#This Row],[Capacité (BTU)]]/1000))*Tableau4[[#This Row],[Nombres appareils installés]]</f>
        <v>24480</v>
      </c>
      <c r="AD44" s="188">
        <f>Tableau4[[#This Row],[AF 4 ($)]]/Tableau4[[#This Row],[Nombres appareils installés]]</f>
        <v>3060</v>
      </c>
      <c r="AE44" s="194">
        <f>Tableau4[[#This Row],[Couverture 4 (%)]]*Tableau4[[#This Row],[Nombres appareils installés]]</f>
        <v>4.620044728374209</v>
      </c>
      <c r="AF44" s="193">
        <f>Tableau4[[#This Row],[AF 4 par appareil  ($)]]/Tableau4[[#This Row],[Surcoût par appareil ($)]]</f>
        <v>0.57750559104677612</v>
      </c>
    </row>
    <row r="45" spans="2:32" x14ac:dyDescent="0.3">
      <c r="B45" s="187" t="s">
        <v>111</v>
      </c>
      <c r="C45" s="188" t="s">
        <v>137</v>
      </c>
      <c r="D45" s="188">
        <v>21</v>
      </c>
      <c r="E45" s="188">
        <v>215000</v>
      </c>
      <c r="F45" s="189">
        <f>Tableau4[[#This Row],[Economies totales (m3)]]/Tableau4[[#This Row],[Nombres appareils installés]]</f>
        <v>1068</v>
      </c>
      <c r="G45" s="190">
        <v>22428</v>
      </c>
      <c r="H45" s="188">
        <f t="shared" si="0"/>
        <v>2898.6499999999996</v>
      </c>
      <c r="I45" s="188">
        <v>2400</v>
      </c>
      <c r="J45" s="188">
        <f>Tableau4[[#This Row],[Surcoût moyens de l''équipement ($)]]+Tableau4[[#This Row],[Surcoût moyen de l''installation ($)]]</f>
        <v>5298.65</v>
      </c>
      <c r="K45" s="188">
        <f>Tableau4[[#This Row],[Surcoût par appareil ($)]]*Tableau4[[#This Row],[Nombres appareils installés]]</f>
        <v>111271.65</v>
      </c>
      <c r="L45" s="190">
        <v>35700</v>
      </c>
      <c r="M45" s="188">
        <f t="shared" si="1"/>
        <v>41475</v>
      </c>
      <c r="N45" s="188">
        <f>Tableau4[[#This Row],[AF 0 ($)]]/Tableau4[[#This Row],[Nombres appareils installés]]</f>
        <v>1975</v>
      </c>
      <c r="O45" s="191">
        <f>(Tableau4[[#This Row],[AF accordée ($)]])/($J$6*D45)</f>
        <v>0.42463905680171848</v>
      </c>
      <c r="P45" s="191">
        <f>Tableau4[[#This Row],[Couverture 0 (%)]]*Tableau4[[#This Row],[Nombres appareils installés]]</f>
        <v>8.9174201928360883</v>
      </c>
      <c r="Q45" s="188">
        <f>($Q$4+$R$4*(Tableau4[[#This Row],[Capacité (BTU)]]/1000))*Tableau4[[#This Row],[Nombres appareils installés]]</f>
        <v>64575</v>
      </c>
      <c r="R45" s="188">
        <f>Tableau4[[#This Row],[AF 1 ($)]]/Tableau4[[#This Row],[Nombres appareils installés]]</f>
        <v>3075</v>
      </c>
      <c r="S45" s="191">
        <f>Tableau4[[#This Row],[AF 1 ($)]]/(J45*D45)</f>
        <v>0.58033650080680932</v>
      </c>
      <c r="T45" s="191">
        <f>Tableau4[[#This Row],[Couverture 1 (%)]]*Tableau4[[#This Row],[Nombres appareils installés]]</f>
        <v>12.187066516942995</v>
      </c>
      <c r="U45" s="188">
        <f>($U$4+($V$4*(Tableau4[[#This Row],[Capacité (BTU)]]/1000)))*Tableau4[[#This Row],[Nombres appareils installés]]</f>
        <v>75862.5</v>
      </c>
      <c r="V45" s="188">
        <f>Tableau4[[#This Row],[AF 2 ($)]]/Tableau4[[#This Row],[Nombres appareils installés]]</f>
        <v>3612.5</v>
      </c>
      <c r="W45" s="192">
        <f>Tableau4[[#This Row],[AF 2 par appareil ($)]]/Tableau4[[#This Row],[Surcoût par appareil ($)]]</f>
        <v>0.68177743387466627</v>
      </c>
      <c r="X45" s="192">
        <f>Tableau4[[#This Row],[Couverture 2 (%)]]*Tableau4[[#This Row],[Nombres appareils installés]]</f>
        <v>14.317326111367992</v>
      </c>
      <c r="Y45" s="188">
        <f>($Y$4+$Z$4*(Tableau4[[#This Row],[Capacité (BTU)]]/1000))*Tableau4[[#This Row],[Nombres appareils installés]]</f>
        <v>75075</v>
      </c>
      <c r="Z45" s="188">
        <f>Tableau4[[#This Row],[AF 3 ($)]]/Tableau4[[#This Row],[Nombres appareils installés]]</f>
        <v>3575</v>
      </c>
      <c r="AA45" s="193">
        <f>Tableau4[[#This Row],[AF 3 par appareil ($)]]/Tableau4[[#This Row],[Surcoût par appareil ($)]]</f>
        <v>0.67470015947458317</v>
      </c>
      <c r="AB45" s="193">
        <f>Tableau4[[#This Row],[Couverture 3 (%)]]*Tableau4[[#This Row],[Nombres appareils installés]]</f>
        <v>14.168703348966247</v>
      </c>
      <c r="AC45" s="188">
        <f>($AC$4+$AD$4*(Tableau4[[#This Row],[Capacité (BTU)]]/1000))*Tableau4[[#This Row],[Nombres appareils installés]]</f>
        <v>64260</v>
      </c>
      <c r="AD45" s="188">
        <f>Tableau4[[#This Row],[AF 4 ($)]]/Tableau4[[#This Row],[Nombres appareils installés]]</f>
        <v>3060</v>
      </c>
      <c r="AE45" s="194">
        <f>Tableau4[[#This Row],[Couverture 4 (%)]]*Tableau4[[#This Row],[Nombres appareils installés]]</f>
        <v>12.127617411982298</v>
      </c>
      <c r="AF45" s="193">
        <f>Tableau4[[#This Row],[AF 4 par appareil  ($)]]/Tableau4[[#This Row],[Surcoût par appareil ($)]]</f>
        <v>0.57750559104677612</v>
      </c>
    </row>
    <row r="46" spans="2:32" x14ac:dyDescent="0.3">
      <c r="B46" s="187" t="s">
        <v>111</v>
      </c>
      <c r="C46" s="188" t="s">
        <v>138</v>
      </c>
      <c r="D46" s="188">
        <v>1</v>
      </c>
      <c r="E46" s="188">
        <v>260000</v>
      </c>
      <c r="F46" s="189">
        <f>Tableau4[[#This Row],[Economies totales (m3)]]/Tableau4[[#This Row],[Nombres appareils installés]]</f>
        <v>1068</v>
      </c>
      <c r="G46" s="190">
        <v>1068</v>
      </c>
      <c r="H46" s="188">
        <f t="shared" si="0"/>
        <v>3535.3999999999996</v>
      </c>
      <c r="I46" s="188">
        <v>2400</v>
      </c>
      <c r="J46" s="188">
        <f>Tableau4[[#This Row],[Surcoût moyens de l''équipement ($)]]+Tableau4[[#This Row],[Surcoût moyen de l''installation ($)]]</f>
        <v>5935.4</v>
      </c>
      <c r="K46" s="188">
        <f>Tableau4[[#This Row],[Surcoût par appareil ($)]]*Tableau4[[#This Row],[Nombres appareils installés]]</f>
        <v>5935.4</v>
      </c>
      <c r="L46" s="190">
        <v>1700</v>
      </c>
      <c r="M46" s="188">
        <f t="shared" si="1"/>
        <v>2200</v>
      </c>
      <c r="N46" s="188">
        <f>Tableau4[[#This Row],[AF 0 ($)]]/Tableau4[[#This Row],[Nombres appareils installés]]</f>
        <v>2200</v>
      </c>
      <c r="O46" s="191">
        <f>(Tableau4[[#This Row],[AF accordée ($)]])/($J$6*D46)</f>
        <v>0.42463905680171854</v>
      </c>
      <c r="P46" s="191">
        <f>Tableau4[[#This Row],[Couverture 0 (%)]]*Tableau4[[#This Row],[Nombres appareils installés]]</f>
        <v>0.42463905680171854</v>
      </c>
      <c r="Q46" s="188">
        <f>($Q$4+$R$4*(Tableau4[[#This Row],[Capacité (BTU)]]/1000))*Tableau4[[#This Row],[Nombres appareils installés]]</f>
        <v>3300</v>
      </c>
      <c r="R46" s="188">
        <f>Tableau4[[#This Row],[AF 1 ($)]]/Tableau4[[#This Row],[Nombres appareils installés]]</f>
        <v>3300</v>
      </c>
      <c r="S46" s="191">
        <f>Tableau4[[#This Row],[AF 1 ($)]]/(J46*D46)</f>
        <v>0.55598611719513436</v>
      </c>
      <c r="T46" s="191">
        <f>Tableau4[[#This Row],[Couverture 1 (%)]]*Tableau4[[#This Row],[Nombres appareils installés]]</f>
        <v>0.55598611719513436</v>
      </c>
      <c r="U46" s="188">
        <f>($U$4+($V$4*(Tableau4[[#This Row],[Capacité (BTU)]]/1000)))*Tableau4[[#This Row],[Nombres appareils installés]]</f>
        <v>3950</v>
      </c>
      <c r="V46" s="188">
        <f>Tableau4[[#This Row],[AF 2 ($)]]/Tableau4[[#This Row],[Nombres appareils installés]]</f>
        <v>3950</v>
      </c>
      <c r="W46" s="192">
        <f>Tableau4[[#This Row],[AF 2 par appareil ($)]]/Tableau4[[#This Row],[Surcoût par appareil ($)]]</f>
        <v>0.66549853421841831</v>
      </c>
      <c r="X46" s="192">
        <f>Tableau4[[#This Row],[Couverture 2 (%)]]*Tableau4[[#This Row],[Nombres appareils installés]]</f>
        <v>0.66549853421841831</v>
      </c>
      <c r="Y46" s="188">
        <f>($Y$4+$Z$4*(Tableau4[[#This Row],[Capacité (BTU)]]/1000))*Tableau4[[#This Row],[Nombres appareils installés]]</f>
        <v>3800</v>
      </c>
      <c r="Z46" s="188">
        <f>Tableau4[[#This Row],[AF 3 ($)]]/Tableau4[[#This Row],[Nombres appareils installés]]</f>
        <v>3800</v>
      </c>
      <c r="AA46" s="193">
        <f>Tableau4[[#This Row],[AF 3 par appareil ($)]]/Tableau4[[#This Row],[Surcoût par appareil ($)]]</f>
        <v>0.64022643798227585</v>
      </c>
      <c r="AB46" s="193">
        <f>Tableau4[[#This Row],[Couverture 3 (%)]]*Tableau4[[#This Row],[Nombres appareils installés]]</f>
        <v>0.64022643798227585</v>
      </c>
      <c r="AC46" s="188">
        <f>($AC$4+$AD$4*(Tableau4[[#This Row],[Capacité (BTU)]]/1000))*Tableau4[[#This Row],[Nombres appareils installés]]</f>
        <v>3240</v>
      </c>
      <c r="AD46" s="188">
        <f>Tableau4[[#This Row],[AF 4 ($)]]/Tableau4[[#This Row],[Nombres appareils installés]]</f>
        <v>3240</v>
      </c>
      <c r="AE46" s="194">
        <f>Tableau4[[#This Row],[Couverture 4 (%)]]*Tableau4[[#This Row],[Nombres appareils installés]]</f>
        <v>0.54587727870067737</v>
      </c>
      <c r="AF46" s="193">
        <f>Tableau4[[#This Row],[AF 4 par appareil  ($)]]/Tableau4[[#This Row],[Surcoût par appareil ($)]]</f>
        <v>0.54587727870067737</v>
      </c>
    </row>
    <row r="47" spans="2:32" x14ac:dyDescent="0.3">
      <c r="B47" s="187" t="s">
        <v>111</v>
      </c>
      <c r="C47" s="188" t="s">
        <v>122</v>
      </c>
      <c r="D47" s="188">
        <v>1</v>
      </c>
      <c r="E47" s="188">
        <v>260000</v>
      </c>
      <c r="F47" s="189">
        <f>Tableau4[[#This Row],[Economies totales (m3)]]/Tableau4[[#This Row],[Nombres appareils installés]]</f>
        <v>1068</v>
      </c>
      <c r="G47" s="190">
        <v>1068</v>
      </c>
      <c r="H47" s="188">
        <f t="shared" si="0"/>
        <v>3535.3999999999996</v>
      </c>
      <c r="I47" s="188">
        <v>2400</v>
      </c>
      <c r="J47" s="188">
        <f>Tableau4[[#This Row],[Surcoût moyens de l''équipement ($)]]+Tableau4[[#This Row],[Surcoût moyen de l''installation ($)]]</f>
        <v>5935.4</v>
      </c>
      <c r="K47" s="188">
        <f>Tableau4[[#This Row],[Surcoût par appareil ($)]]*Tableau4[[#This Row],[Nombres appareils installés]]</f>
        <v>5935.4</v>
      </c>
      <c r="L47" s="190">
        <v>1700</v>
      </c>
      <c r="M47" s="188">
        <f t="shared" si="1"/>
        <v>2200</v>
      </c>
      <c r="N47" s="188">
        <f>Tableau4[[#This Row],[AF 0 ($)]]/Tableau4[[#This Row],[Nombres appareils installés]]</f>
        <v>2200</v>
      </c>
      <c r="O47" s="191">
        <f>(Tableau4[[#This Row],[AF accordée ($)]])/($J$6*D47)</f>
        <v>0.42463905680171854</v>
      </c>
      <c r="P47" s="191">
        <f>Tableau4[[#This Row],[Couverture 0 (%)]]*Tableau4[[#This Row],[Nombres appareils installés]]</f>
        <v>0.42463905680171854</v>
      </c>
      <c r="Q47" s="188">
        <f>($Q$4+$R$4*(Tableau4[[#This Row],[Capacité (BTU)]]/1000))*Tableau4[[#This Row],[Nombres appareils installés]]</f>
        <v>3300</v>
      </c>
      <c r="R47" s="188">
        <f>Tableau4[[#This Row],[AF 1 ($)]]/Tableau4[[#This Row],[Nombres appareils installés]]</f>
        <v>3300</v>
      </c>
      <c r="S47" s="191">
        <f>Tableau4[[#This Row],[AF 1 ($)]]/(J47*D47)</f>
        <v>0.55598611719513436</v>
      </c>
      <c r="T47" s="191">
        <f>Tableau4[[#This Row],[Couverture 1 (%)]]*Tableau4[[#This Row],[Nombres appareils installés]]</f>
        <v>0.55598611719513436</v>
      </c>
      <c r="U47" s="188">
        <f>($U$4+($V$4*(Tableau4[[#This Row],[Capacité (BTU)]]/1000)))*Tableau4[[#This Row],[Nombres appareils installés]]</f>
        <v>3950</v>
      </c>
      <c r="V47" s="188">
        <f>Tableau4[[#This Row],[AF 2 ($)]]/Tableau4[[#This Row],[Nombres appareils installés]]</f>
        <v>3950</v>
      </c>
      <c r="W47" s="192">
        <f>Tableau4[[#This Row],[AF 2 par appareil ($)]]/Tableau4[[#This Row],[Surcoût par appareil ($)]]</f>
        <v>0.66549853421841831</v>
      </c>
      <c r="X47" s="192">
        <f>Tableau4[[#This Row],[Couverture 2 (%)]]*Tableau4[[#This Row],[Nombres appareils installés]]</f>
        <v>0.66549853421841831</v>
      </c>
      <c r="Y47" s="188">
        <f>($Y$4+$Z$4*(Tableau4[[#This Row],[Capacité (BTU)]]/1000))*Tableau4[[#This Row],[Nombres appareils installés]]</f>
        <v>3800</v>
      </c>
      <c r="Z47" s="188">
        <f>Tableau4[[#This Row],[AF 3 ($)]]/Tableau4[[#This Row],[Nombres appareils installés]]</f>
        <v>3800</v>
      </c>
      <c r="AA47" s="193">
        <f>Tableau4[[#This Row],[AF 3 par appareil ($)]]/Tableau4[[#This Row],[Surcoût par appareil ($)]]</f>
        <v>0.64022643798227585</v>
      </c>
      <c r="AB47" s="193">
        <f>Tableau4[[#This Row],[Couverture 3 (%)]]*Tableau4[[#This Row],[Nombres appareils installés]]</f>
        <v>0.64022643798227585</v>
      </c>
      <c r="AC47" s="188">
        <f>($AC$4+$AD$4*(Tableau4[[#This Row],[Capacité (BTU)]]/1000))*Tableau4[[#This Row],[Nombres appareils installés]]</f>
        <v>3240</v>
      </c>
      <c r="AD47" s="188">
        <f>Tableau4[[#This Row],[AF 4 ($)]]/Tableau4[[#This Row],[Nombres appareils installés]]</f>
        <v>3240</v>
      </c>
      <c r="AE47" s="194">
        <f>Tableau4[[#This Row],[Couverture 4 (%)]]*Tableau4[[#This Row],[Nombres appareils installés]]</f>
        <v>0.54587727870067737</v>
      </c>
      <c r="AF47" s="193">
        <f>Tableau4[[#This Row],[AF 4 par appareil  ($)]]/Tableau4[[#This Row],[Surcoût par appareil ($)]]</f>
        <v>0.54587727870067737</v>
      </c>
    </row>
    <row r="48" spans="2:32" x14ac:dyDescent="0.3">
      <c r="B48" s="187" t="s">
        <v>111</v>
      </c>
      <c r="C48" s="188" t="s">
        <v>122</v>
      </c>
      <c r="D48" s="188">
        <v>1</v>
      </c>
      <c r="E48" s="188">
        <v>260000</v>
      </c>
      <c r="F48" s="189">
        <f>Tableau4[[#This Row],[Economies totales (m3)]]/Tableau4[[#This Row],[Nombres appareils installés]]</f>
        <v>1068</v>
      </c>
      <c r="G48" s="190">
        <v>1068</v>
      </c>
      <c r="H48" s="188">
        <f t="shared" si="0"/>
        <v>3535.3999999999996</v>
      </c>
      <c r="I48" s="188">
        <v>2400</v>
      </c>
      <c r="J48" s="188">
        <f>Tableau4[[#This Row],[Surcoût moyens de l''équipement ($)]]+Tableau4[[#This Row],[Surcoût moyen de l''installation ($)]]</f>
        <v>5935.4</v>
      </c>
      <c r="K48" s="188">
        <f>Tableau4[[#This Row],[Surcoût par appareil ($)]]*Tableau4[[#This Row],[Nombres appareils installés]]</f>
        <v>5935.4</v>
      </c>
      <c r="L48" s="190">
        <v>1700</v>
      </c>
      <c r="M48" s="188">
        <f t="shared" si="1"/>
        <v>2200</v>
      </c>
      <c r="N48" s="188">
        <f>Tableau4[[#This Row],[AF 0 ($)]]/Tableau4[[#This Row],[Nombres appareils installés]]</f>
        <v>2200</v>
      </c>
      <c r="O48" s="191">
        <f>(Tableau4[[#This Row],[AF accordée ($)]])/($J$6*D48)</f>
        <v>0.42463905680171854</v>
      </c>
      <c r="P48" s="191">
        <f>Tableau4[[#This Row],[Couverture 0 (%)]]*Tableau4[[#This Row],[Nombres appareils installés]]</f>
        <v>0.42463905680171854</v>
      </c>
      <c r="Q48" s="188">
        <f>($Q$4+$R$4*(Tableau4[[#This Row],[Capacité (BTU)]]/1000))*Tableau4[[#This Row],[Nombres appareils installés]]</f>
        <v>3300</v>
      </c>
      <c r="R48" s="188">
        <f>Tableau4[[#This Row],[AF 1 ($)]]/Tableau4[[#This Row],[Nombres appareils installés]]</f>
        <v>3300</v>
      </c>
      <c r="S48" s="191">
        <f>Tableau4[[#This Row],[AF 1 ($)]]/(J48*D48)</f>
        <v>0.55598611719513436</v>
      </c>
      <c r="T48" s="191">
        <f>Tableau4[[#This Row],[Couverture 1 (%)]]*Tableau4[[#This Row],[Nombres appareils installés]]</f>
        <v>0.55598611719513436</v>
      </c>
      <c r="U48" s="188">
        <f>($U$4+($V$4*(Tableau4[[#This Row],[Capacité (BTU)]]/1000)))*Tableau4[[#This Row],[Nombres appareils installés]]</f>
        <v>3950</v>
      </c>
      <c r="V48" s="188">
        <f>Tableau4[[#This Row],[AF 2 ($)]]/Tableau4[[#This Row],[Nombres appareils installés]]</f>
        <v>3950</v>
      </c>
      <c r="W48" s="192">
        <f>Tableau4[[#This Row],[AF 2 par appareil ($)]]/Tableau4[[#This Row],[Surcoût par appareil ($)]]</f>
        <v>0.66549853421841831</v>
      </c>
      <c r="X48" s="192">
        <f>Tableau4[[#This Row],[Couverture 2 (%)]]*Tableau4[[#This Row],[Nombres appareils installés]]</f>
        <v>0.66549853421841831</v>
      </c>
      <c r="Y48" s="188">
        <f>($Y$4+$Z$4*(Tableau4[[#This Row],[Capacité (BTU)]]/1000))*Tableau4[[#This Row],[Nombres appareils installés]]</f>
        <v>3800</v>
      </c>
      <c r="Z48" s="188">
        <f>Tableau4[[#This Row],[AF 3 ($)]]/Tableau4[[#This Row],[Nombres appareils installés]]</f>
        <v>3800</v>
      </c>
      <c r="AA48" s="193">
        <f>Tableau4[[#This Row],[AF 3 par appareil ($)]]/Tableau4[[#This Row],[Surcoût par appareil ($)]]</f>
        <v>0.64022643798227585</v>
      </c>
      <c r="AB48" s="193">
        <f>Tableau4[[#This Row],[Couverture 3 (%)]]*Tableau4[[#This Row],[Nombres appareils installés]]</f>
        <v>0.64022643798227585</v>
      </c>
      <c r="AC48" s="188">
        <f>($AC$4+$AD$4*(Tableau4[[#This Row],[Capacité (BTU)]]/1000))*Tableau4[[#This Row],[Nombres appareils installés]]</f>
        <v>3240</v>
      </c>
      <c r="AD48" s="188">
        <f>Tableau4[[#This Row],[AF 4 ($)]]/Tableau4[[#This Row],[Nombres appareils installés]]</f>
        <v>3240</v>
      </c>
      <c r="AE48" s="194">
        <f>Tableau4[[#This Row],[Couverture 4 (%)]]*Tableau4[[#This Row],[Nombres appareils installés]]</f>
        <v>0.54587727870067737</v>
      </c>
      <c r="AF48" s="193">
        <f>Tableau4[[#This Row],[AF 4 par appareil  ($)]]/Tableau4[[#This Row],[Surcoût par appareil ($)]]</f>
        <v>0.54587727870067737</v>
      </c>
    </row>
    <row r="49" spans="2:32" x14ac:dyDescent="0.3">
      <c r="B49" s="187" t="s">
        <v>111</v>
      </c>
      <c r="C49" s="188" t="s">
        <v>122</v>
      </c>
      <c r="D49" s="188">
        <v>1</v>
      </c>
      <c r="E49" s="188">
        <v>260000</v>
      </c>
      <c r="F49" s="189">
        <f>Tableau4[[#This Row],[Economies totales (m3)]]/Tableau4[[#This Row],[Nombres appareils installés]]</f>
        <v>1068</v>
      </c>
      <c r="G49" s="190">
        <v>1068</v>
      </c>
      <c r="H49" s="188">
        <f t="shared" si="0"/>
        <v>3535.3999999999996</v>
      </c>
      <c r="I49" s="188">
        <v>2400</v>
      </c>
      <c r="J49" s="188">
        <f>Tableau4[[#This Row],[Surcoût moyens de l''équipement ($)]]+Tableau4[[#This Row],[Surcoût moyen de l''installation ($)]]</f>
        <v>5935.4</v>
      </c>
      <c r="K49" s="188">
        <f>Tableau4[[#This Row],[Surcoût par appareil ($)]]*Tableau4[[#This Row],[Nombres appareils installés]]</f>
        <v>5935.4</v>
      </c>
      <c r="L49" s="190">
        <v>1700</v>
      </c>
      <c r="M49" s="188">
        <f t="shared" si="1"/>
        <v>2200</v>
      </c>
      <c r="N49" s="188">
        <f>Tableau4[[#This Row],[AF 0 ($)]]/Tableau4[[#This Row],[Nombres appareils installés]]</f>
        <v>2200</v>
      </c>
      <c r="O49" s="191">
        <f>(Tableau4[[#This Row],[AF accordée ($)]])/($J$6*D49)</f>
        <v>0.42463905680171854</v>
      </c>
      <c r="P49" s="191">
        <f>Tableau4[[#This Row],[Couverture 0 (%)]]*Tableau4[[#This Row],[Nombres appareils installés]]</f>
        <v>0.42463905680171854</v>
      </c>
      <c r="Q49" s="188">
        <f>($Q$4+$R$4*(Tableau4[[#This Row],[Capacité (BTU)]]/1000))*Tableau4[[#This Row],[Nombres appareils installés]]</f>
        <v>3300</v>
      </c>
      <c r="R49" s="188">
        <f>Tableau4[[#This Row],[AF 1 ($)]]/Tableau4[[#This Row],[Nombres appareils installés]]</f>
        <v>3300</v>
      </c>
      <c r="S49" s="191">
        <f>Tableau4[[#This Row],[AF 1 ($)]]/(J49*D49)</f>
        <v>0.55598611719513436</v>
      </c>
      <c r="T49" s="191">
        <f>Tableau4[[#This Row],[Couverture 1 (%)]]*Tableau4[[#This Row],[Nombres appareils installés]]</f>
        <v>0.55598611719513436</v>
      </c>
      <c r="U49" s="188">
        <f>($U$4+($V$4*(Tableau4[[#This Row],[Capacité (BTU)]]/1000)))*Tableau4[[#This Row],[Nombres appareils installés]]</f>
        <v>3950</v>
      </c>
      <c r="V49" s="188">
        <f>Tableau4[[#This Row],[AF 2 ($)]]/Tableau4[[#This Row],[Nombres appareils installés]]</f>
        <v>3950</v>
      </c>
      <c r="W49" s="192">
        <f>Tableau4[[#This Row],[AF 2 par appareil ($)]]/Tableau4[[#This Row],[Surcoût par appareil ($)]]</f>
        <v>0.66549853421841831</v>
      </c>
      <c r="X49" s="192">
        <f>Tableau4[[#This Row],[Couverture 2 (%)]]*Tableau4[[#This Row],[Nombres appareils installés]]</f>
        <v>0.66549853421841831</v>
      </c>
      <c r="Y49" s="188">
        <f>($Y$4+$Z$4*(Tableau4[[#This Row],[Capacité (BTU)]]/1000))*Tableau4[[#This Row],[Nombres appareils installés]]</f>
        <v>3800</v>
      </c>
      <c r="Z49" s="188">
        <f>Tableau4[[#This Row],[AF 3 ($)]]/Tableau4[[#This Row],[Nombres appareils installés]]</f>
        <v>3800</v>
      </c>
      <c r="AA49" s="193">
        <f>Tableau4[[#This Row],[AF 3 par appareil ($)]]/Tableau4[[#This Row],[Surcoût par appareil ($)]]</f>
        <v>0.64022643798227585</v>
      </c>
      <c r="AB49" s="193">
        <f>Tableau4[[#This Row],[Couverture 3 (%)]]*Tableau4[[#This Row],[Nombres appareils installés]]</f>
        <v>0.64022643798227585</v>
      </c>
      <c r="AC49" s="188">
        <f>($AC$4+$AD$4*(Tableau4[[#This Row],[Capacité (BTU)]]/1000))*Tableau4[[#This Row],[Nombres appareils installés]]</f>
        <v>3240</v>
      </c>
      <c r="AD49" s="188">
        <f>Tableau4[[#This Row],[AF 4 ($)]]/Tableau4[[#This Row],[Nombres appareils installés]]</f>
        <v>3240</v>
      </c>
      <c r="AE49" s="194">
        <f>Tableau4[[#This Row],[Couverture 4 (%)]]*Tableau4[[#This Row],[Nombres appareils installés]]</f>
        <v>0.54587727870067737</v>
      </c>
      <c r="AF49" s="193">
        <f>Tableau4[[#This Row],[AF 4 par appareil  ($)]]/Tableau4[[#This Row],[Surcoût par appareil ($)]]</f>
        <v>0.54587727870067737</v>
      </c>
    </row>
    <row r="50" spans="2:32" x14ac:dyDescent="0.3">
      <c r="B50" s="187" t="s">
        <v>111</v>
      </c>
      <c r="C50" s="188" t="s">
        <v>122</v>
      </c>
      <c r="D50" s="188">
        <v>2</v>
      </c>
      <c r="E50" s="188">
        <v>260000</v>
      </c>
      <c r="F50" s="189">
        <f>Tableau4[[#This Row],[Economies totales (m3)]]/Tableau4[[#This Row],[Nombres appareils installés]]</f>
        <v>1068</v>
      </c>
      <c r="G50" s="190">
        <v>2136</v>
      </c>
      <c r="H50" s="188">
        <f t="shared" si="0"/>
        <v>3535.3999999999996</v>
      </c>
      <c r="I50" s="188">
        <v>2400</v>
      </c>
      <c r="J50" s="188">
        <f>Tableau4[[#This Row],[Surcoût moyens de l''équipement ($)]]+Tableau4[[#This Row],[Surcoût moyen de l''installation ($)]]</f>
        <v>5935.4</v>
      </c>
      <c r="K50" s="188">
        <f>Tableau4[[#This Row],[Surcoût par appareil ($)]]*Tableau4[[#This Row],[Nombres appareils installés]]</f>
        <v>11870.8</v>
      </c>
      <c r="L50" s="190">
        <v>3400</v>
      </c>
      <c r="M50" s="188">
        <f t="shared" si="1"/>
        <v>4400</v>
      </c>
      <c r="N50" s="188">
        <f>Tableau4[[#This Row],[AF 0 ($)]]/Tableau4[[#This Row],[Nombres appareils installés]]</f>
        <v>2200</v>
      </c>
      <c r="O50" s="191">
        <f>(Tableau4[[#This Row],[AF accordée ($)]])/($J$6*D50)</f>
        <v>0.42463905680171854</v>
      </c>
      <c r="P50" s="191">
        <f>Tableau4[[#This Row],[Couverture 0 (%)]]*Tableau4[[#This Row],[Nombres appareils installés]]</f>
        <v>0.84927811360343708</v>
      </c>
      <c r="Q50" s="188">
        <f>($Q$4+$R$4*(Tableau4[[#This Row],[Capacité (BTU)]]/1000))*Tableau4[[#This Row],[Nombres appareils installés]]</f>
        <v>6600</v>
      </c>
      <c r="R50" s="188">
        <f>Tableau4[[#This Row],[AF 1 ($)]]/Tableau4[[#This Row],[Nombres appareils installés]]</f>
        <v>3300</v>
      </c>
      <c r="S50" s="191">
        <f>Tableau4[[#This Row],[AF 1 ($)]]/(J50*D50)</f>
        <v>0.55598611719513436</v>
      </c>
      <c r="T50" s="191">
        <f>Tableau4[[#This Row],[Couverture 1 (%)]]*Tableau4[[#This Row],[Nombres appareils installés]]</f>
        <v>1.1119722343902687</v>
      </c>
      <c r="U50" s="188">
        <f>($U$4+($V$4*(Tableau4[[#This Row],[Capacité (BTU)]]/1000)))*Tableau4[[#This Row],[Nombres appareils installés]]</f>
        <v>7900</v>
      </c>
      <c r="V50" s="188">
        <f>Tableau4[[#This Row],[AF 2 ($)]]/Tableau4[[#This Row],[Nombres appareils installés]]</f>
        <v>3950</v>
      </c>
      <c r="W50" s="192">
        <f>Tableau4[[#This Row],[AF 2 par appareil ($)]]/Tableau4[[#This Row],[Surcoût par appareil ($)]]</f>
        <v>0.66549853421841831</v>
      </c>
      <c r="X50" s="192">
        <f>Tableau4[[#This Row],[Couverture 2 (%)]]*Tableau4[[#This Row],[Nombres appareils installés]]</f>
        <v>1.3309970684368366</v>
      </c>
      <c r="Y50" s="188">
        <f>($Y$4+$Z$4*(Tableau4[[#This Row],[Capacité (BTU)]]/1000))*Tableau4[[#This Row],[Nombres appareils installés]]</f>
        <v>7600</v>
      </c>
      <c r="Z50" s="188">
        <f>Tableau4[[#This Row],[AF 3 ($)]]/Tableau4[[#This Row],[Nombres appareils installés]]</f>
        <v>3800</v>
      </c>
      <c r="AA50" s="193">
        <f>Tableau4[[#This Row],[AF 3 par appareil ($)]]/Tableau4[[#This Row],[Surcoût par appareil ($)]]</f>
        <v>0.64022643798227585</v>
      </c>
      <c r="AB50" s="193">
        <f>Tableau4[[#This Row],[Couverture 3 (%)]]*Tableau4[[#This Row],[Nombres appareils installés]]</f>
        <v>1.2804528759645517</v>
      </c>
      <c r="AC50" s="188">
        <f>($AC$4+$AD$4*(Tableau4[[#This Row],[Capacité (BTU)]]/1000))*Tableau4[[#This Row],[Nombres appareils installés]]</f>
        <v>6480</v>
      </c>
      <c r="AD50" s="188">
        <f>Tableau4[[#This Row],[AF 4 ($)]]/Tableau4[[#This Row],[Nombres appareils installés]]</f>
        <v>3240</v>
      </c>
      <c r="AE50" s="194">
        <f>Tableau4[[#This Row],[Couverture 4 (%)]]*Tableau4[[#This Row],[Nombres appareils installés]]</f>
        <v>1.0917545574013547</v>
      </c>
      <c r="AF50" s="193">
        <f>Tableau4[[#This Row],[AF 4 par appareil  ($)]]/Tableau4[[#This Row],[Surcoût par appareil ($)]]</f>
        <v>0.54587727870067737</v>
      </c>
    </row>
    <row r="51" spans="2:32" x14ac:dyDescent="0.3">
      <c r="B51" s="187" t="s">
        <v>111</v>
      </c>
      <c r="C51" s="188" t="s">
        <v>133</v>
      </c>
      <c r="D51" s="188">
        <v>5</v>
      </c>
      <c r="E51" s="188">
        <v>260000</v>
      </c>
      <c r="F51" s="189">
        <f>Tableau4[[#This Row],[Economies totales (m3)]]/Tableau4[[#This Row],[Nombres appareils installés]]</f>
        <v>1068</v>
      </c>
      <c r="G51" s="190">
        <v>5340</v>
      </c>
      <c r="H51" s="188">
        <f t="shared" si="0"/>
        <v>3535.3999999999996</v>
      </c>
      <c r="I51" s="188">
        <v>2400</v>
      </c>
      <c r="J51" s="188">
        <f>Tableau4[[#This Row],[Surcoût moyens de l''équipement ($)]]+Tableau4[[#This Row],[Surcoût moyen de l''installation ($)]]</f>
        <v>5935.4</v>
      </c>
      <c r="K51" s="188">
        <f>Tableau4[[#This Row],[Surcoût par appareil ($)]]*Tableau4[[#This Row],[Nombres appareils installés]]</f>
        <v>29677</v>
      </c>
      <c r="L51" s="190">
        <v>8500</v>
      </c>
      <c r="M51" s="188">
        <f t="shared" si="1"/>
        <v>11000</v>
      </c>
      <c r="N51" s="188">
        <f>Tableau4[[#This Row],[AF 0 ($)]]/Tableau4[[#This Row],[Nombres appareils installés]]</f>
        <v>2200</v>
      </c>
      <c r="O51" s="191">
        <f>(Tableau4[[#This Row],[AF accordée ($)]])/($J$6*D51)</f>
        <v>0.42463905680171854</v>
      </c>
      <c r="P51" s="191">
        <f>Tableau4[[#This Row],[Couverture 0 (%)]]*Tableau4[[#This Row],[Nombres appareils installés]]</f>
        <v>2.1231952840085926</v>
      </c>
      <c r="Q51" s="188">
        <f>($Q$4+$R$4*(Tableau4[[#This Row],[Capacité (BTU)]]/1000))*Tableau4[[#This Row],[Nombres appareils installés]]</f>
        <v>16500</v>
      </c>
      <c r="R51" s="188">
        <f>Tableau4[[#This Row],[AF 1 ($)]]/Tableau4[[#This Row],[Nombres appareils installés]]</f>
        <v>3300</v>
      </c>
      <c r="S51" s="191">
        <f>Tableau4[[#This Row],[AF 1 ($)]]/(J51*D51)</f>
        <v>0.55598611719513424</v>
      </c>
      <c r="T51" s="191">
        <f>Tableau4[[#This Row],[Couverture 1 (%)]]*Tableau4[[#This Row],[Nombres appareils installés]]</f>
        <v>2.7799305859756713</v>
      </c>
      <c r="U51" s="188">
        <f>($U$4+($V$4*(Tableau4[[#This Row],[Capacité (BTU)]]/1000)))*Tableau4[[#This Row],[Nombres appareils installés]]</f>
        <v>19750</v>
      </c>
      <c r="V51" s="188">
        <f>Tableau4[[#This Row],[AF 2 ($)]]/Tableau4[[#This Row],[Nombres appareils installés]]</f>
        <v>3950</v>
      </c>
      <c r="W51" s="192">
        <f>Tableau4[[#This Row],[AF 2 par appareil ($)]]/Tableau4[[#This Row],[Surcoût par appareil ($)]]</f>
        <v>0.66549853421841831</v>
      </c>
      <c r="X51" s="192">
        <f>Tableau4[[#This Row],[Couverture 2 (%)]]*Tableau4[[#This Row],[Nombres appareils installés]]</f>
        <v>3.3274926710920916</v>
      </c>
      <c r="Y51" s="188">
        <f>($Y$4+$Z$4*(Tableau4[[#This Row],[Capacité (BTU)]]/1000))*Tableau4[[#This Row],[Nombres appareils installés]]</f>
        <v>19000</v>
      </c>
      <c r="Z51" s="188">
        <f>Tableau4[[#This Row],[AF 3 ($)]]/Tableau4[[#This Row],[Nombres appareils installés]]</f>
        <v>3800</v>
      </c>
      <c r="AA51" s="193">
        <f>Tableau4[[#This Row],[AF 3 par appareil ($)]]/Tableau4[[#This Row],[Surcoût par appareil ($)]]</f>
        <v>0.64022643798227585</v>
      </c>
      <c r="AB51" s="193">
        <f>Tableau4[[#This Row],[Couverture 3 (%)]]*Tableau4[[#This Row],[Nombres appareils installés]]</f>
        <v>3.2011321899113794</v>
      </c>
      <c r="AC51" s="188">
        <f>($AC$4+$AD$4*(Tableau4[[#This Row],[Capacité (BTU)]]/1000))*Tableau4[[#This Row],[Nombres appareils installés]]</f>
        <v>16200</v>
      </c>
      <c r="AD51" s="188">
        <f>Tableau4[[#This Row],[AF 4 ($)]]/Tableau4[[#This Row],[Nombres appareils installés]]</f>
        <v>3240</v>
      </c>
      <c r="AE51" s="194">
        <f>Tableau4[[#This Row],[Couverture 4 (%)]]*Tableau4[[#This Row],[Nombres appareils installés]]</f>
        <v>2.7293863935033871</v>
      </c>
      <c r="AF51" s="193">
        <f>Tableau4[[#This Row],[AF 4 par appareil  ($)]]/Tableau4[[#This Row],[Surcoût par appareil ($)]]</f>
        <v>0.54587727870067737</v>
      </c>
    </row>
    <row r="52" spans="2:32" x14ac:dyDescent="0.3">
      <c r="B52" s="187" t="s">
        <v>111</v>
      </c>
      <c r="C52" s="188" t="s">
        <v>139</v>
      </c>
      <c r="D52" s="188">
        <v>1</v>
      </c>
      <c r="E52" s="188">
        <v>310000</v>
      </c>
      <c r="F52" s="189">
        <f>Tableau4[[#This Row],[Economies totales (m3)]]/Tableau4[[#This Row],[Nombres appareils installés]]</f>
        <v>1068</v>
      </c>
      <c r="G52" s="190">
        <v>1068</v>
      </c>
      <c r="H52" s="188">
        <f t="shared" si="0"/>
        <v>4385.3999999999996</v>
      </c>
      <c r="I52" s="188">
        <v>2400</v>
      </c>
      <c r="J52" s="188">
        <f>Tableau4[[#This Row],[Surcoût moyens de l''équipement ($)]]+Tableau4[[#This Row],[Surcoût moyen de l''installation ($)]]</f>
        <v>6785.4</v>
      </c>
      <c r="K52" s="188">
        <f>Tableau4[[#This Row],[Surcoût par appareil ($)]]*Tableau4[[#This Row],[Nombres appareils installés]]</f>
        <v>6785.4</v>
      </c>
      <c r="L52" s="190">
        <v>1700</v>
      </c>
      <c r="M52" s="188">
        <f t="shared" si="1"/>
        <v>2450</v>
      </c>
      <c r="N52" s="188">
        <f>Tableau4[[#This Row],[AF 0 ($)]]/Tableau4[[#This Row],[Nombres appareils installés]]</f>
        <v>2450</v>
      </c>
      <c r="O52" s="191">
        <f>(Tableau4[[#This Row],[AF accordée ($)]])/($J$6*D52)</f>
        <v>0.42463905680171854</v>
      </c>
      <c r="P52" s="191">
        <f>Tableau4[[#This Row],[Couverture 0 (%)]]*Tableau4[[#This Row],[Nombres appareils installés]]</f>
        <v>0.42463905680171854</v>
      </c>
      <c r="Q52" s="188">
        <f>($Q$4+$R$4*(Tableau4[[#This Row],[Capacité (BTU)]]/1000))*Tableau4[[#This Row],[Nombres appareils installés]]</f>
        <v>3550</v>
      </c>
      <c r="R52" s="188">
        <f>Tableau4[[#This Row],[AF 1 ($)]]/Tableau4[[#This Row],[Nombres appareils installés]]</f>
        <v>3550</v>
      </c>
      <c r="S52" s="191">
        <f>Tableau4[[#This Row],[AF 1 ($)]]/(J52*D52)</f>
        <v>0.52318212633006167</v>
      </c>
      <c r="T52" s="191">
        <f>Tableau4[[#This Row],[Couverture 1 (%)]]*Tableau4[[#This Row],[Nombres appareils installés]]</f>
        <v>0.52318212633006167</v>
      </c>
      <c r="U52" s="188">
        <f>($U$4+($V$4*(Tableau4[[#This Row],[Capacité (BTU)]]/1000)))*Tableau4[[#This Row],[Nombres appareils installés]]</f>
        <v>4325</v>
      </c>
      <c r="V52" s="188">
        <f>Tableau4[[#This Row],[AF 2 ($)]]/Tableau4[[#This Row],[Nombres appareils installés]]</f>
        <v>4325</v>
      </c>
      <c r="W52" s="192">
        <f>Tableau4[[#This Row],[AF 2 par appareil ($)]]/Tableau4[[#This Row],[Surcoût par appareil ($)]]</f>
        <v>0.63739794264155392</v>
      </c>
      <c r="X52" s="192">
        <f>Tableau4[[#This Row],[Couverture 2 (%)]]*Tableau4[[#This Row],[Nombres appareils installés]]</f>
        <v>0.63739794264155392</v>
      </c>
      <c r="Y52" s="188">
        <f>($Y$4+$Z$4*(Tableau4[[#This Row],[Capacité (BTU)]]/1000))*Tableau4[[#This Row],[Nombres appareils installés]]</f>
        <v>4050</v>
      </c>
      <c r="Z52" s="188">
        <f>Tableau4[[#This Row],[AF 3 ($)]]/Tableau4[[#This Row],[Nombres appareils installés]]</f>
        <v>4050</v>
      </c>
      <c r="AA52" s="193">
        <f>Tableau4[[#This Row],[AF 3 par appareil ($)]]/Tableau4[[#This Row],[Surcoût par appareil ($)]]</f>
        <v>0.59686974975683083</v>
      </c>
      <c r="AB52" s="193">
        <f>Tableau4[[#This Row],[Couverture 3 (%)]]*Tableau4[[#This Row],[Nombres appareils installés]]</f>
        <v>0.59686974975683083</v>
      </c>
      <c r="AC52" s="188">
        <f>($AC$4+$AD$4*(Tableau4[[#This Row],[Capacité (BTU)]]/1000))*Tableau4[[#This Row],[Nombres appareils installés]]</f>
        <v>3440</v>
      </c>
      <c r="AD52" s="188">
        <f>Tableau4[[#This Row],[AF 4 ($)]]/Tableau4[[#This Row],[Nombres appareils installés]]</f>
        <v>3440</v>
      </c>
      <c r="AE52" s="194">
        <f>Tableau4[[#This Row],[Couverture 4 (%)]]*Tableau4[[#This Row],[Nombres appareils installés]]</f>
        <v>0.50697084917617241</v>
      </c>
      <c r="AF52" s="193">
        <f>Tableau4[[#This Row],[AF 4 par appareil  ($)]]/Tableau4[[#This Row],[Surcoût par appareil ($)]]</f>
        <v>0.50697084917617241</v>
      </c>
    </row>
    <row r="53" spans="2:32" x14ac:dyDescent="0.3">
      <c r="B53" s="187" t="s">
        <v>111</v>
      </c>
      <c r="C53" s="188" t="s">
        <v>122</v>
      </c>
      <c r="D53" s="188">
        <v>1</v>
      </c>
      <c r="E53" s="188">
        <v>310000</v>
      </c>
      <c r="F53" s="189">
        <f>Tableau4[[#This Row],[Economies totales (m3)]]/Tableau4[[#This Row],[Nombres appareils installés]]</f>
        <v>1068</v>
      </c>
      <c r="G53" s="190">
        <v>1068</v>
      </c>
      <c r="H53" s="188">
        <f t="shared" si="0"/>
        <v>4385.3999999999996</v>
      </c>
      <c r="I53" s="188">
        <v>2400</v>
      </c>
      <c r="J53" s="188">
        <f>Tableau4[[#This Row],[Surcoût moyens de l''équipement ($)]]+Tableau4[[#This Row],[Surcoût moyen de l''installation ($)]]</f>
        <v>6785.4</v>
      </c>
      <c r="K53" s="188">
        <f>Tableau4[[#This Row],[Surcoût par appareil ($)]]*Tableau4[[#This Row],[Nombres appareils installés]]</f>
        <v>6785.4</v>
      </c>
      <c r="L53" s="190">
        <v>1700</v>
      </c>
      <c r="M53" s="188">
        <f t="shared" si="1"/>
        <v>2450</v>
      </c>
      <c r="N53" s="188">
        <f>Tableau4[[#This Row],[AF 0 ($)]]/Tableau4[[#This Row],[Nombres appareils installés]]</f>
        <v>2450</v>
      </c>
      <c r="O53" s="191">
        <f>(Tableau4[[#This Row],[AF accordée ($)]])/($J$6*D53)</f>
        <v>0.42463905680171854</v>
      </c>
      <c r="P53" s="191">
        <f>Tableau4[[#This Row],[Couverture 0 (%)]]*Tableau4[[#This Row],[Nombres appareils installés]]</f>
        <v>0.42463905680171854</v>
      </c>
      <c r="Q53" s="188">
        <f>($Q$4+$R$4*(Tableau4[[#This Row],[Capacité (BTU)]]/1000))*Tableau4[[#This Row],[Nombres appareils installés]]</f>
        <v>3550</v>
      </c>
      <c r="R53" s="188">
        <f>Tableau4[[#This Row],[AF 1 ($)]]/Tableau4[[#This Row],[Nombres appareils installés]]</f>
        <v>3550</v>
      </c>
      <c r="S53" s="191">
        <f>Tableau4[[#This Row],[AF 1 ($)]]/(J53*D53)</f>
        <v>0.52318212633006167</v>
      </c>
      <c r="T53" s="191">
        <f>Tableau4[[#This Row],[Couverture 1 (%)]]*Tableau4[[#This Row],[Nombres appareils installés]]</f>
        <v>0.52318212633006167</v>
      </c>
      <c r="U53" s="188">
        <f>($U$4+($V$4*(Tableau4[[#This Row],[Capacité (BTU)]]/1000)))*Tableau4[[#This Row],[Nombres appareils installés]]</f>
        <v>4325</v>
      </c>
      <c r="V53" s="188">
        <f>Tableau4[[#This Row],[AF 2 ($)]]/Tableau4[[#This Row],[Nombres appareils installés]]</f>
        <v>4325</v>
      </c>
      <c r="W53" s="192">
        <f>Tableau4[[#This Row],[AF 2 par appareil ($)]]/Tableau4[[#This Row],[Surcoût par appareil ($)]]</f>
        <v>0.63739794264155392</v>
      </c>
      <c r="X53" s="192">
        <f>Tableau4[[#This Row],[Couverture 2 (%)]]*Tableau4[[#This Row],[Nombres appareils installés]]</f>
        <v>0.63739794264155392</v>
      </c>
      <c r="Y53" s="188">
        <f>($Y$4+$Z$4*(Tableau4[[#This Row],[Capacité (BTU)]]/1000))*Tableau4[[#This Row],[Nombres appareils installés]]</f>
        <v>4050</v>
      </c>
      <c r="Z53" s="188">
        <f>Tableau4[[#This Row],[AF 3 ($)]]/Tableau4[[#This Row],[Nombres appareils installés]]</f>
        <v>4050</v>
      </c>
      <c r="AA53" s="193">
        <f>Tableau4[[#This Row],[AF 3 par appareil ($)]]/Tableau4[[#This Row],[Surcoût par appareil ($)]]</f>
        <v>0.59686974975683083</v>
      </c>
      <c r="AB53" s="193">
        <f>Tableau4[[#This Row],[Couverture 3 (%)]]*Tableau4[[#This Row],[Nombres appareils installés]]</f>
        <v>0.59686974975683083</v>
      </c>
      <c r="AC53" s="188">
        <f>($AC$4+$AD$4*(Tableau4[[#This Row],[Capacité (BTU)]]/1000))*Tableau4[[#This Row],[Nombres appareils installés]]</f>
        <v>3440</v>
      </c>
      <c r="AD53" s="188">
        <f>Tableau4[[#This Row],[AF 4 ($)]]/Tableau4[[#This Row],[Nombres appareils installés]]</f>
        <v>3440</v>
      </c>
      <c r="AE53" s="194">
        <f>Tableau4[[#This Row],[Couverture 4 (%)]]*Tableau4[[#This Row],[Nombres appareils installés]]</f>
        <v>0.50697084917617241</v>
      </c>
      <c r="AF53" s="193">
        <f>Tableau4[[#This Row],[AF 4 par appareil  ($)]]/Tableau4[[#This Row],[Surcoût par appareil ($)]]</f>
        <v>0.50697084917617241</v>
      </c>
    </row>
    <row r="54" spans="2:32" x14ac:dyDescent="0.3">
      <c r="B54" s="187" t="s">
        <v>111</v>
      </c>
      <c r="C54" s="188" t="s">
        <v>122</v>
      </c>
      <c r="D54" s="188">
        <v>1</v>
      </c>
      <c r="E54" s="188">
        <v>310000</v>
      </c>
      <c r="F54" s="189">
        <f>Tableau4[[#This Row],[Economies totales (m3)]]/Tableau4[[#This Row],[Nombres appareils installés]]</f>
        <v>1068</v>
      </c>
      <c r="G54" s="190">
        <v>1068</v>
      </c>
      <c r="H54" s="188">
        <f t="shared" si="0"/>
        <v>4385.3999999999996</v>
      </c>
      <c r="I54" s="188">
        <v>2400</v>
      </c>
      <c r="J54" s="188">
        <f>Tableau4[[#This Row],[Surcoût moyens de l''équipement ($)]]+Tableau4[[#This Row],[Surcoût moyen de l''installation ($)]]</f>
        <v>6785.4</v>
      </c>
      <c r="K54" s="188">
        <f>Tableau4[[#This Row],[Surcoût par appareil ($)]]*Tableau4[[#This Row],[Nombres appareils installés]]</f>
        <v>6785.4</v>
      </c>
      <c r="L54" s="190">
        <v>1700</v>
      </c>
      <c r="M54" s="188">
        <f t="shared" si="1"/>
        <v>2450</v>
      </c>
      <c r="N54" s="188">
        <f>Tableau4[[#This Row],[AF 0 ($)]]/Tableau4[[#This Row],[Nombres appareils installés]]</f>
        <v>2450</v>
      </c>
      <c r="O54" s="191">
        <f>(Tableau4[[#This Row],[AF accordée ($)]])/($J$6*D54)</f>
        <v>0.42463905680171854</v>
      </c>
      <c r="P54" s="191">
        <f>Tableau4[[#This Row],[Couverture 0 (%)]]*Tableau4[[#This Row],[Nombres appareils installés]]</f>
        <v>0.42463905680171854</v>
      </c>
      <c r="Q54" s="188">
        <f>($Q$4+$R$4*(Tableau4[[#This Row],[Capacité (BTU)]]/1000))*Tableau4[[#This Row],[Nombres appareils installés]]</f>
        <v>3550</v>
      </c>
      <c r="R54" s="188">
        <f>Tableau4[[#This Row],[AF 1 ($)]]/Tableau4[[#This Row],[Nombres appareils installés]]</f>
        <v>3550</v>
      </c>
      <c r="S54" s="191">
        <f>Tableau4[[#This Row],[AF 1 ($)]]/(J54*D54)</f>
        <v>0.52318212633006167</v>
      </c>
      <c r="T54" s="191">
        <f>Tableau4[[#This Row],[Couverture 1 (%)]]*Tableau4[[#This Row],[Nombres appareils installés]]</f>
        <v>0.52318212633006167</v>
      </c>
      <c r="U54" s="188">
        <f>($U$4+($V$4*(Tableau4[[#This Row],[Capacité (BTU)]]/1000)))*Tableau4[[#This Row],[Nombres appareils installés]]</f>
        <v>4325</v>
      </c>
      <c r="V54" s="188">
        <f>Tableau4[[#This Row],[AF 2 ($)]]/Tableau4[[#This Row],[Nombres appareils installés]]</f>
        <v>4325</v>
      </c>
      <c r="W54" s="192">
        <f>Tableau4[[#This Row],[AF 2 par appareil ($)]]/Tableau4[[#This Row],[Surcoût par appareil ($)]]</f>
        <v>0.63739794264155392</v>
      </c>
      <c r="X54" s="192">
        <f>Tableau4[[#This Row],[Couverture 2 (%)]]*Tableau4[[#This Row],[Nombres appareils installés]]</f>
        <v>0.63739794264155392</v>
      </c>
      <c r="Y54" s="188">
        <f>($Y$4+$Z$4*(Tableau4[[#This Row],[Capacité (BTU)]]/1000))*Tableau4[[#This Row],[Nombres appareils installés]]</f>
        <v>4050</v>
      </c>
      <c r="Z54" s="188">
        <f>Tableau4[[#This Row],[AF 3 ($)]]/Tableau4[[#This Row],[Nombres appareils installés]]</f>
        <v>4050</v>
      </c>
      <c r="AA54" s="193">
        <f>Tableau4[[#This Row],[AF 3 par appareil ($)]]/Tableau4[[#This Row],[Surcoût par appareil ($)]]</f>
        <v>0.59686974975683083</v>
      </c>
      <c r="AB54" s="193">
        <f>Tableau4[[#This Row],[Couverture 3 (%)]]*Tableau4[[#This Row],[Nombres appareils installés]]</f>
        <v>0.59686974975683083</v>
      </c>
      <c r="AC54" s="188">
        <f>($AC$4+$AD$4*(Tableau4[[#This Row],[Capacité (BTU)]]/1000))*Tableau4[[#This Row],[Nombres appareils installés]]</f>
        <v>3440</v>
      </c>
      <c r="AD54" s="188">
        <f>Tableau4[[#This Row],[AF 4 ($)]]/Tableau4[[#This Row],[Nombres appareils installés]]</f>
        <v>3440</v>
      </c>
      <c r="AE54" s="194">
        <f>Tableau4[[#This Row],[Couverture 4 (%)]]*Tableau4[[#This Row],[Nombres appareils installés]]</f>
        <v>0.50697084917617241</v>
      </c>
      <c r="AF54" s="193">
        <f>Tableau4[[#This Row],[AF 4 par appareil  ($)]]/Tableau4[[#This Row],[Surcoût par appareil ($)]]</f>
        <v>0.50697084917617241</v>
      </c>
    </row>
    <row r="55" spans="2:32" x14ac:dyDescent="0.3">
      <c r="B55" s="187" t="s">
        <v>111</v>
      </c>
      <c r="C55" s="188" t="s">
        <v>122</v>
      </c>
      <c r="D55" s="188">
        <v>2</v>
      </c>
      <c r="E55" s="188">
        <v>310000</v>
      </c>
      <c r="F55" s="189">
        <f>Tableau4[[#This Row],[Economies totales (m3)]]/Tableau4[[#This Row],[Nombres appareils installés]]</f>
        <v>1068</v>
      </c>
      <c r="G55" s="190">
        <v>2136</v>
      </c>
      <c r="H55" s="188">
        <f t="shared" si="0"/>
        <v>4385.3999999999996</v>
      </c>
      <c r="I55" s="188">
        <v>2400</v>
      </c>
      <c r="J55" s="188">
        <f>Tableau4[[#This Row],[Surcoût moyens de l''équipement ($)]]+Tableau4[[#This Row],[Surcoût moyen de l''installation ($)]]</f>
        <v>6785.4</v>
      </c>
      <c r="K55" s="188">
        <f>Tableau4[[#This Row],[Surcoût par appareil ($)]]*Tableau4[[#This Row],[Nombres appareils installés]]</f>
        <v>13570.8</v>
      </c>
      <c r="L55" s="190">
        <v>3400</v>
      </c>
      <c r="M55" s="188">
        <f t="shared" si="1"/>
        <v>4900</v>
      </c>
      <c r="N55" s="188">
        <f>Tableau4[[#This Row],[AF 0 ($)]]/Tableau4[[#This Row],[Nombres appareils installés]]</f>
        <v>2450</v>
      </c>
      <c r="O55" s="191">
        <f>(Tableau4[[#This Row],[AF accordée ($)]])/($J$6*D55)</f>
        <v>0.42463905680171854</v>
      </c>
      <c r="P55" s="191">
        <f>Tableau4[[#This Row],[Couverture 0 (%)]]*Tableau4[[#This Row],[Nombres appareils installés]]</f>
        <v>0.84927811360343708</v>
      </c>
      <c r="Q55" s="188">
        <f>($Q$4+$R$4*(Tableau4[[#This Row],[Capacité (BTU)]]/1000))*Tableau4[[#This Row],[Nombres appareils installés]]</f>
        <v>7100</v>
      </c>
      <c r="R55" s="188">
        <f>Tableau4[[#This Row],[AF 1 ($)]]/Tableau4[[#This Row],[Nombres appareils installés]]</f>
        <v>3550</v>
      </c>
      <c r="S55" s="191">
        <f>Tableau4[[#This Row],[AF 1 ($)]]/(J55*D55)</f>
        <v>0.52318212633006167</v>
      </c>
      <c r="T55" s="191">
        <f>Tableau4[[#This Row],[Couverture 1 (%)]]*Tableau4[[#This Row],[Nombres appareils installés]]</f>
        <v>1.0463642526601233</v>
      </c>
      <c r="U55" s="188">
        <f>($U$4+($V$4*(Tableau4[[#This Row],[Capacité (BTU)]]/1000)))*Tableau4[[#This Row],[Nombres appareils installés]]</f>
        <v>8650</v>
      </c>
      <c r="V55" s="188">
        <f>Tableau4[[#This Row],[AF 2 ($)]]/Tableau4[[#This Row],[Nombres appareils installés]]</f>
        <v>4325</v>
      </c>
      <c r="W55" s="192">
        <f>Tableau4[[#This Row],[AF 2 par appareil ($)]]/Tableau4[[#This Row],[Surcoût par appareil ($)]]</f>
        <v>0.63739794264155392</v>
      </c>
      <c r="X55" s="192">
        <f>Tableau4[[#This Row],[Couverture 2 (%)]]*Tableau4[[#This Row],[Nombres appareils installés]]</f>
        <v>1.2747958852831078</v>
      </c>
      <c r="Y55" s="188">
        <f>($Y$4+$Z$4*(Tableau4[[#This Row],[Capacité (BTU)]]/1000))*Tableau4[[#This Row],[Nombres appareils installés]]</f>
        <v>8100</v>
      </c>
      <c r="Z55" s="188">
        <f>Tableau4[[#This Row],[AF 3 ($)]]/Tableau4[[#This Row],[Nombres appareils installés]]</f>
        <v>4050</v>
      </c>
      <c r="AA55" s="193">
        <f>Tableau4[[#This Row],[AF 3 par appareil ($)]]/Tableau4[[#This Row],[Surcoût par appareil ($)]]</f>
        <v>0.59686974975683083</v>
      </c>
      <c r="AB55" s="193">
        <f>Tableau4[[#This Row],[Couverture 3 (%)]]*Tableau4[[#This Row],[Nombres appareils installés]]</f>
        <v>1.1937394995136617</v>
      </c>
      <c r="AC55" s="188">
        <f>($AC$4+$AD$4*(Tableau4[[#This Row],[Capacité (BTU)]]/1000))*Tableau4[[#This Row],[Nombres appareils installés]]</f>
        <v>6880</v>
      </c>
      <c r="AD55" s="188">
        <f>Tableau4[[#This Row],[AF 4 ($)]]/Tableau4[[#This Row],[Nombres appareils installés]]</f>
        <v>3440</v>
      </c>
      <c r="AE55" s="194">
        <f>Tableau4[[#This Row],[Couverture 4 (%)]]*Tableau4[[#This Row],[Nombres appareils installés]]</f>
        <v>1.0139416983523448</v>
      </c>
      <c r="AF55" s="193">
        <f>Tableau4[[#This Row],[AF 4 par appareil  ($)]]/Tableau4[[#This Row],[Surcoût par appareil ($)]]</f>
        <v>0.50697084917617241</v>
      </c>
    </row>
    <row r="56" spans="2:32" x14ac:dyDescent="0.3">
      <c r="B56" s="187" t="s">
        <v>111</v>
      </c>
      <c r="C56" s="188" t="s">
        <v>140</v>
      </c>
      <c r="D56" s="188">
        <v>8</v>
      </c>
      <c r="E56" s="188">
        <v>310000</v>
      </c>
      <c r="F56" s="189">
        <f>Tableau4[[#This Row],[Economies totales (m3)]]/Tableau4[[#This Row],[Nombres appareils installés]]</f>
        <v>1068</v>
      </c>
      <c r="G56" s="190">
        <v>8544</v>
      </c>
      <c r="H56" s="188">
        <f t="shared" si="0"/>
        <v>4385.3999999999996</v>
      </c>
      <c r="I56" s="188">
        <v>2400</v>
      </c>
      <c r="J56" s="188">
        <f>Tableau4[[#This Row],[Surcoût moyens de l''équipement ($)]]+Tableau4[[#This Row],[Surcoût moyen de l''installation ($)]]</f>
        <v>6785.4</v>
      </c>
      <c r="K56" s="188">
        <f>Tableau4[[#This Row],[Surcoût par appareil ($)]]*Tableau4[[#This Row],[Nombres appareils installés]]</f>
        <v>54283.199999999997</v>
      </c>
      <c r="L56" s="190">
        <v>13600</v>
      </c>
      <c r="M56" s="188">
        <f t="shared" si="1"/>
        <v>19600</v>
      </c>
      <c r="N56" s="188">
        <f>Tableau4[[#This Row],[AF 0 ($)]]/Tableau4[[#This Row],[Nombres appareils installés]]</f>
        <v>2450</v>
      </c>
      <c r="O56" s="191">
        <f>(Tableau4[[#This Row],[AF accordée ($)]])/($J$6*D56)</f>
        <v>0.42463905680171854</v>
      </c>
      <c r="P56" s="191">
        <f>Tableau4[[#This Row],[Couverture 0 (%)]]*Tableau4[[#This Row],[Nombres appareils installés]]</f>
        <v>3.3971124544137483</v>
      </c>
      <c r="Q56" s="188">
        <f>($Q$4+$R$4*(Tableau4[[#This Row],[Capacité (BTU)]]/1000))*Tableau4[[#This Row],[Nombres appareils installés]]</f>
        <v>28400</v>
      </c>
      <c r="R56" s="188">
        <f>Tableau4[[#This Row],[AF 1 ($)]]/Tableau4[[#This Row],[Nombres appareils installés]]</f>
        <v>3550</v>
      </c>
      <c r="S56" s="191">
        <f>Tableau4[[#This Row],[AF 1 ($)]]/(J56*D56)</f>
        <v>0.52318212633006167</v>
      </c>
      <c r="T56" s="191">
        <f>Tableau4[[#This Row],[Couverture 1 (%)]]*Tableau4[[#This Row],[Nombres appareils installés]]</f>
        <v>4.1854570106404934</v>
      </c>
      <c r="U56" s="188">
        <f>($U$4+($V$4*(Tableau4[[#This Row],[Capacité (BTU)]]/1000)))*Tableau4[[#This Row],[Nombres appareils installés]]</f>
        <v>34600</v>
      </c>
      <c r="V56" s="188">
        <f>Tableau4[[#This Row],[AF 2 ($)]]/Tableau4[[#This Row],[Nombres appareils installés]]</f>
        <v>4325</v>
      </c>
      <c r="W56" s="192">
        <f>Tableau4[[#This Row],[AF 2 par appareil ($)]]/Tableau4[[#This Row],[Surcoût par appareil ($)]]</f>
        <v>0.63739794264155392</v>
      </c>
      <c r="X56" s="192">
        <f>Tableau4[[#This Row],[Couverture 2 (%)]]*Tableau4[[#This Row],[Nombres appareils installés]]</f>
        <v>5.0991835411324313</v>
      </c>
      <c r="Y56" s="188">
        <f>($Y$4+$Z$4*(Tableau4[[#This Row],[Capacité (BTU)]]/1000))*Tableau4[[#This Row],[Nombres appareils installés]]</f>
        <v>32400</v>
      </c>
      <c r="Z56" s="188">
        <f>Tableau4[[#This Row],[AF 3 ($)]]/Tableau4[[#This Row],[Nombres appareils installés]]</f>
        <v>4050</v>
      </c>
      <c r="AA56" s="193">
        <f>Tableau4[[#This Row],[AF 3 par appareil ($)]]/Tableau4[[#This Row],[Surcoût par appareil ($)]]</f>
        <v>0.59686974975683083</v>
      </c>
      <c r="AB56" s="193">
        <f>Tableau4[[#This Row],[Couverture 3 (%)]]*Tableau4[[#This Row],[Nombres appareils installés]]</f>
        <v>4.7749579980546466</v>
      </c>
      <c r="AC56" s="188">
        <f>($AC$4+$AD$4*(Tableau4[[#This Row],[Capacité (BTU)]]/1000))*Tableau4[[#This Row],[Nombres appareils installés]]</f>
        <v>27520</v>
      </c>
      <c r="AD56" s="188">
        <f>Tableau4[[#This Row],[AF 4 ($)]]/Tableau4[[#This Row],[Nombres appareils installés]]</f>
        <v>3440</v>
      </c>
      <c r="AE56" s="194">
        <f>Tableau4[[#This Row],[Couverture 4 (%)]]*Tableau4[[#This Row],[Nombres appareils installés]]</f>
        <v>4.0557667934093793</v>
      </c>
      <c r="AF56" s="193">
        <f>Tableau4[[#This Row],[AF 4 par appareil  ($)]]/Tableau4[[#This Row],[Surcoût par appareil ($)]]</f>
        <v>0.50697084917617241</v>
      </c>
    </row>
    <row r="57" spans="2:32" x14ac:dyDescent="0.3">
      <c r="B57" s="195" t="s">
        <v>141</v>
      </c>
      <c r="C57" s="188" t="s">
        <v>142</v>
      </c>
      <c r="D57" s="188">
        <v>1</v>
      </c>
      <c r="E57" s="188">
        <v>55000</v>
      </c>
      <c r="F57" s="196">
        <f>Tableau4[[#This Row],[Economies totales (m3)]]/Tableau4[[#This Row],[Nombres appareils installés]]</f>
        <v>277.75</v>
      </c>
      <c r="G57" s="190">
        <v>277.75</v>
      </c>
      <c r="H57" s="188">
        <f t="shared" si="0"/>
        <v>1618.65</v>
      </c>
      <c r="I57" s="188">
        <v>2400</v>
      </c>
      <c r="J57" s="188">
        <f>Tableau4[[#This Row],[Surcoût moyens de l''équipement ($)]]+Tableau4[[#This Row],[Surcoût moyen de l''installation ($)]]</f>
        <v>4018.65</v>
      </c>
      <c r="K57" s="188">
        <f>Tableau4[[#This Row],[Surcoût par appareil ($)]]*Tableau4[[#This Row],[Nombres appareils installés]]</f>
        <v>4018.65</v>
      </c>
      <c r="L57" s="190">
        <v>1700</v>
      </c>
      <c r="M57" s="188">
        <f t="shared" si="1"/>
        <v>1175</v>
      </c>
      <c r="N57" s="188">
        <f>Tableau4[[#This Row],[AF 0 ($)]]/Tableau4[[#This Row],[Nombres appareils installés]]</f>
        <v>1175</v>
      </c>
      <c r="O57" s="191">
        <f>(Tableau4[[#This Row],[AF accordée ($)]])/($J$6*D57)</f>
        <v>0.42463905680171854</v>
      </c>
      <c r="P57" s="191">
        <f>Tableau4[[#This Row],[Couverture 0 (%)]]*Tableau4[[#This Row],[Nombres appareils installés]]</f>
        <v>0.42463905680171854</v>
      </c>
      <c r="Q57" s="188">
        <f>($Q$4+$R$4*(Tableau4[[#This Row],[Capacité (BTU)]]/1000))*Tableau4[[#This Row],[Nombres appareils installés]]</f>
        <v>2275</v>
      </c>
      <c r="R57" s="188">
        <f>Tableau4[[#This Row],[AF 1 ($)]]/Tableau4[[#This Row],[Nombres appareils installés]]</f>
        <v>2275</v>
      </c>
      <c r="S57" s="191">
        <f>Tableau4[[#This Row],[AF 1 ($)]]/(J57*D57)</f>
        <v>0.56611050974829857</v>
      </c>
      <c r="T57" s="191">
        <f>Tableau4[[#This Row],[Couverture 1 (%)]]*Tableau4[[#This Row],[Nombres appareils installés]]</f>
        <v>0.56611050974829857</v>
      </c>
      <c r="U57" s="188">
        <f>($U$4+($V$4*(Tableau4[[#This Row],[Capacité (BTU)]]/1000)))*Tableau4[[#This Row],[Nombres appareils installés]]</f>
        <v>2412.5</v>
      </c>
      <c r="V57" s="188">
        <f>Tableau4[[#This Row],[AF 2 ($)]]/Tableau4[[#This Row],[Nombres appareils installés]]</f>
        <v>2412.5</v>
      </c>
      <c r="W57" s="192">
        <f>Tableau4[[#This Row],[AF 2 par appareil ($)]]/Tableau4[[#This Row],[Surcoût par appareil ($)]]</f>
        <v>0.60032598011770122</v>
      </c>
      <c r="X57" s="192">
        <f>Tableau4[[#This Row],[Couverture 2 (%)]]*Tableau4[[#This Row],[Nombres appareils installés]]</f>
        <v>0.60032598011770122</v>
      </c>
      <c r="Y57" s="188">
        <f>($Y$4+$Z$4*(Tableau4[[#This Row],[Capacité (BTU)]]/1000))*Tableau4[[#This Row],[Nombres appareils installés]]</f>
        <v>2775</v>
      </c>
      <c r="Z57" s="188">
        <f>Tableau4[[#This Row],[AF 3 ($)]]/Tableau4[[#This Row],[Nombres appareils installés]]</f>
        <v>2775</v>
      </c>
      <c r="AA57" s="193">
        <f>Tableau4[[#This Row],[AF 3 par appareil ($)]]/Tableau4[[#This Row],[Surcoût par appareil ($)]]</f>
        <v>0.69053040200067184</v>
      </c>
      <c r="AB57" s="193">
        <f>Tableau4[[#This Row],[Couverture 3 (%)]]*Tableau4[[#This Row],[Nombres appareils installés]]</f>
        <v>0.69053040200067184</v>
      </c>
      <c r="AC57" s="188">
        <f>($AC$4+$AD$4*(Tableau4[[#This Row],[Capacité (BTU)]]/1000))*Tableau4[[#This Row],[Nombres appareils installés]]</f>
        <v>2420</v>
      </c>
      <c r="AD57" s="188">
        <f>Tableau4[[#This Row],[AF 4 ($)]]/Tableau4[[#This Row],[Nombres appareils installés]]</f>
        <v>2420</v>
      </c>
      <c r="AE57" s="194">
        <f>Tableau4[[#This Row],[Couverture 4 (%)]]*Tableau4[[#This Row],[Nombres appareils installés]]</f>
        <v>0.60219227850148682</v>
      </c>
      <c r="AF57" s="193">
        <f>Tableau4[[#This Row],[AF 4 par appareil  ($)]]/Tableau4[[#This Row],[Surcoût par appareil ($)]]</f>
        <v>0.60219227850148682</v>
      </c>
    </row>
    <row r="58" spans="2:32" x14ac:dyDescent="0.3">
      <c r="B58" s="195" t="s">
        <v>141</v>
      </c>
      <c r="C58" s="188" t="s">
        <v>143</v>
      </c>
      <c r="D58" s="188">
        <v>1</v>
      </c>
      <c r="E58" s="188">
        <v>55000</v>
      </c>
      <c r="F58" s="196">
        <f>Tableau4[[#This Row],[Economies totales (m3)]]/Tableau4[[#This Row],[Nombres appareils installés]]</f>
        <v>277.75</v>
      </c>
      <c r="G58" s="190">
        <v>277.75</v>
      </c>
      <c r="H58" s="188">
        <f t="shared" si="0"/>
        <v>1618.65</v>
      </c>
      <c r="I58" s="188">
        <v>2400</v>
      </c>
      <c r="J58" s="188">
        <f>Tableau4[[#This Row],[Surcoût moyens de l''équipement ($)]]+Tableau4[[#This Row],[Surcoût moyen de l''installation ($)]]</f>
        <v>4018.65</v>
      </c>
      <c r="K58" s="188">
        <f>Tableau4[[#This Row],[Surcoût par appareil ($)]]*Tableau4[[#This Row],[Nombres appareils installés]]</f>
        <v>4018.65</v>
      </c>
      <c r="L58" s="190">
        <v>1700</v>
      </c>
      <c r="M58" s="188">
        <f t="shared" si="1"/>
        <v>1175</v>
      </c>
      <c r="N58" s="188">
        <f>Tableau4[[#This Row],[AF 0 ($)]]/Tableau4[[#This Row],[Nombres appareils installés]]</f>
        <v>1175</v>
      </c>
      <c r="O58" s="191">
        <f>(Tableau4[[#This Row],[AF accordée ($)]])/($J$6*D58)</f>
        <v>0.42463905680171854</v>
      </c>
      <c r="P58" s="191">
        <f>Tableau4[[#This Row],[Couverture 0 (%)]]*Tableau4[[#This Row],[Nombres appareils installés]]</f>
        <v>0.42463905680171854</v>
      </c>
      <c r="Q58" s="188">
        <f>($Q$4+$R$4*(Tableau4[[#This Row],[Capacité (BTU)]]/1000))*Tableau4[[#This Row],[Nombres appareils installés]]</f>
        <v>2275</v>
      </c>
      <c r="R58" s="188">
        <f>Tableau4[[#This Row],[AF 1 ($)]]/Tableau4[[#This Row],[Nombres appareils installés]]</f>
        <v>2275</v>
      </c>
      <c r="S58" s="191">
        <f>Tableau4[[#This Row],[AF 1 ($)]]/(J58*D58)</f>
        <v>0.56611050974829857</v>
      </c>
      <c r="T58" s="191">
        <f>Tableau4[[#This Row],[Couverture 1 (%)]]*Tableau4[[#This Row],[Nombres appareils installés]]</f>
        <v>0.56611050974829857</v>
      </c>
      <c r="U58" s="188">
        <f>($U$4+($V$4*(Tableau4[[#This Row],[Capacité (BTU)]]/1000)))*Tableau4[[#This Row],[Nombres appareils installés]]</f>
        <v>2412.5</v>
      </c>
      <c r="V58" s="188">
        <f>Tableau4[[#This Row],[AF 2 ($)]]/Tableau4[[#This Row],[Nombres appareils installés]]</f>
        <v>2412.5</v>
      </c>
      <c r="W58" s="192">
        <f>Tableau4[[#This Row],[AF 2 par appareil ($)]]/Tableau4[[#This Row],[Surcoût par appareil ($)]]</f>
        <v>0.60032598011770122</v>
      </c>
      <c r="X58" s="192">
        <f>Tableau4[[#This Row],[Couverture 2 (%)]]*Tableau4[[#This Row],[Nombres appareils installés]]</f>
        <v>0.60032598011770122</v>
      </c>
      <c r="Y58" s="188">
        <f>($Y$4+$Z$4*(Tableau4[[#This Row],[Capacité (BTU)]]/1000))*Tableau4[[#This Row],[Nombres appareils installés]]</f>
        <v>2775</v>
      </c>
      <c r="Z58" s="188">
        <f>Tableau4[[#This Row],[AF 3 ($)]]/Tableau4[[#This Row],[Nombres appareils installés]]</f>
        <v>2775</v>
      </c>
      <c r="AA58" s="193">
        <f>Tableau4[[#This Row],[AF 3 par appareil ($)]]/Tableau4[[#This Row],[Surcoût par appareil ($)]]</f>
        <v>0.69053040200067184</v>
      </c>
      <c r="AB58" s="193">
        <f>Tableau4[[#This Row],[Couverture 3 (%)]]*Tableau4[[#This Row],[Nombres appareils installés]]</f>
        <v>0.69053040200067184</v>
      </c>
      <c r="AC58" s="188">
        <f>($AC$4+$AD$4*(Tableau4[[#This Row],[Capacité (BTU)]]/1000))*Tableau4[[#This Row],[Nombres appareils installés]]</f>
        <v>2420</v>
      </c>
      <c r="AD58" s="188">
        <f>Tableau4[[#This Row],[AF 4 ($)]]/Tableau4[[#This Row],[Nombres appareils installés]]</f>
        <v>2420</v>
      </c>
      <c r="AE58" s="194">
        <f>Tableau4[[#This Row],[Couverture 4 (%)]]*Tableau4[[#This Row],[Nombres appareils installés]]</f>
        <v>0.60219227850148682</v>
      </c>
      <c r="AF58" s="193">
        <f>Tableau4[[#This Row],[AF 4 par appareil  ($)]]/Tableau4[[#This Row],[Surcoût par appareil ($)]]</f>
        <v>0.60219227850148682</v>
      </c>
    </row>
    <row r="59" spans="2:32" x14ac:dyDescent="0.3">
      <c r="B59" s="195" t="s">
        <v>141</v>
      </c>
      <c r="C59" s="188" t="s">
        <v>144</v>
      </c>
      <c r="D59" s="188">
        <v>1</v>
      </c>
      <c r="E59" s="188">
        <v>55000</v>
      </c>
      <c r="F59" s="196">
        <f>Tableau4[[#This Row],[Economies totales (m3)]]/Tableau4[[#This Row],[Nombres appareils installés]]</f>
        <v>277.75</v>
      </c>
      <c r="G59" s="190">
        <v>277.75</v>
      </c>
      <c r="H59" s="188">
        <f t="shared" si="0"/>
        <v>1618.65</v>
      </c>
      <c r="I59" s="188">
        <v>2400</v>
      </c>
      <c r="J59" s="188">
        <f>Tableau4[[#This Row],[Surcoût moyens de l''équipement ($)]]+Tableau4[[#This Row],[Surcoût moyen de l''installation ($)]]</f>
        <v>4018.65</v>
      </c>
      <c r="K59" s="188">
        <f>Tableau4[[#This Row],[Surcoût par appareil ($)]]*Tableau4[[#This Row],[Nombres appareils installés]]</f>
        <v>4018.65</v>
      </c>
      <c r="L59" s="190">
        <v>1700</v>
      </c>
      <c r="M59" s="188">
        <f t="shared" si="1"/>
        <v>1175</v>
      </c>
      <c r="N59" s="188">
        <f>Tableau4[[#This Row],[AF 0 ($)]]/Tableau4[[#This Row],[Nombres appareils installés]]</f>
        <v>1175</v>
      </c>
      <c r="O59" s="191">
        <f>(Tableau4[[#This Row],[AF accordée ($)]])/($J$6*D59)</f>
        <v>0.42463905680171854</v>
      </c>
      <c r="P59" s="191">
        <f>Tableau4[[#This Row],[Couverture 0 (%)]]*Tableau4[[#This Row],[Nombres appareils installés]]</f>
        <v>0.42463905680171854</v>
      </c>
      <c r="Q59" s="188">
        <f>($Q$4+$R$4*(Tableau4[[#This Row],[Capacité (BTU)]]/1000))*Tableau4[[#This Row],[Nombres appareils installés]]</f>
        <v>2275</v>
      </c>
      <c r="R59" s="188">
        <f>Tableau4[[#This Row],[AF 1 ($)]]/Tableau4[[#This Row],[Nombres appareils installés]]</f>
        <v>2275</v>
      </c>
      <c r="S59" s="191">
        <f>Tableau4[[#This Row],[AF 1 ($)]]/(J59*D59)</f>
        <v>0.56611050974829857</v>
      </c>
      <c r="T59" s="191">
        <f>Tableau4[[#This Row],[Couverture 1 (%)]]*Tableau4[[#This Row],[Nombres appareils installés]]</f>
        <v>0.56611050974829857</v>
      </c>
      <c r="U59" s="188">
        <f>($U$4+($V$4*(Tableau4[[#This Row],[Capacité (BTU)]]/1000)))*Tableau4[[#This Row],[Nombres appareils installés]]</f>
        <v>2412.5</v>
      </c>
      <c r="V59" s="188">
        <f>Tableau4[[#This Row],[AF 2 ($)]]/Tableau4[[#This Row],[Nombres appareils installés]]</f>
        <v>2412.5</v>
      </c>
      <c r="W59" s="192">
        <f>Tableau4[[#This Row],[AF 2 par appareil ($)]]/Tableau4[[#This Row],[Surcoût par appareil ($)]]</f>
        <v>0.60032598011770122</v>
      </c>
      <c r="X59" s="192">
        <f>Tableau4[[#This Row],[Couverture 2 (%)]]*Tableau4[[#This Row],[Nombres appareils installés]]</f>
        <v>0.60032598011770122</v>
      </c>
      <c r="Y59" s="188">
        <f>($Y$4+$Z$4*(Tableau4[[#This Row],[Capacité (BTU)]]/1000))*Tableau4[[#This Row],[Nombres appareils installés]]</f>
        <v>2775</v>
      </c>
      <c r="Z59" s="188">
        <f>Tableau4[[#This Row],[AF 3 ($)]]/Tableau4[[#This Row],[Nombres appareils installés]]</f>
        <v>2775</v>
      </c>
      <c r="AA59" s="193">
        <f>Tableau4[[#This Row],[AF 3 par appareil ($)]]/Tableau4[[#This Row],[Surcoût par appareil ($)]]</f>
        <v>0.69053040200067184</v>
      </c>
      <c r="AB59" s="193">
        <f>Tableau4[[#This Row],[Couverture 3 (%)]]*Tableau4[[#This Row],[Nombres appareils installés]]</f>
        <v>0.69053040200067184</v>
      </c>
      <c r="AC59" s="188">
        <f>($AC$4+$AD$4*(Tableau4[[#This Row],[Capacité (BTU)]]/1000))*Tableau4[[#This Row],[Nombres appareils installés]]</f>
        <v>2420</v>
      </c>
      <c r="AD59" s="188">
        <f>Tableau4[[#This Row],[AF 4 ($)]]/Tableau4[[#This Row],[Nombres appareils installés]]</f>
        <v>2420</v>
      </c>
      <c r="AE59" s="194">
        <f>Tableau4[[#This Row],[Couverture 4 (%)]]*Tableau4[[#This Row],[Nombres appareils installés]]</f>
        <v>0.60219227850148682</v>
      </c>
      <c r="AF59" s="193">
        <f>Tableau4[[#This Row],[AF 4 par appareil  ($)]]/Tableau4[[#This Row],[Surcoût par appareil ($)]]</f>
        <v>0.60219227850148682</v>
      </c>
    </row>
    <row r="60" spans="2:32" x14ac:dyDescent="0.3">
      <c r="B60" s="195" t="s">
        <v>141</v>
      </c>
      <c r="C60" s="188" t="s">
        <v>145</v>
      </c>
      <c r="D60" s="188">
        <v>4</v>
      </c>
      <c r="E60" s="188">
        <v>55000</v>
      </c>
      <c r="F60" s="196">
        <f>Tableau4[[#This Row],[Economies totales (m3)]]/Tableau4[[#This Row],[Nombres appareils installés]]</f>
        <v>277.75</v>
      </c>
      <c r="G60" s="190">
        <v>1111</v>
      </c>
      <c r="H60" s="188">
        <f t="shared" si="0"/>
        <v>1618.65</v>
      </c>
      <c r="I60" s="188">
        <v>2400</v>
      </c>
      <c r="J60" s="188">
        <f>Tableau4[[#This Row],[Surcoût moyens de l''équipement ($)]]+Tableau4[[#This Row],[Surcoût moyen de l''installation ($)]]</f>
        <v>4018.65</v>
      </c>
      <c r="K60" s="188">
        <f>Tableau4[[#This Row],[Surcoût par appareil ($)]]*Tableau4[[#This Row],[Nombres appareils installés]]</f>
        <v>16074.6</v>
      </c>
      <c r="L60" s="190">
        <v>6800</v>
      </c>
      <c r="M60" s="188">
        <f t="shared" si="1"/>
        <v>4700</v>
      </c>
      <c r="N60" s="188">
        <f>Tableau4[[#This Row],[AF 0 ($)]]/Tableau4[[#This Row],[Nombres appareils installés]]</f>
        <v>1175</v>
      </c>
      <c r="O60" s="191">
        <f>(Tableau4[[#This Row],[AF accordée ($)]])/($J$6*D60)</f>
        <v>0.42463905680171854</v>
      </c>
      <c r="P60" s="191">
        <f>Tableau4[[#This Row],[Couverture 0 (%)]]*Tableau4[[#This Row],[Nombres appareils installés]]</f>
        <v>1.6985562272068742</v>
      </c>
      <c r="Q60" s="188">
        <f>($Q$4+$R$4*(Tableau4[[#This Row],[Capacité (BTU)]]/1000))*Tableau4[[#This Row],[Nombres appareils installés]]</f>
        <v>9100</v>
      </c>
      <c r="R60" s="188">
        <f>Tableau4[[#This Row],[AF 1 ($)]]/Tableau4[[#This Row],[Nombres appareils installés]]</f>
        <v>2275</v>
      </c>
      <c r="S60" s="191">
        <f>Tableau4[[#This Row],[AF 1 ($)]]/(J60*D60)</f>
        <v>0.56611050974829857</v>
      </c>
      <c r="T60" s="191">
        <f>Tableau4[[#This Row],[Couverture 1 (%)]]*Tableau4[[#This Row],[Nombres appareils installés]]</f>
        <v>2.2644420389931943</v>
      </c>
      <c r="U60" s="188">
        <f>($U$4+($V$4*(Tableau4[[#This Row],[Capacité (BTU)]]/1000)))*Tableau4[[#This Row],[Nombres appareils installés]]</f>
        <v>9650</v>
      </c>
      <c r="V60" s="188">
        <f>Tableau4[[#This Row],[AF 2 ($)]]/Tableau4[[#This Row],[Nombres appareils installés]]</f>
        <v>2412.5</v>
      </c>
      <c r="W60" s="192">
        <f>Tableau4[[#This Row],[AF 2 par appareil ($)]]/Tableau4[[#This Row],[Surcoût par appareil ($)]]</f>
        <v>0.60032598011770122</v>
      </c>
      <c r="X60" s="192">
        <f>Tableau4[[#This Row],[Couverture 2 (%)]]*Tableau4[[#This Row],[Nombres appareils installés]]</f>
        <v>2.4013039204708049</v>
      </c>
      <c r="Y60" s="188">
        <f>($Y$4+$Z$4*(Tableau4[[#This Row],[Capacité (BTU)]]/1000))*Tableau4[[#This Row],[Nombres appareils installés]]</f>
        <v>11100</v>
      </c>
      <c r="Z60" s="188">
        <f>Tableau4[[#This Row],[AF 3 ($)]]/Tableau4[[#This Row],[Nombres appareils installés]]</f>
        <v>2775</v>
      </c>
      <c r="AA60" s="193">
        <f>Tableau4[[#This Row],[AF 3 par appareil ($)]]/Tableau4[[#This Row],[Surcoût par appareil ($)]]</f>
        <v>0.69053040200067184</v>
      </c>
      <c r="AB60" s="193">
        <f>Tableau4[[#This Row],[Couverture 3 (%)]]*Tableau4[[#This Row],[Nombres appareils installés]]</f>
        <v>2.7621216080026874</v>
      </c>
      <c r="AC60" s="188">
        <f>($AC$4+$AD$4*(Tableau4[[#This Row],[Capacité (BTU)]]/1000))*Tableau4[[#This Row],[Nombres appareils installés]]</f>
        <v>9680</v>
      </c>
      <c r="AD60" s="188">
        <f>Tableau4[[#This Row],[AF 4 ($)]]/Tableau4[[#This Row],[Nombres appareils installés]]</f>
        <v>2420</v>
      </c>
      <c r="AE60" s="194">
        <f>Tableau4[[#This Row],[Couverture 4 (%)]]*Tableau4[[#This Row],[Nombres appareils installés]]</f>
        <v>2.4087691140059473</v>
      </c>
      <c r="AF60" s="193">
        <f>Tableau4[[#This Row],[AF 4 par appareil  ($)]]/Tableau4[[#This Row],[Surcoût par appareil ($)]]</f>
        <v>0.60219227850148682</v>
      </c>
    </row>
    <row r="61" spans="2:32" x14ac:dyDescent="0.3">
      <c r="B61" s="195" t="s">
        <v>141</v>
      </c>
      <c r="C61" s="188" t="s">
        <v>146</v>
      </c>
      <c r="D61" s="188">
        <v>1</v>
      </c>
      <c r="E61" s="188">
        <v>65000</v>
      </c>
      <c r="F61" s="196">
        <f>Tableau4[[#This Row],[Economies totales (m3)]]/Tableau4[[#This Row],[Nombres appareils installés]]</f>
        <v>328.25</v>
      </c>
      <c r="G61" s="190">
        <v>328.25</v>
      </c>
      <c r="H61" s="188">
        <f t="shared" si="0"/>
        <v>1653.65</v>
      </c>
      <c r="I61" s="188">
        <v>2400</v>
      </c>
      <c r="J61" s="188">
        <f>Tableau4[[#This Row],[Surcoût moyens de l''équipement ($)]]+Tableau4[[#This Row],[Surcoût moyen de l''installation ($)]]</f>
        <v>4053.65</v>
      </c>
      <c r="K61" s="188">
        <f>Tableau4[[#This Row],[Surcoût par appareil ($)]]*Tableau4[[#This Row],[Nombres appareils installés]]</f>
        <v>4053.65</v>
      </c>
      <c r="L61" s="190">
        <v>1700</v>
      </c>
      <c r="M61" s="188">
        <f t="shared" si="1"/>
        <v>1225</v>
      </c>
      <c r="N61" s="188">
        <f>Tableau4[[#This Row],[AF 0 ($)]]/Tableau4[[#This Row],[Nombres appareils installés]]</f>
        <v>1225</v>
      </c>
      <c r="O61" s="191">
        <f>(Tableau4[[#This Row],[AF accordée ($)]])/($J$6*D61)</f>
        <v>0.42463905680171854</v>
      </c>
      <c r="P61" s="191">
        <f>Tableau4[[#This Row],[Couverture 0 (%)]]*Tableau4[[#This Row],[Nombres appareils installés]]</f>
        <v>0.42463905680171854</v>
      </c>
      <c r="Q61" s="188">
        <f>($Q$4+$R$4*(Tableau4[[#This Row],[Capacité (BTU)]]/1000))*Tableau4[[#This Row],[Nombres appareils installés]]</f>
        <v>2325</v>
      </c>
      <c r="R61" s="188">
        <f>Tableau4[[#This Row],[AF 1 ($)]]/Tableau4[[#This Row],[Nombres appareils installés]]</f>
        <v>2325</v>
      </c>
      <c r="S61" s="191">
        <f>Tableau4[[#This Row],[AF 1 ($)]]/(J61*D61)</f>
        <v>0.57355716453073158</v>
      </c>
      <c r="T61" s="191">
        <f>Tableau4[[#This Row],[Couverture 1 (%)]]*Tableau4[[#This Row],[Nombres appareils installés]]</f>
        <v>0.57355716453073158</v>
      </c>
      <c r="U61" s="188">
        <f>($U$4+($V$4*(Tableau4[[#This Row],[Capacité (BTU)]]/1000)))*Tableau4[[#This Row],[Nombres appareils installés]]</f>
        <v>2487.5</v>
      </c>
      <c r="V61" s="188">
        <f>Tableau4[[#This Row],[AF 2 ($)]]/Tableau4[[#This Row],[Nombres appareils installés]]</f>
        <v>2487.5</v>
      </c>
      <c r="W61" s="192">
        <f>Tableau4[[#This Row],[AF 2 par appareil ($)]]/Tableau4[[#This Row],[Surcoût par appareil ($)]]</f>
        <v>0.61364449323449233</v>
      </c>
      <c r="X61" s="192">
        <f>Tableau4[[#This Row],[Couverture 2 (%)]]*Tableau4[[#This Row],[Nombres appareils installés]]</f>
        <v>0.61364449323449233</v>
      </c>
      <c r="Y61" s="188">
        <f>($Y$4+$Z$4*(Tableau4[[#This Row],[Capacité (BTU)]]/1000))*Tableau4[[#This Row],[Nombres appareils installés]]</f>
        <v>2825</v>
      </c>
      <c r="Z61" s="188">
        <f>Tableau4[[#This Row],[AF 3 ($)]]/Tableau4[[#This Row],[Nombres appareils installés]]</f>
        <v>2825</v>
      </c>
      <c r="AA61" s="193">
        <f>Tableau4[[#This Row],[AF 3 par appareil ($)]]/Tableau4[[#This Row],[Surcoût par appareil ($)]]</f>
        <v>0.69690279131153399</v>
      </c>
      <c r="AB61" s="193">
        <f>Tableau4[[#This Row],[Couverture 3 (%)]]*Tableau4[[#This Row],[Nombres appareils installés]]</f>
        <v>0.69690279131153399</v>
      </c>
      <c r="AC61" s="188">
        <f>($AC$4+$AD$4*(Tableau4[[#This Row],[Capacité (BTU)]]/1000))*Tableau4[[#This Row],[Nombres appareils installés]]</f>
        <v>2460</v>
      </c>
      <c r="AD61" s="188">
        <f>Tableau4[[#This Row],[AF 4 ($)]]/Tableau4[[#This Row],[Nombres appareils installés]]</f>
        <v>2460</v>
      </c>
      <c r="AE61" s="194">
        <f>Tableau4[[#This Row],[Couverture 4 (%)]]*Tableau4[[#This Row],[Nombres appareils installés]]</f>
        <v>0.60686048376154822</v>
      </c>
      <c r="AF61" s="193">
        <f>Tableau4[[#This Row],[AF 4 par appareil  ($)]]/Tableau4[[#This Row],[Surcoût par appareil ($)]]</f>
        <v>0.60686048376154822</v>
      </c>
    </row>
    <row r="62" spans="2:32" x14ac:dyDescent="0.3">
      <c r="B62" s="195" t="s">
        <v>141</v>
      </c>
      <c r="C62" s="188" t="s">
        <v>147</v>
      </c>
      <c r="D62" s="188">
        <v>1</v>
      </c>
      <c r="E62" s="188">
        <v>85000</v>
      </c>
      <c r="F62" s="196">
        <f>Tableau4[[#This Row],[Economies totales (m3)]]/Tableau4[[#This Row],[Nombres appareils installés]]</f>
        <v>429.25</v>
      </c>
      <c r="G62" s="190">
        <v>429.25</v>
      </c>
      <c r="H62" s="188">
        <f t="shared" si="0"/>
        <v>1741.65</v>
      </c>
      <c r="I62" s="188">
        <v>2400</v>
      </c>
      <c r="J62" s="188">
        <f>Tableau4[[#This Row],[Surcoût moyens de l''équipement ($)]]+Tableau4[[#This Row],[Surcoût moyen de l''installation ($)]]</f>
        <v>4141.6499999999996</v>
      </c>
      <c r="K62" s="188">
        <f>Tableau4[[#This Row],[Surcoût par appareil ($)]]*Tableau4[[#This Row],[Nombres appareils installés]]</f>
        <v>4141.6499999999996</v>
      </c>
      <c r="L62" s="190">
        <v>1700</v>
      </c>
      <c r="M62" s="188">
        <f t="shared" si="1"/>
        <v>1325</v>
      </c>
      <c r="N62" s="188">
        <f>Tableau4[[#This Row],[AF 0 ($)]]/Tableau4[[#This Row],[Nombres appareils installés]]</f>
        <v>1325</v>
      </c>
      <c r="O62" s="191">
        <f>(Tableau4[[#This Row],[AF accordée ($)]])/($J$6*D62)</f>
        <v>0.42463905680171854</v>
      </c>
      <c r="P62" s="191">
        <f>Tableau4[[#This Row],[Couverture 0 (%)]]*Tableau4[[#This Row],[Nombres appareils installés]]</f>
        <v>0.42463905680171854</v>
      </c>
      <c r="Q62" s="188">
        <f>($Q$4+$R$4*(Tableau4[[#This Row],[Capacité (BTU)]]/1000))*Tableau4[[#This Row],[Nombres appareils installés]]</f>
        <v>2425</v>
      </c>
      <c r="R62" s="188">
        <f>Tableau4[[#This Row],[AF 1 ($)]]/Tableau4[[#This Row],[Nombres appareils installés]]</f>
        <v>2425</v>
      </c>
      <c r="S62" s="191">
        <f>Tableau4[[#This Row],[AF 1 ($)]]/(J62*D62)</f>
        <v>0.58551543466975731</v>
      </c>
      <c r="T62" s="191">
        <f>Tableau4[[#This Row],[Couverture 1 (%)]]*Tableau4[[#This Row],[Nombres appareils installés]]</f>
        <v>0.58551543466975731</v>
      </c>
      <c r="U62" s="188">
        <f>($U$4+($V$4*(Tableau4[[#This Row],[Capacité (BTU)]]/1000)))*Tableau4[[#This Row],[Nombres appareils installés]]</f>
        <v>2637.5</v>
      </c>
      <c r="V62" s="188">
        <f>Tableau4[[#This Row],[AF 2 ($)]]/Tableau4[[#This Row],[Nombres appareils installés]]</f>
        <v>2637.5</v>
      </c>
      <c r="W62" s="192">
        <f>Tableau4[[#This Row],[AF 2 par appareil ($)]]/Tableau4[[#This Row],[Surcoût par appareil ($)]]</f>
        <v>0.63682348822329271</v>
      </c>
      <c r="X62" s="192">
        <f>Tableau4[[#This Row],[Couverture 2 (%)]]*Tableau4[[#This Row],[Nombres appareils installés]]</f>
        <v>0.63682348822329271</v>
      </c>
      <c r="Y62" s="188">
        <f>($Y$4+$Z$4*(Tableau4[[#This Row],[Capacité (BTU)]]/1000))*Tableau4[[#This Row],[Nombres appareils installés]]</f>
        <v>2925</v>
      </c>
      <c r="Z62" s="188">
        <f>Tableau4[[#This Row],[AF 3 ($)]]/Tableau4[[#This Row],[Nombres appareils installés]]</f>
        <v>2925</v>
      </c>
      <c r="AA62" s="193">
        <f>Tableau4[[#This Row],[AF 3 par appareil ($)]]/Tableau4[[#This Row],[Surcoût par appareil ($)]]</f>
        <v>0.70624026656042893</v>
      </c>
      <c r="AB62" s="193">
        <f>Tableau4[[#This Row],[Couverture 3 (%)]]*Tableau4[[#This Row],[Nombres appareils installés]]</f>
        <v>0.70624026656042893</v>
      </c>
      <c r="AC62" s="188">
        <f>($AC$4+$AD$4*(Tableau4[[#This Row],[Capacité (BTU)]]/1000))*Tableau4[[#This Row],[Nombres appareils installés]]</f>
        <v>2540</v>
      </c>
      <c r="AD62" s="188">
        <f>Tableau4[[#This Row],[AF 4 ($)]]/Tableau4[[#This Row],[Nombres appareils installés]]</f>
        <v>2540</v>
      </c>
      <c r="AE62" s="194">
        <f>Tableau4[[#This Row],[Couverture 4 (%)]]*Tableau4[[#This Row],[Nombres appareils installés]]</f>
        <v>0.61328214600461173</v>
      </c>
      <c r="AF62" s="193">
        <f>Tableau4[[#This Row],[AF 4 par appareil  ($)]]/Tableau4[[#This Row],[Surcoût par appareil ($)]]</f>
        <v>0.61328214600461173</v>
      </c>
    </row>
    <row r="63" spans="2:32" x14ac:dyDescent="0.3">
      <c r="B63" s="195" t="s">
        <v>141</v>
      </c>
      <c r="C63" s="188" t="s">
        <v>148</v>
      </c>
      <c r="D63" s="188">
        <v>1</v>
      </c>
      <c r="E63" s="188">
        <v>85000</v>
      </c>
      <c r="F63" s="196">
        <f>Tableau4[[#This Row],[Economies totales (m3)]]/Tableau4[[#This Row],[Nombres appareils installés]]</f>
        <v>429.25</v>
      </c>
      <c r="G63" s="190">
        <v>429.25</v>
      </c>
      <c r="H63" s="188">
        <f t="shared" si="0"/>
        <v>1741.65</v>
      </c>
      <c r="I63" s="188">
        <v>2400</v>
      </c>
      <c r="J63" s="188">
        <f>Tableau4[[#This Row],[Surcoût moyens de l''équipement ($)]]+Tableau4[[#This Row],[Surcoût moyen de l''installation ($)]]</f>
        <v>4141.6499999999996</v>
      </c>
      <c r="K63" s="188">
        <f>Tableau4[[#This Row],[Surcoût par appareil ($)]]*Tableau4[[#This Row],[Nombres appareils installés]]</f>
        <v>4141.6499999999996</v>
      </c>
      <c r="L63" s="190">
        <v>1700</v>
      </c>
      <c r="M63" s="188">
        <f t="shared" si="1"/>
        <v>1325</v>
      </c>
      <c r="N63" s="188">
        <f>Tableau4[[#This Row],[AF 0 ($)]]/Tableau4[[#This Row],[Nombres appareils installés]]</f>
        <v>1325</v>
      </c>
      <c r="O63" s="191">
        <f>(Tableau4[[#This Row],[AF accordée ($)]])/($J$6*D63)</f>
        <v>0.42463905680171854</v>
      </c>
      <c r="P63" s="191">
        <f>Tableau4[[#This Row],[Couverture 0 (%)]]*Tableau4[[#This Row],[Nombres appareils installés]]</f>
        <v>0.42463905680171854</v>
      </c>
      <c r="Q63" s="188">
        <f>($Q$4+$R$4*(Tableau4[[#This Row],[Capacité (BTU)]]/1000))*Tableau4[[#This Row],[Nombres appareils installés]]</f>
        <v>2425</v>
      </c>
      <c r="R63" s="188">
        <f>Tableau4[[#This Row],[AF 1 ($)]]/Tableau4[[#This Row],[Nombres appareils installés]]</f>
        <v>2425</v>
      </c>
      <c r="S63" s="191">
        <f>Tableau4[[#This Row],[AF 1 ($)]]/(J63*D63)</f>
        <v>0.58551543466975731</v>
      </c>
      <c r="T63" s="191">
        <f>Tableau4[[#This Row],[Couverture 1 (%)]]*Tableau4[[#This Row],[Nombres appareils installés]]</f>
        <v>0.58551543466975731</v>
      </c>
      <c r="U63" s="188">
        <f>($U$4+($V$4*(Tableau4[[#This Row],[Capacité (BTU)]]/1000)))*Tableau4[[#This Row],[Nombres appareils installés]]</f>
        <v>2637.5</v>
      </c>
      <c r="V63" s="188">
        <f>Tableau4[[#This Row],[AF 2 ($)]]/Tableau4[[#This Row],[Nombres appareils installés]]</f>
        <v>2637.5</v>
      </c>
      <c r="W63" s="192">
        <f>Tableau4[[#This Row],[AF 2 par appareil ($)]]/Tableau4[[#This Row],[Surcoût par appareil ($)]]</f>
        <v>0.63682348822329271</v>
      </c>
      <c r="X63" s="192">
        <f>Tableau4[[#This Row],[Couverture 2 (%)]]*Tableau4[[#This Row],[Nombres appareils installés]]</f>
        <v>0.63682348822329271</v>
      </c>
      <c r="Y63" s="188">
        <f>($Y$4+$Z$4*(Tableau4[[#This Row],[Capacité (BTU)]]/1000))*Tableau4[[#This Row],[Nombres appareils installés]]</f>
        <v>2925</v>
      </c>
      <c r="Z63" s="188">
        <f>Tableau4[[#This Row],[AF 3 ($)]]/Tableau4[[#This Row],[Nombres appareils installés]]</f>
        <v>2925</v>
      </c>
      <c r="AA63" s="193">
        <f>Tableau4[[#This Row],[AF 3 par appareil ($)]]/Tableau4[[#This Row],[Surcoût par appareil ($)]]</f>
        <v>0.70624026656042893</v>
      </c>
      <c r="AB63" s="193">
        <f>Tableau4[[#This Row],[Couverture 3 (%)]]*Tableau4[[#This Row],[Nombres appareils installés]]</f>
        <v>0.70624026656042893</v>
      </c>
      <c r="AC63" s="188">
        <f>($AC$4+$AD$4*(Tableau4[[#This Row],[Capacité (BTU)]]/1000))*Tableau4[[#This Row],[Nombres appareils installés]]</f>
        <v>2540</v>
      </c>
      <c r="AD63" s="188">
        <f>Tableau4[[#This Row],[AF 4 ($)]]/Tableau4[[#This Row],[Nombres appareils installés]]</f>
        <v>2540</v>
      </c>
      <c r="AE63" s="194">
        <f>Tableau4[[#This Row],[Couverture 4 (%)]]*Tableau4[[#This Row],[Nombres appareils installés]]</f>
        <v>0.61328214600461173</v>
      </c>
      <c r="AF63" s="193">
        <f>Tableau4[[#This Row],[AF 4 par appareil  ($)]]/Tableau4[[#This Row],[Surcoût par appareil ($)]]</f>
        <v>0.61328214600461173</v>
      </c>
    </row>
    <row r="64" spans="2:32" x14ac:dyDescent="0.3">
      <c r="B64" s="195" t="s">
        <v>141</v>
      </c>
      <c r="C64" s="188" t="s">
        <v>149</v>
      </c>
      <c r="D64" s="188">
        <v>1</v>
      </c>
      <c r="E64" s="188">
        <v>85000</v>
      </c>
      <c r="F64" s="196">
        <f>Tableau4[[#This Row],[Economies totales (m3)]]/Tableau4[[#This Row],[Nombres appareils installés]]</f>
        <v>429.25</v>
      </c>
      <c r="G64" s="190">
        <v>429.25</v>
      </c>
      <c r="H64" s="188">
        <f t="shared" si="0"/>
        <v>1741.65</v>
      </c>
      <c r="I64" s="188">
        <v>2400</v>
      </c>
      <c r="J64" s="188">
        <f>Tableau4[[#This Row],[Surcoût moyens de l''équipement ($)]]+Tableau4[[#This Row],[Surcoût moyen de l''installation ($)]]</f>
        <v>4141.6499999999996</v>
      </c>
      <c r="K64" s="188">
        <f>Tableau4[[#This Row],[Surcoût par appareil ($)]]*Tableau4[[#This Row],[Nombres appareils installés]]</f>
        <v>4141.6499999999996</v>
      </c>
      <c r="L64" s="190">
        <v>1700</v>
      </c>
      <c r="M64" s="188">
        <f t="shared" si="1"/>
        <v>1325</v>
      </c>
      <c r="N64" s="188">
        <f>Tableau4[[#This Row],[AF 0 ($)]]/Tableau4[[#This Row],[Nombres appareils installés]]</f>
        <v>1325</v>
      </c>
      <c r="O64" s="191">
        <f>(Tableau4[[#This Row],[AF accordée ($)]])/($J$6*D64)</f>
        <v>0.42463905680171854</v>
      </c>
      <c r="P64" s="191">
        <f>Tableau4[[#This Row],[Couverture 0 (%)]]*Tableau4[[#This Row],[Nombres appareils installés]]</f>
        <v>0.42463905680171854</v>
      </c>
      <c r="Q64" s="188">
        <f>($Q$4+$R$4*(Tableau4[[#This Row],[Capacité (BTU)]]/1000))*Tableau4[[#This Row],[Nombres appareils installés]]</f>
        <v>2425</v>
      </c>
      <c r="R64" s="188">
        <f>Tableau4[[#This Row],[AF 1 ($)]]/Tableau4[[#This Row],[Nombres appareils installés]]</f>
        <v>2425</v>
      </c>
      <c r="S64" s="191">
        <f>Tableau4[[#This Row],[AF 1 ($)]]/(J64*D64)</f>
        <v>0.58551543466975731</v>
      </c>
      <c r="T64" s="191">
        <f>Tableau4[[#This Row],[Couverture 1 (%)]]*Tableau4[[#This Row],[Nombres appareils installés]]</f>
        <v>0.58551543466975731</v>
      </c>
      <c r="U64" s="188">
        <f>($U$4+($V$4*(Tableau4[[#This Row],[Capacité (BTU)]]/1000)))*Tableau4[[#This Row],[Nombres appareils installés]]</f>
        <v>2637.5</v>
      </c>
      <c r="V64" s="188">
        <f>Tableau4[[#This Row],[AF 2 ($)]]/Tableau4[[#This Row],[Nombres appareils installés]]</f>
        <v>2637.5</v>
      </c>
      <c r="W64" s="192">
        <f>Tableau4[[#This Row],[AF 2 par appareil ($)]]/Tableau4[[#This Row],[Surcoût par appareil ($)]]</f>
        <v>0.63682348822329271</v>
      </c>
      <c r="X64" s="192">
        <f>Tableau4[[#This Row],[Couverture 2 (%)]]*Tableau4[[#This Row],[Nombres appareils installés]]</f>
        <v>0.63682348822329271</v>
      </c>
      <c r="Y64" s="188">
        <f>($Y$4+$Z$4*(Tableau4[[#This Row],[Capacité (BTU)]]/1000))*Tableau4[[#This Row],[Nombres appareils installés]]</f>
        <v>2925</v>
      </c>
      <c r="Z64" s="188">
        <f>Tableau4[[#This Row],[AF 3 ($)]]/Tableau4[[#This Row],[Nombres appareils installés]]</f>
        <v>2925</v>
      </c>
      <c r="AA64" s="193">
        <f>Tableau4[[#This Row],[AF 3 par appareil ($)]]/Tableau4[[#This Row],[Surcoût par appareil ($)]]</f>
        <v>0.70624026656042893</v>
      </c>
      <c r="AB64" s="193">
        <f>Tableau4[[#This Row],[Couverture 3 (%)]]*Tableau4[[#This Row],[Nombres appareils installés]]</f>
        <v>0.70624026656042893</v>
      </c>
      <c r="AC64" s="188">
        <f>($AC$4+$AD$4*(Tableau4[[#This Row],[Capacité (BTU)]]/1000))*Tableau4[[#This Row],[Nombres appareils installés]]</f>
        <v>2540</v>
      </c>
      <c r="AD64" s="188">
        <f>Tableau4[[#This Row],[AF 4 ($)]]/Tableau4[[#This Row],[Nombres appareils installés]]</f>
        <v>2540</v>
      </c>
      <c r="AE64" s="194">
        <f>Tableau4[[#This Row],[Couverture 4 (%)]]*Tableau4[[#This Row],[Nombres appareils installés]]</f>
        <v>0.61328214600461173</v>
      </c>
      <c r="AF64" s="193">
        <f>Tableau4[[#This Row],[AF 4 par appareil  ($)]]/Tableau4[[#This Row],[Surcoût par appareil ($)]]</f>
        <v>0.61328214600461173</v>
      </c>
    </row>
    <row r="65" spans="2:32" x14ac:dyDescent="0.3">
      <c r="B65" s="195" t="s">
        <v>141</v>
      </c>
      <c r="C65" s="188" t="s">
        <v>150</v>
      </c>
      <c r="D65" s="188">
        <v>1</v>
      </c>
      <c r="E65" s="188">
        <v>85000</v>
      </c>
      <c r="F65" s="196">
        <f>Tableau4[[#This Row],[Economies totales (m3)]]/Tableau4[[#This Row],[Nombres appareils installés]]</f>
        <v>429.25</v>
      </c>
      <c r="G65" s="190">
        <v>429.25</v>
      </c>
      <c r="H65" s="188">
        <f t="shared" si="0"/>
        <v>1741.65</v>
      </c>
      <c r="I65" s="188">
        <v>2400</v>
      </c>
      <c r="J65" s="188">
        <f>Tableau4[[#This Row],[Surcoût moyens de l''équipement ($)]]+Tableau4[[#This Row],[Surcoût moyen de l''installation ($)]]</f>
        <v>4141.6499999999996</v>
      </c>
      <c r="K65" s="188">
        <f>Tableau4[[#This Row],[Surcoût par appareil ($)]]*Tableau4[[#This Row],[Nombres appareils installés]]</f>
        <v>4141.6499999999996</v>
      </c>
      <c r="L65" s="190">
        <v>1700</v>
      </c>
      <c r="M65" s="188">
        <f t="shared" si="1"/>
        <v>1325</v>
      </c>
      <c r="N65" s="188">
        <f>Tableau4[[#This Row],[AF 0 ($)]]/Tableau4[[#This Row],[Nombres appareils installés]]</f>
        <v>1325</v>
      </c>
      <c r="O65" s="191">
        <f>(Tableau4[[#This Row],[AF accordée ($)]])/($J$6*D65)</f>
        <v>0.42463905680171854</v>
      </c>
      <c r="P65" s="191">
        <f>Tableau4[[#This Row],[Couverture 0 (%)]]*Tableau4[[#This Row],[Nombres appareils installés]]</f>
        <v>0.42463905680171854</v>
      </c>
      <c r="Q65" s="188">
        <f>($Q$4+$R$4*(Tableau4[[#This Row],[Capacité (BTU)]]/1000))*Tableau4[[#This Row],[Nombres appareils installés]]</f>
        <v>2425</v>
      </c>
      <c r="R65" s="188">
        <f>Tableau4[[#This Row],[AF 1 ($)]]/Tableau4[[#This Row],[Nombres appareils installés]]</f>
        <v>2425</v>
      </c>
      <c r="S65" s="191">
        <f>Tableau4[[#This Row],[AF 1 ($)]]/(J65*D65)</f>
        <v>0.58551543466975731</v>
      </c>
      <c r="T65" s="191">
        <f>Tableau4[[#This Row],[Couverture 1 (%)]]*Tableau4[[#This Row],[Nombres appareils installés]]</f>
        <v>0.58551543466975731</v>
      </c>
      <c r="U65" s="188">
        <f>($U$4+($V$4*(Tableau4[[#This Row],[Capacité (BTU)]]/1000)))*Tableau4[[#This Row],[Nombres appareils installés]]</f>
        <v>2637.5</v>
      </c>
      <c r="V65" s="188">
        <f>Tableau4[[#This Row],[AF 2 ($)]]/Tableau4[[#This Row],[Nombres appareils installés]]</f>
        <v>2637.5</v>
      </c>
      <c r="W65" s="192">
        <f>Tableau4[[#This Row],[AF 2 par appareil ($)]]/Tableau4[[#This Row],[Surcoût par appareil ($)]]</f>
        <v>0.63682348822329271</v>
      </c>
      <c r="X65" s="192">
        <f>Tableau4[[#This Row],[Couverture 2 (%)]]*Tableau4[[#This Row],[Nombres appareils installés]]</f>
        <v>0.63682348822329271</v>
      </c>
      <c r="Y65" s="188">
        <f>($Y$4+$Z$4*(Tableau4[[#This Row],[Capacité (BTU)]]/1000))*Tableau4[[#This Row],[Nombres appareils installés]]</f>
        <v>2925</v>
      </c>
      <c r="Z65" s="188">
        <f>Tableau4[[#This Row],[AF 3 ($)]]/Tableau4[[#This Row],[Nombres appareils installés]]</f>
        <v>2925</v>
      </c>
      <c r="AA65" s="193">
        <f>Tableau4[[#This Row],[AF 3 par appareil ($)]]/Tableau4[[#This Row],[Surcoût par appareil ($)]]</f>
        <v>0.70624026656042893</v>
      </c>
      <c r="AB65" s="193">
        <f>Tableau4[[#This Row],[Couverture 3 (%)]]*Tableau4[[#This Row],[Nombres appareils installés]]</f>
        <v>0.70624026656042893</v>
      </c>
      <c r="AC65" s="188">
        <f>($AC$4+$AD$4*(Tableau4[[#This Row],[Capacité (BTU)]]/1000))*Tableau4[[#This Row],[Nombres appareils installés]]</f>
        <v>2540</v>
      </c>
      <c r="AD65" s="188">
        <f>Tableau4[[#This Row],[AF 4 ($)]]/Tableau4[[#This Row],[Nombres appareils installés]]</f>
        <v>2540</v>
      </c>
      <c r="AE65" s="194">
        <f>Tableau4[[#This Row],[Couverture 4 (%)]]*Tableau4[[#This Row],[Nombres appareils installés]]</f>
        <v>0.61328214600461173</v>
      </c>
      <c r="AF65" s="193">
        <f>Tableau4[[#This Row],[AF 4 par appareil  ($)]]/Tableau4[[#This Row],[Surcoût par appareil ($)]]</f>
        <v>0.61328214600461173</v>
      </c>
    </row>
    <row r="66" spans="2:32" x14ac:dyDescent="0.3">
      <c r="B66" s="195" t="s">
        <v>141</v>
      </c>
      <c r="C66" s="188" t="s">
        <v>145</v>
      </c>
      <c r="D66" s="188">
        <v>2</v>
      </c>
      <c r="E66" s="188">
        <v>110000</v>
      </c>
      <c r="F66" s="196">
        <f>Tableau4[[#This Row],[Economies totales (m3)]]/Tableau4[[#This Row],[Nombres appareils installés]]</f>
        <v>555.5</v>
      </c>
      <c r="G66" s="190">
        <v>1111</v>
      </c>
      <c r="H66" s="188">
        <f t="shared" si="0"/>
        <v>1885.4</v>
      </c>
      <c r="I66" s="188">
        <v>2400</v>
      </c>
      <c r="J66" s="188">
        <f>Tableau4[[#This Row],[Surcoût moyens de l''équipement ($)]]+Tableau4[[#This Row],[Surcoût moyen de l''installation ($)]]</f>
        <v>4285.3999999999996</v>
      </c>
      <c r="K66" s="188">
        <f>Tableau4[[#This Row],[Surcoût par appareil ($)]]*Tableau4[[#This Row],[Nombres appareils installés]]</f>
        <v>8570.7999999999993</v>
      </c>
      <c r="L66" s="190">
        <v>3400</v>
      </c>
      <c r="M66" s="188">
        <f t="shared" si="1"/>
        <v>2900</v>
      </c>
      <c r="N66" s="188">
        <f>Tableau4[[#This Row],[AF 0 ($)]]/Tableau4[[#This Row],[Nombres appareils installés]]</f>
        <v>1450</v>
      </c>
      <c r="O66" s="191">
        <f>(Tableau4[[#This Row],[AF accordée ($)]])/($J$6*D66)</f>
        <v>0.42463905680171854</v>
      </c>
      <c r="P66" s="191">
        <f>Tableau4[[#This Row],[Couverture 0 (%)]]*Tableau4[[#This Row],[Nombres appareils installés]]</f>
        <v>0.84927811360343708</v>
      </c>
      <c r="Q66" s="188">
        <f>($Q$4+$R$4*(Tableau4[[#This Row],[Capacité (BTU)]]/1000))*Tableau4[[#This Row],[Nombres appareils installés]]</f>
        <v>5100</v>
      </c>
      <c r="R66" s="188">
        <f>Tableau4[[#This Row],[AF 1 ($)]]/Tableau4[[#This Row],[Nombres appareils installés]]</f>
        <v>2550</v>
      </c>
      <c r="S66" s="191">
        <f>Tableau4[[#This Row],[AF 1 ($)]]/(J66*D66)</f>
        <v>0.5950436365333458</v>
      </c>
      <c r="T66" s="191">
        <f>Tableau4[[#This Row],[Couverture 1 (%)]]*Tableau4[[#This Row],[Nombres appareils installés]]</f>
        <v>1.1900872730666916</v>
      </c>
      <c r="U66" s="188">
        <f>($U$4+($V$4*(Tableau4[[#This Row],[Capacité (BTU)]]/1000)))*Tableau4[[#This Row],[Nombres appareils installés]]</f>
        <v>5650</v>
      </c>
      <c r="V66" s="188">
        <f>Tableau4[[#This Row],[AF 2 ($)]]/Tableau4[[#This Row],[Nombres appareils installés]]</f>
        <v>2825</v>
      </c>
      <c r="W66" s="192">
        <f>Tableau4[[#This Row],[AF 2 par appareil ($)]]/Tableau4[[#This Row],[Surcoût par appareil ($)]]</f>
        <v>0.65921500910066744</v>
      </c>
      <c r="X66" s="192">
        <f>Tableau4[[#This Row],[Couverture 2 (%)]]*Tableau4[[#This Row],[Nombres appareils installés]]</f>
        <v>1.3184300182013349</v>
      </c>
      <c r="Y66" s="188">
        <f>($Y$4+$Z$4*(Tableau4[[#This Row],[Capacité (BTU)]]/1000))*Tableau4[[#This Row],[Nombres appareils installés]]</f>
        <v>6100</v>
      </c>
      <c r="Z66" s="188">
        <f>Tableau4[[#This Row],[AF 3 ($)]]/Tableau4[[#This Row],[Nombres appareils installés]]</f>
        <v>3050</v>
      </c>
      <c r="AA66" s="193">
        <f>Tableau4[[#This Row],[AF 3 par appareil ($)]]/Tableau4[[#This Row],[Surcoût par appareil ($)]]</f>
        <v>0.71171885938302148</v>
      </c>
      <c r="AB66" s="193">
        <f>Tableau4[[#This Row],[Couverture 3 (%)]]*Tableau4[[#This Row],[Nombres appareils installés]]</f>
        <v>1.423437718766043</v>
      </c>
      <c r="AC66" s="188">
        <f>($AC$4+$AD$4*(Tableau4[[#This Row],[Capacité (BTU)]]/1000))*Tableau4[[#This Row],[Nombres appareils installés]]</f>
        <v>5280</v>
      </c>
      <c r="AD66" s="188">
        <f>Tableau4[[#This Row],[AF 4 ($)]]/Tableau4[[#This Row],[Nombres appareils installés]]</f>
        <v>2640</v>
      </c>
      <c r="AE66" s="194">
        <f>Tableau4[[#This Row],[Couverture 4 (%)]]*Tableau4[[#This Row],[Nombres appareils installés]]</f>
        <v>1.2320903532925749</v>
      </c>
      <c r="AF66" s="193">
        <f>Tableau4[[#This Row],[AF 4 par appareil  ($)]]/Tableau4[[#This Row],[Surcoût par appareil ($)]]</f>
        <v>0.61604517664628744</v>
      </c>
    </row>
    <row r="67" spans="2:32" x14ac:dyDescent="0.3">
      <c r="B67" s="195" t="s">
        <v>141</v>
      </c>
      <c r="C67" s="188" t="s">
        <v>151</v>
      </c>
      <c r="D67" s="188">
        <v>2</v>
      </c>
      <c r="E67" s="188">
        <v>110000</v>
      </c>
      <c r="F67" s="196">
        <f>Tableau4[[#This Row],[Economies totales (m3)]]/Tableau4[[#This Row],[Nombres appareils installés]]</f>
        <v>555.5</v>
      </c>
      <c r="G67" s="190">
        <v>1111</v>
      </c>
      <c r="H67" s="188">
        <f t="shared" si="0"/>
        <v>1885.4</v>
      </c>
      <c r="I67" s="188">
        <v>2400</v>
      </c>
      <c r="J67" s="188">
        <f>Tableau4[[#This Row],[Surcoût moyens de l''équipement ($)]]+Tableau4[[#This Row],[Surcoût moyen de l''installation ($)]]</f>
        <v>4285.3999999999996</v>
      </c>
      <c r="K67" s="188">
        <f>Tableau4[[#This Row],[Surcoût par appareil ($)]]*Tableau4[[#This Row],[Nombres appareils installés]]</f>
        <v>8570.7999999999993</v>
      </c>
      <c r="L67" s="190">
        <v>3400</v>
      </c>
      <c r="M67" s="188">
        <f t="shared" si="1"/>
        <v>2900</v>
      </c>
      <c r="N67" s="188">
        <f>Tableau4[[#This Row],[AF 0 ($)]]/Tableau4[[#This Row],[Nombres appareils installés]]</f>
        <v>1450</v>
      </c>
      <c r="O67" s="191">
        <f>(Tableau4[[#This Row],[AF accordée ($)]])/($J$6*D67)</f>
        <v>0.42463905680171854</v>
      </c>
      <c r="P67" s="191">
        <f>Tableau4[[#This Row],[Couverture 0 (%)]]*Tableau4[[#This Row],[Nombres appareils installés]]</f>
        <v>0.84927811360343708</v>
      </c>
      <c r="Q67" s="188">
        <f>($Q$4+$R$4*(Tableau4[[#This Row],[Capacité (BTU)]]/1000))*Tableau4[[#This Row],[Nombres appareils installés]]</f>
        <v>5100</v>
      </c>
      <c r="R67" s="188">
        <f>Tableau4[[#This Row],[AF 1 ($)]]/Tableau4[[#This Row],[Nombres appareils installés]]</f>
        <v>2550</v>
      </c>
      <c r="S67" s="191">
        <f>Tableau4[[#This Row],[AF 1 ($)]]/(J67*D67)</f>
        <v>0.5950436365333458</v>
      </c>
      <c r="T67" s="191">
        <f>Tableau4[[#This Row],[Couverture 1 (%)]]*Tableau4[[#This Row],[Nombres appareils installés]]</f>
        <v>1.1900872730666916</v>
      </c>
      <c r="U67" s="188">
        <f>($U$4+($V$4*(Tableau4[[#This Row],[Capacité (BTU)]]/1000)))*Tableau4[[#This Row],[Nombres appareils installés]]</f>
        <v>5650</v>
      </c>
      <c r="V67" s="188">
        <f>Tableau4[[#This Row],[AF 2 ($)]]/Tableau4[[#This Row],[Nombres appareils installés]]</f>
        <v>2825</v>
      </c>
      <c r="W67" s="192">
        <f>Tableau4[[#This Row],[AF 2 par appareil ($)]]/Tableau4[[#This Row],[Surcoût par appareil ($)]]</f>
        <v>0.65921500910066744</v>
      </c>
      <c r="X67" s="192">
        <f>Tableau4[[#This Row],[Couverture 2 (%)]]*Tableau4[[#This Row],[Nombres appareils installés]]</f>
        <v>1.3184300182013349</v>
      </c>
      <c r="Y67" s="188">
        <f>($Y$4+$Z$4*(Tableau4[[#This Row],[Capacité (BTU)]]/1000))*Tableau4[[#This Row],[Nombres appareils installés]]</f>
        <v>6100</v>
      </c>
      <c r="Z67" s="188">
        <f>Tableau4[[#This Row],[AF 3 ($)]]/Tableau4[[#This Row],[Nombres appareils installés]]</f>
        <v>3050</v>
      </c>
      <c r="AA67" s="193">
        <f>Tableau4[[#This Row],[AF 3 par appareil ($)]]/Tableau4[[#This Row],[Surcoût par appareil ($)]]</f>
        <v>0.71171885938302148</v>
      </c>
      <c r="AB67" s="193">
        <f>Tableau4[[#This Row],[Couverture 3 (%)]]*Tableau4[[#This Row],[Nombres appareils installés]]</f>
        <v>1.423437718766043</v>
      </c>
      <c r="AC67" s="188">
        <f>($AC$4+$AD$4*(Tableau4[[#This Row],[Capacité (BTU)]]/1000))*Tableau4[[#This Row],[Nombres appareils installés]]</f>
        <v>5280</v>
      </c>
      <c r="AD67" s="188">
        <f>Tableau4[[#This Row],[AF 4 ($)]]/Tableau4[[#This Row],[Nombres appareils installés]]</f>
        <v>2640</v>
      </c>
      <c r="AE67" s="194">
        <f>Tableau4[[#This Row],[Couverture 4 (%)]]*Tableau4[[#This Row],[Nombres appareils installés]]</f>
        <v>1.2320903532925749</v>
      </c>
      <c r="AF67" s="193">
        <f>Tableau4[[#This Row],[AF 4 par appareil  ($)]]/Tableau4[[#This Row],[Surcoût par appareil ($)]]</f>
        <v>0.61604517664628744</v>
      </c>
    </row>
    <row r="68" spans="2:32" x14ac:dyDescent="0.3">
      <c r="B68" s="195" t="s">
        <v>141</v>
      </c>
      <c r="C68" s="188" t="s">
        <v>152</v>
      </c>
      <c r="D68" s="188">
        <v>2</v>
      </c>
      <c r="E68" s="188">
        <v>110000</v>
      </c>
      <c r="F68" s="196">
        <f>Tableau4[[#This Row],[Economies totales (m3)]]/Tableau4[[#This Row],[Nombres appareils installés]]</f>
        <v>555.5</v>
      </c>
      <c r="G68" s="190">
        <v>1111</v>
      </c>
      <c r="H68" s="188">
        <f t="shared" si="0"/>
        <v>1885.4</v>
      </c>
      <c r="I68" s="188">
        <v>2400</v>
      </c>
      <c r="J68" s="188">
        <f>Tableau4[[#This Row],[Surcoût moyens de l''équipement ($)]]+Tableau4[[#This Row],[Surcoût moyen de l''installation ($)]]</f>
        <v>4285.3999999999996</v>
      </c>
      <c r="K68" s="188">
        <f>Tableau4[[#This Row],[Surcoût par appareil ($)]]*Tableau4[[#This Row],[Nombres appareils installés]]</f>
        <v>8570.7999999999993</v>
      </c>
      <c r="L68" s="190">
        <v>3400</v>
      </c>
      <c r="M68" s="188">
        <f t="shared" si="1"/>
        <v>2900</v>
      </c>
      <c r="N68" s="188">
        <f>Tableau4[[#This Row],[AF 0 ($)]]/Tableau4[[#This Row],[Nombres appareils installés]]</f>
        <v>1450</v>
      </c>
      <c r="O68" s="191">
        <f>(Tableau4[[#This Row],[AF accordée ($)]])/($J$6*D68)</f>
        <v>0.42463905680171854</v>
      </c>
      <c r="P68" s="191">
        <f>Tableau4[[#This Row],[Couverture 0 (%)]]*Tableau4[[#This Row],[Nombres appareils installés]]</f>
        <v>0.84927811360343708</v>
      </c>
      <c r="Q68" s="188">
        <f>($Q$4+$R$4*(Tableau4[[#This Row],[Capacité (BTU)]]/1000))*Tableau4[[#This Row],[Nombres appareils installés]]</f>
        <v>5100</v>
      </c>
      <c r="R68" s="188">
        <f>Tableau4[[#This Row],[AF 1 ($)]]/Tableau4[[#This Row],[Nombres appareils installés]]</f>
        <v>2550</v>
      </c>
      <c r="S68" s="191">
        <f>Tableau4[[#This Row],[AF 1 ($)]]/(J68*D68)</f>
        <v>0.5950436365333458</v>
      </c>
      <c r="T68" s="191">
        <f>Tableau4[[#This Row],[Couverture 1 (%)]]*Tableau4[[#This Row],[Nombres appareils installés]]</f>
        <v>1.1900872730666916</v>
      </c>
      <c r="U68" s="188">
        <f>($U$4+($V$4*(Tableau4[[#This Row],[Capacité (BTU)]]/1000)))*Tableau4[[#This Row],[Nombres appareils installés]]</f>
        <v>5650</v>
      </c>
      <c r="V68" s="188">
        <f>Tableau4[[#This Row],[AF 2 ($)]]/Tableau4[[#This Row],[Nombres appareils installés]]</f>
        <v>2825</v>
      </c>
      <c r="W68" s="192">
        <f>Tableau4[[#This Row],[AF 2 par appareil ($)]]/Tableau4[[#This Row],[Surcoût par appareil ($)]]</f>
        <v>0.65921500910066744</v>
      </c>
      <c r="X68" s="192">
        <f>Tableau4[[#This Row],[Couverture 2 (%)]]*Tableau4[[#This Row],[Nombres appareils installés]]</f>
        <v>1.3184300182013349</v>
      </c>
      <c r="Y68" s="188">
        <f>($Y$4+$Z$4*(Tableau4[[#This Row],[Capacité (BTU)]]/1000))*Tableau4[[#This Row],[Nombres appareils installés]]</f>
        <v>6100</v>
      </c>
      <c r="Z68" s="188">
        <f>Tableau4[[#This Row],[AF 3 ($)]]/Tableau4[[#This Row],[Nombres appareils installés]]</f>
        <v>3050</v>
      </c>
      <c r="AA68" s="193">
        <f>Tableau4[[#This Row],[AF 3 par appareil ($)]]/Tableau4[[#This Row],[Surcoût par appareil ($)]]</f>
        <v>0.71171885938302148</v>
      </c>
      <c r="AB68" s="193">
        <f>Tableau4[[#This Row],[Couverture 3 (%)]]*Tableau4[[#This Row],[Nombres appareils installés]]</f>
        <v>1.423437718766043</v>
      </c>
      <c r="AC68" s="188">
        <f>($AC$4+$AD$4*(Tableau4[[#This Row],[Capacité (BTU)]]/1000))*Tableau4[[#This Row],[Nombres appareils installés]]</f>
        <v>5280</v>
      </c>
      <c r="AD68" s="188">
        <f>Tableau4[[#This Row],[AF 4 ($)]]/Tableau4[[#This Row],[Nombres appareils installés]]</f>
        <v>2640</v>
      </c>
      <c r="AE68" s="194">
        <f>Tableau4[[#This Row],[Couverture 4 (%)]]*Tableau4[[#This Row],[Nombres appareils installés]]</f>
        <v>1.2320903532925749</v>
      </c>
      <c r="AF68" s="193">
        <f>Tableau4[[#This Row],[AF 4 par appareil  ($)]]/Tableau4[[#This Row],[Surcoût par appareil ($)]]</f>
        <v>0.61604517664628744</v>
      </c>
    </row>
    <row r="69" spans="2:32" x14ac:dyDescent="0.3">
      <c r="B69" s="195" t="s">
        <v>141</v>
      </c>
      <c r="C69" s="188" t="s">
        <v>122</v>
      </c>
      <c r="D69" s="188">
        <v>2</v>
      </c>
      <c r="E69" s="188">
        <v>110000</v>
      </c>
      <c r="F69" s="196">
        <f>Tableau4[[#This Row],[Economies totales (m3)]]/Tableau4[[#This Row],[Nombres appareils installés]]</f>
        <v>555.5</v>
      </c>
      <c r="G69" s="190">
        <v>1111</v>
      </c>
      <c r="H69" s="188">
        <f t="shared" si="0"/>
        <v>1885.4</v>
      </c>
      <c r="I69" s="188">
        <v>2400</v>
      </c>
      <c r="J69" s="188">
        <f>Tableau4[[#This Row],[Surcoût moyens de l''équipement ($)]]+Tableau4[[#This Row],[Surcoût moyen de l''installation ($)]]</f>
        <v>4285.3999999999996</v>
      </c>
      <c r="K69" s="188">
        <f>Tableau4[[#This Row],[Surcoût par appareil ($)]]*Tableau4[[#This Row],[Nombres appareils installés]]</f>
        <v>8570.7999999999993</v>
      </c>
      <c r="L69" s="190">
        <v>3400</v>
      </c>
      <c r="M69" s="188">
        <f t="shared" si="1"/>
        <v>2900</v>
      </c>
      <c r="N69" s="188">
        <f>Tableau4[[#This Row],[AF 0 ($)]]/Tableau4[[#This Row],[Nombres appareils installés]]</f>
        <v>1450</v>
      </c>
      <c r="O69" s="191">
        <f>(Tableau4[[#This Row],[AF accordée ($)]])/($J$6*D69)</f>
        <v>0.42463905680171854</v>
      </c>
      <c r="P69" s="191">
        <f>Tableau4[[#This Row],[Couverture 0 (%)]]*Tableau4[[#This Row],[Nombres appareils installés]]</f>
        <v>0.84927811360343708</v>
      </c>
      <c r="Q69" s="188">
        <f>($Q$4+$R$4*(Tableau4[[#This Row],[Capacité (BTU)]]/1000))*Tableau4[[#This Row],[Nombres appareils installés]]</f>
        <v>5100</v>
      </c>
      <c r="R69" s="188">
        <f>Tableau4[[#This Row],[AF 1 ($)]]/Tableau4[[#This Row],[Nombres appareils installés]]</f>
        <v>2550</v>
      </c>
      <c r="S69" s="191">
        <f>Tableau4[[#This Row],[AF 1 ($)]]/(J69*D69)</f>
        <v>0.5950436365333458</v>
      </c>
      <c r="T69" s="191">
        <f>Tableau4[[#This Row],[Couverture 1 (%)]]*Tableau4[[#This Row],[Nombres appareils installés]]</f>
        <v>1.1900872730666916</v>
      </c>
      <c r="U69" s="188">
        <f>($U$4+($V$4*(Tableau4[[#This Row],[Capacité (BTU)]]/1000)))*Tableau4[[#This Row],[Nombres appareils installés]]</f>
        <v>5650</v>
      </c>
      <c r="V69" s="188">
        <f>Tableau4[[#This Row],[AF 2 ($)]]/Tableau4[[#This Row],[Nombres appareils installés]]</f>
        <v>2825</v>
      </c>
      <c r="W69" s="192">
        <f>Tableau4[[#This Row],[AF 2 par appareil ($)]]/Tableau4[[#This Row],[Surcoût par appareil ($)]]</f>
        <v>0.65921500910066744</v>
      </c>
      <c r="X69" s="192">
        <f>Tableau4[[#This Row],[Couverture 2 (%)]]*Tableau4[[#This Row],[Nombres appareils installés]]</f>
        <v>1.3184300182013349</v>
      </c>
      <c r="Y69" s="188">
        <f>($Y$4+$Z$4*(Tableau4[[#This Row],[Capacité (BTU)]]/1000))*Tableau4[[#This Row],[Nombres appareils installés]]</f>
        <v>6100</v>
      </c>
      <c r="Z69" s="188">
        <f>Tableau4[[#This Row],[AF 3 ($)]]/Tableau4[[#This Row],[Nombres appareils installés]]</f>
        <v>3050</v>
      </c>
      <c r="AA69" s="193">
        <f>Tableau4[[#This Row],[AF 3 par appareil ($)]]/Tableau4[[#This Row],[Surcoût par appareil ($)]]</f>
        <v>0.71171885938302148</v>
      </c>
      <c r="AB69" s="193">
        <f>Tableau4[[#This Row],[Couverture 3 (%)]]*Tableau4[[#This Row],[Nombres appareils installés]]</f>
        <v>1.423437718766043</v>
      </c>
      <c r="AC69" s="188">
        <f>($AC$4+$AD$4*(Tableau4[[#This Row],[Capacité (BTU)]]/1000))*Tableau4[[#This Row],[Nombres appareils installés]]</f>
        <v>5280</v>
      </c>
      <c r="AD69" s="188">
        <f>Tableau4[[#This Row],[AF 4 ($)]]/Tableau4[[#This Row],[Nombres appareils installés]]</f>
        <v>2640</v>
      </c>
      <c r="AE69" s="194">
        <f>Tableau4[[#This Row],[Couverture 4 (%)]]*Tableau4[[#This Row],[Nombres appareils installés]]</f>
        <v>1.2320903532925749</v>
      </c>
      <c r="AF69" s="193">
        <f>Tableau4[[#This Row],[AF 4 par appareil  ($)]]/Tableau4[[#This Row],[Surcoût par appareil ($)]]</f>
        <v>0.61604517664628744</v>
      </c>
    </row>
    <row r="70" spans="2:32" x14ac:dyDescent="0.3">
      <c r="B70" s="195" t="s">
        <v>141</v>
      </c>
      <c r="C70" s="188" t="s">
        <v>153</v>
      </c>
      <c r="D70" s="188">
        <v>1</v>
      </c>
      <c r="E70" s="188">
        <v>130000</v>
      </c>
      <c r="F70" s="196">
        <f>Tableau4[[#This Row],[Economies totales (m3)]]/Tableau4[[#This Row],[Nombres appareils installés]]</f>
        <v>656.5</v>
      </c>
      <c r="G70" s="190">
        <v>656.5</v>
      </c>
      <c r="H70" s="188">
        <f t="shared" ref="H70:H133" si="2">(0.00000003*E70^2 - 0.0001*E70 + 1533.4)</f>
        <v>2027.4</v>
      </c>
      <c r="I70" s="188">
        <v>2400</v>
      </c>
      <c r="J70" s="188">
        <f>Tableau4[[#This Row],[Surcoût moyens de l''équipement ($)]]+Tableau4[[#This Row],[Surcoût moyen de l''installation ($)]]</f>
        <v>4427.3999999999996</v>
      </c>
      <c r="K70" s="188">
        <f>Tableau4[[#This Row],[Surcoût par appareil ($)]]*Tableau4[[#This Row],[Nombres appareils installés]]</f>
        <v>4427.3999999999996</v>
      </c>
      <c r="L70" s="190">
        <v>1700</v>
      </c>
      <c r="M70" s="188">
        <f t="shared" ref="M70:M133" si="3">($M$4+$N$4*(E70/1000))*D70</f>
        <v>1550</v>
      </c>
      <c r="N70" s="188">
        <f>Tableau4[[#This Row],[AF 0 ($)]]/Tableau4[[#This Row],[Nombres appareils installés]]</f>
        <v>1550</v>
      </c>
      <c r="O70" s="191">
        <f>(Tableau4[[#This Row],[AF accordée ($)]])/($J$6*D70)</f>
        <v>0.42463905680171854</v>
      </c>
      <c r="P70" s="191">
        <f>Tableau4[[#This Row],[Couverture 0 (%)]]*Tableau4[[#This Row],[Nombres appareils installés]]</f>
        <v>0.42463905680171854</v>
      </c>
      <c r="Q70" s="188">
        <f>($Q$4+$R$4*(Tableau4[[#This Row],[Capacité (BTU)]]/1000))*Tableau4[[#This Row],[Nombres appareils installés]]</f>
        <v>2650</v>
      </c>
      <c r="R70" s="188">
        <f>Tableau4[[#This Row],[AF 1 ($)]]/Tableau4[[#This Row],[Nombres appareils installés]]</f>
        <v>2650</v>
      </c>
      <c r="S70" s="191">
        <f>Tableau4[[#This Row],[AF 1 ($)]]/(J70*D70)</f>
        <v>0.59854542169218961</v>
      </c>
      <c r="T70" s="191">
        <f>Tableau4[[#This Row],[Couverture 1 (%)]]*Tableau4[[#This Row],[Nombres appareils installés]]</f>
        <v>0.59854542169218961</v>
      </c>
      <c r="U70" s="188">
        <f>($U$4+($V$4*(Tableau4[[#This Row],[Capacité (BTU)]]/1000)))*Tableau4[[#This Row],[Nombres appareils installés]]</f>
        <v>2975</v>
      </c>
      <c r="V70" s="188">
        <f>Tableau4[[#This Row],[AF 2 ($)]]/Tableau4[[#This Row],[Nombres appareils installés]]</f>
        <v>2975</v>
      </c>
      <c r="W70" s="192">
        <f>Tableau4[[#This Row],[AF 2 par appareil ($)]]/Tableau4[[#This Row],[Surcoût par appareil ($)]]</f>
        <v>0.67195193567330724</v>
      </c>
      <c r="X70" s="192">
        <f>Tableau4[[#This Row],[Couverture 2 (%)]]*Tableau4[[#This Row],[Nombres appareils installés]]</f>
        <v>0.67195193567330724</v>
      </c>
      <c r="Y70" s="188">
        <f>($Y$4+$Z$4*(Tableau4[[#This Row],[Capacité (BTU)]]/1000))*Tableau4[[#This Row],[Nombres appareils installés]]</f>
        <v>3150</v>
      </c>
      <c r="Z70" s="188">
        <f>Tableau4[[#This Row],[AF 3 ($)]]/Tableau4[[#This Row],[Nombres appareils installés]]</f>
        <v>3150</v>
      </c>
      <c r="AA70" s="193">
        <f>Tableau4[[#This Row],[AF 3 par appareil ($)]]/Tableau4[[#This Row],[Surcoût par appareil ($)]]</f>
        <v>0.71147852012467816</v>
      </c>
      <c r="AB70" s="193">
        <f>Tableau4[[#This Row],[Couverture 3 (%)]]*Tableau4[[#This Row],[Nombres appareils installés]]</f>
        <v>0.71147852012467816</v>
      </c>
      <c r="AC70" s="188">
        <f>($AC$4+$AD$4*(Tableau4[[#This Row],[Capacité (BTU)]]/1000))*Tableau4[[#This Row],[Nombres appareils installés]]</f>
        <v>2720</v>
      </c>
      <c r="AD70" s="188">
        <f>Tableau4[[#This Row],[AF 4 ($)]]/Tableau4[[#This Row],[Nombres appareils installés]]</f>
        <v>2720</v>
      </c>
      <c r="AE70" s="194">
        <f>Tableau4[[#This Row],[Couverture 4 (%)]]*Tableau4[[#This Row],[Nombres appareils installés]]</f>
        <v>0.61435605547273797</v>
      </c>
      <c r="AF70" s="193">
        <f>Tableau4[[#This Row],[AF 4 par appareil  ($)]]/Tableau4[[#This Row],[Surcoût par appareil ($)]]</f>
        <v>0.61435605547273797</v>
      </c>
    </row>
    <row r="71" spans="2:32" x14ac:dyDescent="0.3">
      <c r="B71" s="195" t="s">
        <v>141</v>
      </c>
      <c r="C71" s="188" t="s">
        <v>154</v>
      </c>
      <c r="D71" s="188">
        <v>1</v>
      </c>
      <c r="E71" s="188">
        <v>130000</v>
      </c>
      <c r="F71" s="196">
        <f>Tableau4[[#This Row],[Economies totales (m3)]]/Tableau4[[#This Row],[Nombres appareils installés]]</f>
        <v>656.5</v>
      </c>
      <c r="G71" s="190">
        <v>656.5</v>
      </c>
      <c r="H71" s="188">
        <f t="shared" si="2"/>
        <v>2027.4</v>
      </c>
      <c r="I71" s="188">
        <v>2400</v>
      </c>
      <c r="J71" s="188">
        <f>Tableau4[[#This Row],[Surcoût moyens de l''équipement ($)]]+Tableau4[[#This Row],[Surcoût moyen de l''installation ($)]]</f>
        <v>4427.3999999999996</v>
      </c>
      <c r="K71" s="188">
        <f>Tableau4[[#This Row],[Surcoût par appareil ($)]]*Tableau4[[#This Row],[Nombres appareils installés]]</f>
        <v>4427.3999999999996</v>
      </c>
      <c r="L71" s="190">
        <v>1700</v>
      </c>
      <c r="M71" s="188">
        <f t="shared" si="3"/>
        <v>1550</v>
      </c>
      <c r="N71" s="188">
        <f>Tableau4[[#This Row],[AF 0 ($)]]/Tableau4[[#This Row],[Nombres appareils installés]]</f>
        <v>1550</v>
      </c>
      <c r="O71" s="191">
        <f>(Tableau4[[#This Row],[AF accordée ($)]])/($J$6*D71)</f>
        <v>0.42463905680171854</v>
      </c>
      <c r="P71" s="191">
        <f>Tableau4[[#This Row],[Couverture 0 (%)]]*Tableau4[[#This Row],[Nombres appareils installés]]</f>
        <v>0.42463905680171854</v>
      </c>
      <c r="Q71" s="188">
        <f>($Q$4+$R$4*(Tableau4[[#This Row],[Capacité (BTU)]]/1000))*Tableau4[[#This Row],[Nombres appareils installés]]</f>
        <v>2650</v>
      </c>
      <c r="R71" s="188">
        <f>Tableau4[[#This Row],[AF 1 ($)]]/Tableau4[[#This Row],[Nombres appareils installés]]</f>
        <v>2650</v>
      </c>
      <c r="S71" s="191">
        <f>Tableau4[[#This Row],[AF 1 ($)]]/(J71*D71)</f>
        <v>0.59854542169218961</v>
      </c>
      <c r="T71" s="191">
        <f>Tableau4[[#This Row],[Couverture 1 (%)]]*Tableau4[[#This Row],[Nombres appareils installés]]</f>
        <v>0.59854542169218961</v>
      </c>
      <c r="U71" s="188">
        <f>($U$4+($V$4*(Tableau4[[#This Row],[Capacité (BTU)]]/1000)))*Tableau4[[#This Row],[Nombres appareils installés]]</f>
        <v>2975</v>
      </c>
      <c r="V71" s="188">
        <f>Tableau4[[#This Row],[AF 2 ($)]]/Tableau4[[#This Row],[Nombres appareils installés]]</f>
        <v>2975</v>
      </c>
      <c r="W71" s="192">
        <f>Tableau4[[#This Row],[AF 2 par appareil ($)]]/Tableau4[[#This Row],[Surcoût par appareil ($)]]</f>
        <v>0.67195193567330724</v>
      </c>
      <c r="X71" s="192">
        <f>Tableau4[[#This Row],[Couverture 2 (%)]]*Tableau4[[#This Row],[Nombres appareils installés]]</f>
        <v>0.67195193567330724</v>
      </c>
      <c r="Y71" s="188">
        <f>($Y$4+$Z$4*(Tableau4[[#This Row],[Capacité (BTU)]]/1000))*Tableau4[[#This Row],[Nombres appareils installés]]</f>
        <v>3150</v>
      </c>
      <c r="Z71" s="188">
        <f>Tableau4[[#This Row],[AF 3 ($)]]/Tableau4[[#This Row],[Nombres appareils installés]]</f>
        <v>3150</v>
      </c>
      <c r="AA71" s="193">
        <f>Tableau4[[#This Row],[AF 3 par appareil ($)]]/Tableau4[[#This Row],[Surcoût par appareil ($)]]</f>
        <v>0.71147852012467816</v>
      </c>
      <c r="AB71" s="193">
        <f>Tableau4[[#This Row],[Couverture 3 (%)]]*Tableau4[[#This Row],[Nombres appareils installés]]</f>
        <v>0.71147852012467816</v>
      </c>
      <c r="AC71" s="188">
        <f>($AC$4+$AD$4*(Tableau4[[#This Row],[Capacité (BTU)]]/1000))*Tableau4[[#This Row],[Nombres appareils installés]]</f>
        <v>2720</v>
      </c>
      <c r="AD71" s="188">
        <f>Tableau4[[#This Row],[AF 4 ($)]]/Tableau4[[#This Row],[Nombres appareils installés]]</f>
        <v>2720</v>
      </c>
      <c r="AE71" s="194">
        <f>Tableau4[[#This Row],[Couverture 4 (%)]]*Tableau4[[#This Row],[Nombres appareils installés]]</f>
        <v>0.61435605547273797</v>
      </c>
      <c r="AF71" s="193">
        <f>Tableau4[[#This Row],[AF 4 par appareil  ($)]]/Tableau4[[#This Row],[Surcoût par appareil ($)]]</f>
        <v>0.61435605547273797</v>
      </c>
    </row>
    <row r="72" spans="2:32" x14ac:dyDescent="0.3">
      <c r="B72" s="195" t="s">
        <v>141</v>
      </c>
      <c r="C72" s="188" t="s">
        <v>155</v>
      </c>
      <c r="D72" s="188">
        <v>1</v>
      </c>
      <c r="E72" s="188">
        <v>130000</v>
      </c>
      <c r="F72" s="196">
        <f>Tableau4[[#This Row],[Economies totales (m3)]]/Tableau4[[#This Row],[Nombres appareils installés]]</f>
        <v>656.5</v>
      </c>
      <c r="G72" s="190">
        <v>656.5</v>
      </c>
      <c r="H72" s="188">
        <f t="shared" si="2"/>
        <v>2027.4</v>
      </c>
      <c r="I72" s="188">
        <v>2400</v>
      </c>
      <c r="J72" s="188">
        <f>Tableau4[[#This Row],[Surcoût moyens de l''équipement ($)]]+Tableau4[[#This Row],[Surcoût moyen de l''installation ($)]]</f>
        <v>4427.3999999999996</v>
      </c>
      <c r="K72" s="188">
        <f>Tableau4[[#This Row],[Surcoût par appareil ($)]]*Tableau4[[#This Row],[Nombres appareils installés]]</f>
        <v>4427.3999999999996</v>
      </c>
      <c r="L72" s="190">
        <v>1700</v>
      </c>
      <c r="M72" s="188">
        <f t="shared" si="3"/>
        <v>1550</v>
      </c>
      <c r="N72" s="188">
        <f>Tableau4[[#This Row],[AF 0 ($)]]/Tableau4[[#This Row],[Nombres appareils installés]]</f>
        <v>1550</v>
      </c>
      <c r="O72" s="191">
        <f>(Tableau4[[#This Row],[AF accordée ($)]])/($J$6*D72)</f>
        <v>0.42463905680171854</v>
      </c>
      <c r="P72" s="191">
        <f>Tableau4[[#This Row],[Couverture 0 (%)]]*Tableau4[[#This Row],[Nombres appareils installés]]</f>
        <v>0.42463905680171854</v>
      </c>
      <c r="Q72" s="188">
        <f>($Q$4+$R$4*(Tableau4[[#This Row],[Capacité (BTU)]]/1000))*Tableau4[[#This Row],[Nombres appareils installés]]</f>
        <v>2650</v>
      </c>
      <c r="R72" s="188">
        <f>Tableau4[[#This Row],[AF 1 ($)]]/Tableau4[[#This Row],[Nombres appareils installés]]</f>
        <v>2650</v>
      </c>
      <c r="S72" s="191">
        <f>Tableau4[[#This Row],[AF 1 ($)]]/(J72*D72)</f>
        <v>0.59854542169218961</v>
      </c>
      <c r="T72" s="191">
        <f>Tableau4[[#This Row],[Couverture 1 (%)]]*Tableau4[[#This Row],[Nombres appareils installés]]</f>
        <v>0.59854542169218961</v>
      </c>
      <c r="U72" s="188">
        <f>($U$4+($V$4*(Tableau4[[#This Row],[Capacité (BTU)]]/1000)))*Tableau4[[#This Row],[Nombres appareils installés]]</f>
        <v>2975</v>
      </c>
      <c r="V72" s="188">
        <f>Tableau4[[#This Row],[AF 2 ($)]]/Tableau4[[#This Row],[Nombres appareils installés]]</f>
        <v>2975</v>
      </c>
      <c r="W72" s="192">
        <f>Tableau4[[#This Row],[AF 2 par appareil ($)]]/Tableau4[[#This Row],[Surcoût par appareil ($)]]</f>
        <v>0.67195193567330724</v>
      </c>
      <c r="X72" s="192">
        <f>Tableau4[[#This Row],[Couverture 2 (%)]]*Tableau4[[#This Row],[Nombres appareils installés]]</f>
        <v>0.67195193567330724</v>
      </c>
      <c r="Y72" s="188">
        <f>($Y$4+$Z$4*(Tableau4[[#This Row],[Capacité (BTU)]]/1000))*Tableau4[[#This Row],[Nombres appareils installés]]</f>
        <v>3150</v>
      </c>
      <c r="Z72" s="188">
        <f>Tableau4[[#This Row],[AF 3 ($)]]/Tableau4[[#This Row],[Nombres appareils installés]]</f>
        <v>3150</v>
      </c>
      <c r="AA72" s="193">
        <f>Tableau4[[#This Row],[AF 3 par appareil ($)]]/Tableau4[[#This Row],[Surcoût par appareil ($)]]</f>
        <v>0.71147852012467816</v>
      </c>
      <c r="AB72" s="193">
        <f>Tableau4[[#This Row],[Couverture 3 (%)]]*Tableau4[[#This Row],[Nombres appareils installés]]</f>
        <v>0.71147852012467816</v>
      </c>
      <c r="AC72" s="188">
        <f>($AC$4+$AD$4*(Tableau4[[#This Row],[Capacité (BTU)]]/1000))*Tableau4[[#This Row],[Nombres appareils installés]]</f>
        <v>2720</v>
      </c>
      <c r="AD72" s="188">
        <f>Tableau4[[#This Row],[AF 4 ($)]]/Tableau4[[#This Row],[Nombres appareils installés]]</f>
        <v>2720</v>
      </c>
      <c r="AE72" s="194">
        <f>Tableau4[[#This Row],[Couverture 4 (%)]]*Tableau4[[#This Row],[Nombres appareils installés]]</f>
        <v>0.61435605547273797</v>
      </c>
      <c r="AF72" s="193">
        <f>Tableau4[[#This Row],[AF 4 par appareil  ($)]]/Tableau4[[#This Row],[Surcoût par appareil ($)]]</f>
        <v>0.61435605547273797</v>
      </c>
    </row>
    <row r="73" spans="2:32" x14ac:dyDescent="0.3">
      <c r="B73" s="195" t="s">
        <v>141</v>
      </c>
      <c r="C73" s="188" t="s">
        <v>156</v>
      </c>
      <c r="D73" s="188">
        <v>1</v>
      </c>
      <c r="E73" s="188">
        <v>135000</v>
      </c>
      <c r="F73" s="196">
        <f>Tableau4[[#This Row],[Economies totales (m3)]]/Tableau4[[#This Row],[Nombres appareils installés]]</f>
        <v>681.75</v>
      </c>
      <c r="G73" s="190">
        <v>681.75</v>
      </c>
      <c r="H73" s="188">
        <f t="shared" si="2"/>
        <v>2066.65</v>
      </c>
      <c r="I73" s="188">
        <v>2400</v>
      </c>
      <c r="J73" s="188">
        <f>Tableau4[[#This Row],[Surcoût moyens de l''équipement ($)]]+Tableau4[[#This Row],[Surcoût moyen de l''installation ($)]]</f>
        <v>4466.6499999999996</v>
      </c>
      <c r="K73" s="188">
        <f>Tableau4[[#This Row],[Surcoût par appareil ($)]]*Tableau4[[#This Row],[Nombres appareils installés]]</f>
        <v>4466.6499999999996</v>
      </c>
      <c r="L73" s="190">
        <v>1700</v>
      </c>
      <c r="M73" s="188">
        <f t="shared" si="3"/>
        <v>1575</v>
      </c>
      <c r="N73" s="188">
        <f>Tableau4[[#This Row],[AF 0 ($)]]/Tableau4[[#This Row],[Nombres appareils installés]]</f>
        <v>1575</v>
      </c>
      <c r="O73" s="191">
        <f>(Tableau4[[#This Row],[AF accordée ($)]])/($J$6*D73)</f>
        <v>0.42463905680171854</v>
      </c>
      <c r="P73" s="191">
        <f>Tableau4[[#This Row],[Couverture 0 (%)]]*Tableau4[[#This Row],[Nombres appareils installés]]</f>
        <v>0.42463905680171854</v>
      </c>
      <c r="Q73" s="188">
        <f>($Q$4+$R$4*(Tableau4[[#This Row],[Capacité (BTU)]]/1000))*Tableau4[[#This Row],[Nombres appareils installés]]</f>
        <v>2675</v>
      </c>
      <c r="R73" s="188">
        <f>Tableau4[[#This Row],[AF 1 ($)]]/Tableau4[[#This Row],[Nombres appareils installés]]</f>
        <v>2675</v>
      </c>
      <c r="S73" s="191">
        <f>Tableau4[[#This Row],[AF 1 ($)]]/(J73*D73)</f>
        <v>0.59888283165235701</v>
      </c>
      <c r="T73" s="191">
        <f>Tableau4[[#This Row],[Couverture 1 (%)]]*Tableau4[[#This Row],[Nombres appareils installés]]</f>
        <v>0.59888283165235701</v>
      </c>
      <c r="U73" s="188">
        <f>($U$4+($V$4*(Tableau4[[#This Row],[Capacité (BTU)]]/1000)))*Tableau4[[#This Row],[Nombres appareils installés]]</f>
        <v>3012.5</v>
      </c>
      <c r="V73" s="188">
        <f>Tableau4[[#This Row],[AF 2 ($)]]/Tableau4[[#This Row],[Nombres appareils installés]]</f>
        <v>3012.5</v>
      </c>
      <c r="W73" s="192">
        <f>Tableau4[[#This Row],[AF 2 par appareil ($)]]/Tableau4[[#This Row],[Surcoût par appareil ($)]]</f>
        <v>0.67444281508513093</v>
      </c>
      <c r="X73" s="192">
        <f>Tableau4[[#This Row],[Couverture 2 (%)]]*Tableau4[[#This Row],[Nombres appareils installés]]</f>
        <v>0.67444281508513093</v>
      </c>
      <c r="Y73" s="188">
        <f>($Y$4+$Z$4*(Tableau4[[#This Row],[Capacité (BTU)]]/1000))*Tableau4[[#This Row],[Nombres appareils installés]]</f>
        <v>3175</v>
      </c>
      <c r="Z73" s="188">
        <f>Tableau4[[#This Row],[AF 3 ($)]]/Tableau4[[#This Row],[Nombres appareils installés]]</f>
        <v>3175</v>
      </c>
      <c r="AA73" s="193">
        <f>Tableau4[[#This Row],[AF 3 par appareil ($)]]/Tableau4[[#This Row],[Surcoût par appareil ($)]]</f>
        <v>0.71082354784905921</v>
      </c>
      <c r="AB73" s="193">
        <f>Tableau4[[#This Row],[Couverture 3 (%)]]*Tableau4[[#This Row],[Nombres appareils installés]]</f>
        <v>0.71082354784905921</v>
      </c>
      <c r="AC73" s="188">
        <f>($AC$4+$AD$4*(Tableau4[[#This Row],[Capacité (BTU)]]/1000))*Tableau4[[#This Row],[Nombres appareils installés]]</f>
        <v>2740</v>
      </c>
      <c r="AD73" s="188">
        <f>Tableau4[[#This Row],[AF 4 ($)]]/Tableau4[[#This Row],[Nombres appareils installés]]</f>
        <v>2740</v>
      </c>
      <c r="AE73" s="194">
        <f>Tableau4[[#This Row],[Couverture 4 (%)]]*Tableau4[[#This Row],[Nombres appareils installés]]</f>
        <v>0.61343512475792827</v>
      </c>
      <c r="AF73" s="193">
        <f>Tableau4[[#This Row],[AF 4 par appareil  ($)]]/Tableau4[[#This Row],[Surcoût par appareil ($)]]</f>
        <v>0.61343512475792827</v>
      </c>
    </row>
    <row r="74" spans="2:32" x14ac:dyDescent="0.3">
      <c r="B74" s="195" t="s">
        <v>141</v>
      </c>
      <c r="C74" s="188" t="s">
        <v>157</v>
      </c>
      <c r="D74" s="188">
        <v>2</v>
      </c>
      <c r="E74" s="188">
        <v>135000</v>
      </c>
      <c r="F74" s="196">
        <f>Tableau4[[#This Row],[Economies totales (m3)]]/Tableau4[[#This Row],[Nombres appareils installés]]</f>
        <v>681.75</v>
      </c>
      <c r="G74" s="190">
        <v>1363.5</v>
      </c>
      <c r="H74" s="188">
        <f t="shared" si="2"/>
        <v>2066.65</v>
      </c>
      <c r="I74" s="188">
        <v>2400</v>
      </c>
      <c r="J74" s="188">
        <f>Tableau4[[#This Row],[Surcoût moyens de l''équipement ($)]]+Tableau4[[#This Row],[Surcoût moyen de l''installation ($)]]</f>
        <v>4466.6499999999996</v>
      </c>
      <c r="K74" s="188">
        <f>Tableau4[[#This Row],[Surcoût par appareil ($)]]*Tableau4[[#This Row],[Nombres appareils installés]]</f>
        <v>8933.2999999999993</v>
      </c>
      <c r="L74" s="190">
        <v>3400</v>
      </c>
      <c r="M74" s="188">
        <f t="shared" si="3"/>
        <v>3150</v>
      </c>
      <c r="N74" s="188">
        <f>Tableau4[[#This Row],[AF 0 ($)]]/Tableau4[[#This Row],[Nombres appareils installés]]</f>
        <v>1575</v>
      </c>
      <c r="O74" s="191">
        <f>(Tableau4[[#This Row],[AF accordée ($)]])/($J$6*D74)</f>
        <v>0.42463905680171854</v>
      </c>
      <c r="P74" s="191">
        <f>Tableau4[[#This Row],[Couverture 0 (%)]]*Tableau4[[#This Row],[Nombres appareils installés]]</f>
        <v>0.84927811360343708</v>
      </c>
      <c r="Q74" s="188">
        <f>($Q$4+$R$4*(Tableau4[[#This Row],[Capacité (BTU)]]/1000))*Tableau4[[#This Row],[Nombres appareils installés]]</f>
        <v>5350</v>
      </c>
      <c r="R74" s="188">
        <f>Tableau4[[#This Row],[AF 1 ($)]]/Tableau4[[#This Row],[Nombres appareils installés]]</f>
        <v>2675</v>
      </c>
      <c r="S74" s="191">
        <f>Tableau4[[#This Row],[AF 1 ($)]]/(J74*D74)</f>
        <v>0.59888283165235701</v>
      </c>
      <c r="T74" s="191">
        <f>Tableau4[[#This Row],[Couverture 1 (%)]]*Tableau4[[#This Row],[Nombres appareils installés]]</f>
        <v>1.197765663304714</v>
      </c>
      <c r="U74" s="188">
        <f>($U$4+($V$4*(Tableau4[[#This Row],[Capacité (BTU)]]/1000)))*Tableau4[[#This Row],[Nombres appareils installés]]</f>
        <v>6025</v>
      </c>
      <c r="V74" s="188">
        <f>Tableau4[[#This Row],[AF 2 ($)]]/Tableau4[[#This Row],[Nombres appareils installés]]</f>
        <v>3012.5</v>
      </c>
      <c r="W74" s="192">
        <f>Tableau4[[#This Row],[AF 2 par appareil ($)]]/Tableau4[[#This Row],[Surcoût par appareil ($)]]</f>
        <v>0.67444281508513093</v>
      </c>
      <c r="X74" s="192">
        <f>Tableau4[[#This Row],[Couverture 2 (%)]]*Tableau4[[#This Row],[Nombres appareils installés]]</f>
        <v>1.3488856301702619</v>
      </c>
      <c r="Y74" s="188">
        <f>($Y$4+$Z$4*(Tableau4[[#This Row],[Capacité (BTU)]]/1000))*Tableau4[[#This Row],[Nombres appareils installés]]</f>
        <v>6350</v>
      </c>
      <c r="Z74" s="188">
        <f>Tableau4[[#This Row],[AF 3 ($)]]/Tableau4[[#This Row],[Nombres appareils installés]]</f>
        <v>3175</v>
      </c>
      <c r="AA74" s="193">
        <f>Tableau4[[#This Row],[AF 3 par appareil ($)]]/Tableau4[[#This Row],[Surcoût par appareil ($)]]</f>
        <v>0.71082354784905921</v>
      </c>
      <c r="AB74" s="193">
        <f>Tableau4[[#This Row],[Couverture 3 (%)]]*Tableau4[[#This Row],[Nombres appareils installés]]</f>
        <v>1.4216470956981184</v>
      </c>
      <c r="AC74" s="188">
        <f>($AC$4+$AD$4*(Tableau4[[#This Row],[Capacité (BTU)]]/1000))*Tableau4[[#This Row],[Nombres appareils installés]]</f>
        <v>5480</v>
      </c>
      <c r="AD74" s="188">
        <f>Tableau4[[#This Row],[AF 4 ($)]]/Tableau4[[#This Row],[Nombres appareils installés]]</f>
        <v>2740</v>
      </c>
      <c r="AE74" s="194">
        <f>Tableau4[[#This Row],[Couverture 4 (%)]]*Tableau4[[#This Row],[Nombres appareils installés]]</f>
        <v>1.2268702495158565</v>
      </c>
      <c r="AF74" s="193">
        <f>Tableau4[[#This Row],[AF 4 par appareil  ($)]]/Tableau4[[#This Row],[Surcoût par appareil ($)]]</f>
        <v>0.61343512475792827</v>
      </c>
    </row>
    <row r="75" spans="2:32" x14ac:dyDescent="0.3">
      <c r="B75" s="195" t="s">
        <v>141</v>
      </c>
      <c r="C75" s="188" t="s">
        <v>158</v>
      </c>
      <c r="D75" s="188">
        <v>2</v>
      </c>
      <c r="E75" s="188">
        <v>135000</v>
      </c>
      <c r="F75" s="196">
        <f>Tableau4[[#This Row],[Economies totales (m3)]]/Tableau4[[#This Row],[Nombres appareils installés]]</f>
        <v>681.75</v>
      </c>
      <c r="G75" s="190">
        <v>1363.5</v>
      </c>
      <c r="H75" s="188">
        <f t="shared" si="2"/>
        <v>2066.65</v>
      </c>
      <c r="I75" s="188">
        <v>2400</v>
      </c>
      <c r="J75" s="188">
        <f>Tableau4[[#This Row],[Surcoût moyens de l''équipement ($)]]+Tableau4[[#This Row],[Surcoût moyen de l''installation ($)]]</f>
        <v>4466.6499999999996</v>
      </c>
      <c r="K75" s="188">
        <f>Tableau4[[#This Row],[Surcoût par appareil ($)]]*Tableau4[[#This Row],[Nombres appareils installés]]</f>
        <v>8933.2999999999993</v>
      </c>
      <c r="L75" s="190">
        <v>3400</v>
      </c>
      <c r="M75" s="188">
        <f t="shared" si="3"/>
        <v>3150</v>
      </c>
      <c r="N75" s="188">
        <f>Tableau4[[#This Row],[AF 0 ($)]]/Tableau4[[#This Row],[Nombres appareils installés]]</f>
        <v>1575</v>
      </c>
      <c r="O75" s="191">
        <f>(Tableau4[[#This Row],[AF accordée ($)]])/($J$6*D75)</f>
        <v>0.42463905680171854</v>
      </c>
      <c r="P75" s="191">
        <f>Tableau4[[#This Row],[Couverture 0 (%)]]*Tableau4[[#This Row],[Nombres appareils installés]]</f>
        <v>0.84927811360343708</v>
      </c>
      <c r="Q75" s="188">
        <f>($Q$4+$R$4*(Tableau4[[#This Row],[Capacité (BTU)]]/1000))*Tableau4[[#This Row],[Nombres appareils installés]]</f>
        <v>5350</v>
      </c>
      <c r="R75" s="188">
        <f>Tableau4[[#This Row],[AF 1 ($)]]/Tableau4[[#This Row],[Nombres appareils installés]]</f>
        <v>2675</v>
      </c>
      <c r="S75" s="191">
        <f>Tableau4[[#This Row],[AF 1 ($)]]/(J75*D75)</f>
        <v>0.59888283165235701</v>
      </c>
      <c r="T75" s="191">
        <f>Tableau4[[#This Row],[Couverture 1 (%)]]*Tableau4[[#This Row],[Nombres appareils installés]]</f>
        <v>1.197765663304714</v>
      </c>
      <c r="U75" s="188">
        <f>($U$4+($V$4*(Tableau4[[#This Row],[Capacité (BTU)]]/1000)))*Tableau4[[#This Row],[Nombres appareils installés]]</f>
        <v>6025</v>
      </c>
      <c r="V75" s="188">
        <f>Tableau4[[#This Row],[AF 2 ($)]]/Tableau4[[#This Row],[Nombres appareils installés]]</f>
        <v>3012.5</v>
      </c>
      <c r="W75" s="192">
        <f>Tableau4[[#This Row],[AF 2 par appareil ($)]]/Tableau4[[#This Row],[Surcoût par appareil ($)]]</f>
        <v>0.67444281508513093</v>
      </c>
      <c r="X75" s="192">
        <f>Tableau4[[#This Row],[Couverture 2 (%)]]*Tableau4[[#This Row],[Nombres appareils installés]]</f>
        <v>1.3488856301702619</v>
      </c>
      <c r="Y75" s="188">
        <f>($Y$4+$Z$4*(Tableau4[[#This Row],[Capacité (BTU)]]/1000))*Tableau4[[#This Row],[Nombres appareils installés]]</f>
        <v>6350</v>
      </c>
      <c r="Z75" s="188">
        <f>Tableau4[[#This Row],[AF 3 ($)]]/Tableau4[[#This Row],[Nombres appareils installés]]</f>
        <v>3175</v>
      </c>
      <c r="AA75" s="193">
        <f>Tableau4[[#This Row],[AF 3 par appareil ($)]]/Tableau4[[#This Row],[Surcoût par appareil ($)]]</f>
        <v>0.71082354784905921</v>
      </c>
      <c r="AB75" s="193">
        <f>Tableau4[[#This Row],[Couverture 3 (%)]]*Tableau4[[#This Row],[Nombres appareils installés]]</f>
        <v>1.4216470956981184</v>
      </c>
      <c r="AC75" s="188">
        <f>($AC$4+$AD$4*(Tableau4[[#This Row],[Capacité (BTU)]]/1000))*Tableau4[[#This Row],[Nombres appareils installés]]</f>
        <v>5480</v>
      </c>
      <c r="AD75" s="188">
        <f>Tableau4[[#This Row],[AF 4 ($)]]/Tableau4[[#This Row],[Nombres appareils installés]]</f>
        <v>2740</v>
      </c>
      <c r="AE75" s="194">
        <f>Tableau4[[#This Row],[Couverture 4 (%)]]*Tableau4[[#This Row],[Nombres appareils installés]]</f>
        <v>1.2268702495158565</v>
      </c>
      <c r="AF75" s="193">
        <f>Tableau4[[#This Row],[AF 4 par appareil  ($)]]/Tableau4[[#This Row],[Surcoût par appareil ($)]]</f>
        <v>0.61343512475792827</v>
      </c>
    </row>
    <row r="76" spans="2:32" x14ac:dyDescent="0.3">
      <c r="B76" s="195" t="s">
        <v>141</v>
      </c>
      <c r="C76" s="188" t="s">
        <v>122</v>
      </c>
      <c r="D76" s="188">
        <v>1</v>
      </c>
      <c r="E76" s="188">
        <v>150000</v>
      </c>
      <c r="F76" s="196">
        <f>Tableau4[[#This Row],[Economies totales (m3)]]/Tableau4[[#This Row],[Nombres appareils installés]]</f>
        <v>757.5</v>
      </c>
      <c r="G76" s="190">
        <v>757.5</v>
      </c>
      <c r="H76" s="188">
        <f t="shared" si="2"/>
        <v>2193.4</v>
      </c>
      <c r="I76" s="188">
        <v>2400</v>
      </c>
      <c r="J76" s="188">
        <f>Tableau4[[#This Row],[Surcoût moyens de l''équipement ($)]]+Tableau4[[#This Row],[Surcoût moyen de l''installation ($)]]</f>
        <v>4593.3999999999996</v>
      </c>
      <c r="K76" s="188">
        <f>Tableau4[[#This Row],[Surcoût par appareil ($)]]*Tableau4[[#This Row],[Nombres appareils installés]]</f>
        <v>4593.3999999999996</v>
      </c>
      <c r="L76" s="190">
        <v>1700</v>
      </c>
      <c r="M76" s="188">
        <f t="shared" si="3"/>
        <v>1650</v>
      </c>
      <c r="N76" s="188">
        <f>Tableau4[[#This Row],[AF 0 ($)]]/Tableau4[[#This Row],[Nombres appareils installés]]</f>
        <v>1650</v>
      </c>
      <c r="O76" s="191">
        <f>(Tableau4[[#This Row],[AF accordée ($)]])/($J$6*D76)</f>
        <v>0.42463905680171854</v>
      </c>
      <c r="P76" s="191">
        <f>Tableau4[[#This Row],[Couverture 0 (%)]]*Tableau4[[#This Row],[Nombres appareils installés]]</f>
        <v>0.42463905680171854</v>
      </c>
      <c r="Q76" s="188">
        <f>($Q$4+$R$4*(Tableau4[[#This Row],[Capacité (BTU)]]/1000))*Tableau4[[#This Row],[Nombres appareils installés]]</f>
        <v>2750</v>
      </c>
      <c r="R76" s="188">
        <f>Tableau4[[#This Row],[AF 1 ($)]]/Tableau4[[#This Row],[Nombres appareils installés]]</f>
        <v>2750</v>
      </c>
      <c r="S76" s="191">
        <f>Tableau4[[#This Row],[AF 1 ($)]]/(J76*D76)</f>
        <v>0.59868506988287551</v>
      </c>
      <c r="T76" s="191">
        <f>Tableau4[[#This Row],[Couverture 1 (%)]]*Tableau4[[#This Row],[Nombres appareils installés]]</f>
        <v>0.59868506988287551</v>
      </c>
      <c r="U76" s="188">
        <f>($U$4+($V$4*(Tableau4[[#This Row],[Capacité (BTU)]]/1000)))*Tableau4[[#This Row],[Nombres appareils installés]]</f>
        <v>3125</v>
      </c>
      <c r="V76" s="188">
        <f>Tableau4[[#This Row],[AF 2 ($)]]/Tableau4[[#This Row],[Nombres appareils installés]]</f>
        <v>3125</v>
      </c>
      <c r="W76" s="192">
        <f>Tableau4[[#This Row],[AF 2 par appareil ($)]]/Tableau4[[#This Row],[Surcoût par appareil ($)]]</f>
        <v>0.68032394304872212</v>
      </c>
      <c r="X76" s="192">
        <f>Tableau4[[#This Row],[Couverture 2 (%)]]*Tableau4[[#This Row],[Nombres appareils installés]]</f>
        <v>0.68032394304872212</v>
      </c>
      <c r="Y76" s="188">
        <f>($Y$4+$Z$4*(Tableau4[[#This Row],[Capacité (BTU)]]/1000))*Tableau4[[#This Row],[Nombres appareils installés]]</f>
        <v>3250</v>
      </c>
      <c r="Z76" s="188">
        <f>Tableau4[[#This Row],[AF 3 ($)]]/Tableau4[[#This Row],[Nombres appareils installés]]</f>
        <v>3250</v>
      </c>
      <c r="AA76" s="193">
        <f>Tableau4[[#This Row],[AF 3 par appareil ($)]]/Tableau4[[#This Row],[Surcoût par appareil ($)]]</f>
        <v>0.707536900770671</v>
      </c>
      <c r="AB76" s="193">
        <f>Tableau4[[#This Row],[Couverture 3 (%)]]*Tableau4[[#This Row],[Nombres appareils installés]]</f>
        <v>0.707536900770671</v>
      </c>
      <c r="AC76" s="188">
        <f>($AC$4+$AD$4*(Tableau4[[#This Row],[Capacité (BTU)]]/1000))*Tableau4[[#This Row],[Nombres appareils installés]]</f>
        <v>2800</v>
      </c>
      <c r="AD76" s="188">
        <f>Tableau4[[#This Row],[AF 4 ($)]]/Tableau4[[#This Row],[Nombres appareils installés]]</f>
        <v>2800</v>
      </c>
      <c r="AE76" s="194">
        <f>Tableau4[[#This Row],[Couverture 4 (%)]]*Tableau4[[#This Row],[Nombres appareils installés]]</f>
        <v>0.60957025297165501</v>
      </c>
      <c r="AF76" s="193">
        <f>Tableau4[[#This Row],[AF 4 par appareil  ($)]]/Tableau4[[#This Row],[Surcoût par appareil ($)]]</f>
        <v>0.60957025297165501</v>
      </c>
    </row>
    <row r="77" spans="2:32" x14ac:dyDescent="0.3">
      <c r="B77" s="195" t="s">
        <v>141</v>
      </c>
      <c r="C77" s="188" t="s">
        <v>159</v>
      </c>
      <c r="D77" s="188">
        <v>6</v>
      </c>
      <c r="E77" s="188">
        <v>150000</v>
      </c>
      <c r="F77" s="196">
        <f>Tableau4[[#This Row],[Economies totales (m3)]]/Tableau4[[#This Row],[Nombres appareils installés]]</f>
        <v>757.5</v>
      </c>
      <c r="G77" s="190">
        <v>4545</v>
      </c>
      <c r="H77" s="188">
        <f t="shared" si="2"/>
        <v>2193.4</v>
      </c>
      <c r="I77" s="188">
        <v>2400</v>
      </c>
      <c r="J77" s="188">
        <f>Tableau4[[#This Row],[Surcoût moyens de l''équipement ($)]]+Tableau4[[#This Row],[Surcoût moyen de l''installation ($)]]</f>
        <v>4593.3999999999996</v>
      </c>
      <c r="K77" s="188">
        <f>Tableau4[[#This Row],[Surcoût par appareil ($)]]*Tableau4[[#This Row],[Nombres appareils installés]]</f>
        <v>27560.399999999998</v>
      </c>
      <c r="L77" s="190">
        <v>10200</v>
      </c>
      <c r="M77" s="188">
        <f t="shared" si="3"/>
        <v>9900</v>
      </c>
      <c r="N77" s="188">
        <f>Tableau4[[#This Row],[AF 0 ($)]]/Tableau4[[#This Row],[Nombres appareils installés]]</f>
        <v>1650</v>
      </c>
      <c r="O77" s="191">
        <f>(Tableau4[[#This Row],[AF accordée ($)]])/($J$6*D77)</f>
        <v>0.42463905680171854</v>
      </c>
      <c r="P77" s="191">
        <f>Tableau4[[#This Row],[Couverture 0 (%)]]*Tableau4[[#This Row],[Nombres appareils installés]]</f>
        <v>2.5478343408103115</v>
      </c>
      <c r="Q77" s="188">
        <f>($Q$4+$R$4*(Tableau4[[#This Row],[Capacité (BTU)]]/1000))*Tableau4[[#This Row],[Nombres appareils installés]]</f>
        <v>16500</v>
      </c>
      <c r="R77" s="188">
        <f>Tableau4[[#This Row],[AF 1 ($)]]/Tableau4[[#This Row],[Nombres appareils installés]]</f>
        <v>2750</v>
      </c>
      <c r="S77" s="191">
        <f>Tableau4[[#This Row],[AF 1 ($)]]/(J77*D77)</f>
        <v>0.59868506988287551</v>
      </c>
      <c r="T77" s="191">
        <f>Tableau4[[#This Row],[Couverture 1 (%)]]*Tableau4[[#This Row],[Nombres appareils installés]]</f>
        <v>3.5921104192972528</v>
      </c>
      <c r="U77" s="188">
        <f>($U$4+($V$4*(Tableau4[[#This Row],[Capacité (BTU)]]/1000)))*Tableau4[[#This Row],[Nombres appareils installés]]</f>
        <v>18750</v>
      </c>
      <c r="V77" s="188">
        <f>Tableau4[[#This Row],[AF 2 ($)]]/Tableau4[[#This Row],[Nombres appareils installés]]</f>
        <v>3125</v>
      </c>
      <c r="W77" s="192">
        <f>Tableau4[[#This Row],[AF 2 par appareil ($)]]/Tableau4[[#This Row],[Surcoût par appareil ($)]]</f>
        <v>0.68032394304872212</v>
      </c>
      <c r="X77" s="192">
        <f>Tableau4[[#This Row],[Couverture 2 (%)]]*Tableau4[[#This Row],[Nombres appareils installés]]</f>
        <v>4.0819436582923325</v>
      </c>
      <c r="Y77" s="188">
        <f>($Y$4+$Z$4*(Tableau4[[#This Row],[Capacité (BTU)]]/1000))*Tableau4[[#This Row],[Nombres appareils installés]]</f>
        <v>19500</v>
      </c>
      <c r="Z77" s="188">
        <f>Tableau4[[#This Row],[AF 3 ($)]]/Tableau4[[#This Row],[Nombres appareils installés]]</f>
        <v>3250</v>
      </c>
      <c r="AA77" s="193">
        <f>Tableau4[[#This Row],[AF 3 par appareil ($)]]/Tableau4[[#This Row],[Surcoût par appareil ($)]]</f>
        <v>0.707536900770671</v>
      </c>
      <c r="AB77" s="193">
        <f>Tableau4[[#This Row],[Couverture 3 (%)]]*Tableau4[[#This Row],[Nombres appareils installés]]</f>
        <v>4.2452214046240258</v>
      </c>
      <c r="AC77" s="188">
        <f>($AC$4+$AD$4*(Tableau4[[#This Row],[Capacité (BTU)]]/1000))*Tableau4[[#This Row],[Nombres appareils installés]]</f>
        <v>16800</v>
      </c>
      <c r="AD77" s="188">
        <f>Tableau4[[#This Row],[AF 4 ($)]]/Tableau4[[#This Row],[Nombres appareils installés]]</f>
        <v>2800</v>
      </c>
      <c r="AE77" s="194">
        <f>Tableau4[[#This Row],[Couverture 4 (%)]]*Tableau4[[#This Row],[Nombres appareils installés]]</f>
        <v>3.6574215178299303</v>
      </c>
      <c r="AF77" s="193">
        <f>Tableau4[[#This Row],[AF 4 par appareil  ($)]]/Tableau4[[#This Row],[Surcoût par appareil ($)]]</f>
        <v>0.60957025297165501</v>
      </c>
    </row>
    <row r="78" spans="2:32" x14ac:dyDescent="0.3">
      <c r="B78" s="195" t="s">
        <v>141</v>
      </c>
      <c r="C78" s="188" t="s">
        <v>160</v>
      </c>
      <c r="D78" s="188">
        <v>1</v>
      </c>
      <c r="E78" s="188">
        <v>180000</v>
      </c>
      <c r="F78" s="196">
        <f>Tableau4[[#This Row],[Economies totales (m3)]]/Tableau4[[#This Row],[Nombres appareils installés]]</f>
        <v>909</v>
      </c>
      <c r="G78" s="190">
        <v>909</v>
      </c>
      <c r="H78" s="188">
        <f t="shared" si="2"/>
        <v>2487.4</v>
      </c>
      <c r="I78" s="188">
        <v>2400</v>
      </c>
      <c r="J78" s="188">
        <f>Tableau4[[#This Row],[Surcoût moyens de l''équipement ($)]]+Tableau4[[#This Row],[Surcoût moyen de l''installation ($)]]</f>
        <v>4887.3999999999996</v>
      </c>
      <c r="K78" s="188">
        <f>Tableau4[[#This Row],[Surcoût par appareil ($)]]*Tableau4[[#This Row],[Nombres appareils installés]]</f>
        <v>4887.3999999999996</v>
      </c>
      <c r="L78" s="190">
        <v>1700</v>
      </c>
      <c r="M78" s="188">
        <f t="shared" si="3"/>
        <v>1800</v>
      </c>
      <c r="N78" s="188">
        <f>Tableau4[[#This Row],[AF 0 ($)]]/Tableau4[[#This Row],[Nombres appareils installés]]</f>
        <v>1800</v>
      </c>
      <c r="O78" s="191">
        <f>(Tableau4[[#This Row],[AF accordée ($)]])/($J$6*D78)</f>
        <v>0.42463905680171854</v>
      </c>
      <c r="P78" s="191">
        <f>Tableau4[[#This Row],[Couverture 0 (%)]]*Tableau4[[#This Row],[Nombres appareils installés]]</f>
        <v>0.42463905680171854</v>
      </c>
      <c r="Q78" s="188">
        <f>($Q$4+$R$4*(Tableau4[[#This Row],[Capacité (BTU)]]/1000))*Tableau4[[#This Row],[Nombres appareils installés]]</f>
        <v>2900</v>
      </c>
      <c r="R78" s="188">
        <f>Tableau4[[#This Row],[AF 1 ($)]]/Tableau4[[#This Row],[Nombres appareils installés]]</f>
        <v>2900</v>
      </c>
      <c r="S78" s="191">
        <f>Tableau4[[#This Row],[AF 1 ($)]]/(J78*D78)</f>
        <v>0.59336252404141265</v>
      </c>
      <c r="T78" s="191">
        <f>Tableau4[[#This Row],[Couverture 1 (%)]]*Tableau4[[#This Row],[Nombres appareils installés]]</f>
        <v>0.59336252404141265</v>
      </c>
      <c r="U78" s="188">
        <f>($U$4+($V$4*(Tableau4[[#This Row],[Capacité (BTU)]]/1000)))*Tableau4[[#This Row],[Nombres appareils installés]]</f>
        <v>3350</v>
      </c>
      <c r="V78" s="188">
        <f>Tableau4[[#This Row],[AF 2 ($)]]/Tableau4[[#This Row],[Nombres appareils installés]]</f>
        <v>3350</v>
      </c>
      <c r="W78" s="192">
        <f>Tableau4[[#This Row],[AF 2 par appareil ($)]]/Tableau4[[#This Row],[Surcoût par appareil ($)]]</f>
        <v>0.68543601915128705</v>
      </c>
      <c r="X78" s="192">
        <f>Tableau4[[#This Row],[Couverture 2 (%)]]*Tableau4[[#This Row],[Nombres appareils installés]]</f>
        <v>0.68543601915128705</v>
      </c>
      <c r="Y78" s="188">
        <f>($Y$4+$Z$4*(Tableau4[[#This Row],[Capacité (BTU)]]/1000))*Tableau4[[#This Row],[Nombres appareils installés]]</f>
        <v>3400</v>
      </c>
      <c r="Z78" s="188">
        <f>Tableau4[[#This Row],[AF 3 ($)]]/Tableau4[[#This Row],[Nombres appareils installés]]</f>
        <v>3400</v>
      </c>
      <c r="AA78" s="193">
        <f>Tableau4[[#This Row],[AF 3 par appareil ($)]]/Tableau4[[#This Row],[Surcoût par appareil ($)]]</f>
        <v>0.69566640749682862</v>
      </c>
      <c r="AB78" s="193">
        <f>Tableau4[[#This Row],[Couverture 3 (%)]]*Tableau4[[#This Row],[Nombres appareils installés]]</f>
        <v>0.69566640749682862</v>
      </c>
      <c r="AC78" s="188">
        <f>($AC$4+$AD$4*(Tableau4[[#This Row],[Capacité (BTU)]]/1000))*Tableau4[[#This Row],[Nombres appareils installés]]</f>
        <v>2920</v>
      </c>
      <c r="AD78" s="188">
        <f>Tableau4[[#This Row],[AF 4 ($)]]/Tableau4[[#This Row],[Nombres appareils installés]]</f>
        <v>2920</v>
      </c>
      <c r="AE78" s="194">
        <f>Tableau4[[#This Row],[Couverture 4 (%)]]*Tableau4[[#This Row],[Nombres appareils installés]]</f>
        <v>0.59745467937962926</v>
      </c>
      <c r="AF78" s="193">
        <f>Tableau4[[#This Row],[AF 4 par appareil  ($)]]/Tableau4[[#This Row],[Surcoût par appareil ($)]]</f>
        <v>0.59745467937962926</v>
      </c>
    </row>
    <row r="79" spans="2:32" x14ac:dyDescent="0.3">
      <c r="B79" s="195" t="s">
        <v>141</v>
      </c>
      <c r="C79" s="188" t="s">
        <v>161</v>
      </c>
      <c r="D79" s="188">
        <v>1</v>
      </c>
      <c r="E79" s="188">
        <v>180000</v>
      </c>
      <c r="F79" s="196">
        <f>Tableau4[[#This Row],[Economies totales (m3)]]/Tableau4[[#This Row],[Nombres appareils installés]]</f>
        <v>909</v>
      </c>
      <c r="G79" s="190">
        <v>909</v>
      </c>
      <c r="H79" s="188">
        <f t="shared" si="2"/>
        <v>2487.4</v>
      </c>
      <c r="I79" s="188">
        <v>2400</v>
      </c>
      <c r="J79" s="188">
        <f>Tableau4[[#This Row],[Surcoût moyens de l''équipement ($)]]+Tableau4[[#This Row],[Surcoût moyen de l''installation ($)]]</f>
        <v>4887.3999999999996</v>
      </c>
      <c r="K79" s="188">
        <f>Tableau4[[#This Row],[Surcoût par appareil ($)]]*Tableau4[[#This Row],[Nombres appareils installés]]</f>
        <v>4887.3999999999996</v>
      </c>
      <c r="L79" s="190">
        <v>1700</v>
      </c>
      <c r="M79" s="188">
        <f t="shared" si="3"/>
        <v>1800</v>
      </c>
      <c r="N79" s="188">
        <f>Tableau4[[#This Row],[AF 0 ($)]]/Tableau4[[#This Row],[Nombres appareils installés]]</f>
        <v>1800</v>
      </c>
      <c r="O79" s="191">
        <f>(Tableau4[[#This Row],[AF accordée ($)]])/($J$6*D79)</f>
        <v>0.42463905680171854</v>
      </c>
      <c r="P79" s="191">
        <f>Tableau4[[#This Row],[Couverture 0 (%)]]*Tableau4[[#This Row],[Nombres appareils installés]]</f>
        <v>0.42463905680171854</v>
      </c>
      <c r="Q79" s="188">
        <f>($Q$4+$R$4*(Tableau4[[#This Row],[Capacité (BTU)]]/1000))*Tableau4[[#This Row],[Nombres appareils installés]]</f>
        <v>2900</v>
      </c>
      <c r="R79" s="188">
        <f>Tableau4[[#This Row],[AF 1 ($)]]/Tableau4[[#This Row],[Nombres appareils installés]]</f>
        <v>2900</v>
      </c>
      <c r="S79" s="191">
        <f>Tableau4[[#This Row],[AF 1 ($)]]/(J79*D79)</f>
        <v>0.59336252404141265</v>
      </c>
      <c r="T79" s="191">
        <f>Tableau4[[#This Row],[Couverture 1 (%)]]*Tableau4[[#This Row],[Nombres appareils installés]]</f>
        <v>0.59336252404141265</v>
      </c>
      <c r="U79" s="188">
        <f>($U$4+($V$4*(Tableau4[[#This Row],[Capacité (BTU)]]/1000)))*Tableau4[[#This Row],[Nombres appareils installés]]</f>
        <v>3350</v>
      </c>
      <c r="V79" s="188">
        <f>Tableau4[[#This Row],[AF 2 ($)]]/Tableau4[[#This Row],[Nombres appareils installés]]</f>
        <v>3350</v>
      </c>
      <c r="W79" s="192">
        <f>Tableau4[[#This Row],[AF 2 par appareil ($)]]/Tableau4[[#This Row],[Surcoût par appareil ($)]]</f>
        <v>0.68543601915128705</v>
      </c>
      <c r="X79" s="192">
        <f>Tableau4[[#This Row],[Couverture 2 (%)]]*Tableau4[[#This Row],[Nombres appareils installés]]</f>
        <v>0.68543601915128705</v>
      </c>
      <c r="Y79" s="188">
        <f>($Y$4+$Z$4*(Tableau4[[#This Row],[Capacité (BTU)]]/1000))*Tableau4[[#This Row],[Nombres appareils installés]]</f>
        <v>3400</v>
      </c>
      <c r="Z79" s="188">
        <f>Tableau4[[#This Row],[AF 3 ($)]]/Tableau4[[#This Row],[Nombres appareils installés]]</f>
        <v>3400</v>
      </c>
      <c r="AA79" s="193">
        <f>Tableau4[[#This Row],[AF 3 par appareil ($)]]/Tableau4[[#This Row],[Surcoût par appareil ($)]]</f>
        <v>0.69566640749682862</v>
      </c>
      <c r="AB79" s="193">
        <f>Tableau4[[#This Row],[Couverture 3 (%)]]*Tableau4[[#This Row],[Nombres appareils installés]]</f>
        <v>0.69566640749682862</v>
      </c>
      <c r="AC79" s="188">
        <f>($AC$4+$AD$4*(Tableau4[[#This Row],[Capacité (BTU)]]/1000))*Tableau4[[#This Row],[Nombres appareils installés]]</f>
        <v>2920</v>
      </c>
      <c r="AD79" s="188">
        <f>Tableau4[[#This Row],[AF 4 ($)]]/Tableau4[[#This Row],[Nombres appareils installés]]</f>
        <v>2920</v>
      </c>
      <c r="AE79" s="194">
        <f>Tableau4[[#This Row],[Couverture 4 (%)]]*Tableau4[[#This Row],[Nombres appareils installés]]</f>
        <v>0.59745467937962926</v>
      </c>
      <c r="AF79" s="193">
        <f>Tableau4[[#This Row],[AF 4 par appareil  ($)]]/Tableau4[[#This Row],[Surcoût par appareil ($)]]</f>
        <v>0.59745467937962926</v>
      </c>
    </row>
    <row r="80" spans="2:32" x14ac:dyDescent="0.3">
      <c r="B80" s="195" t="s">
        <v>141</v>
      </c>
      <c r="C80" s="188" t="s">
        <v>162</v>
      </c>
      <c r="D80" s="188">
        <v>1</v>
      </c>
      <c r="E80" s="188">
        <v>180000</v>
      </c>
      <c r="F80" s="196">
        <f>Tableau4[[#This Row],[Economies totales (m3)]]/Tableau4[[#This Row],[Nombres appareils installés]]</f>
        <v>909</v>
      </c>
      <c r="G80" s="190">
        <v>909</v>
      </c>
      <c r="H80" s="188">
        <f t="shared" si="2"/>
        <v>2487.4</v>
      </c>
      <c r="I80" s="188">
        <v>2400</v>
      </c>
      <c r="J80" s="188">
        <f>Tableau4[[#This Row],[Surcoût moyens de l''équipement ($)]]+Tableau4[[#This Row],[Surcoût moyen de l''installation ($)]]</f>
        <v>4887.3999999999996</v>
      </c>
      <c r="K80" s="188">
        <f>Tableau4[[#This Row],[Surcoût par appareil ($)]]*Tableau4[[#This Row],[Nombres appareils installés]]</f>
        <v>4887.3999999999996</v>
      </c>
      <c r="L80" s="190">
        <v>1700</v>
      </c>
      <c r="M80" s="188">
        <f t="shared" si="3"/>
        <v>1800</v>
      </c>
      <c r="N80" s="188">
        <f>Tableau4[[#This Row],[AF 0 ($)]]/Tableau4[[#This Row],[Nombres appareils installés]]</f>
        <v>1800</v>
      </c>
      <c r="O80" s="191">
        <f>(Tableau4[[#This Row],[AF accordée ($)]])/($J$6*D80)</f>
        <v>0.42463905680171854</v>
      </c>
      <c r="P80" s="191">
        <f>Tableau4[[#This Row],[Couverture 0 (%)]]*Tableau4[[#This Row],[Nombres appareils installés]]</f>
        <v>0.42463905680171854</v>
      </c>
      <c r="Q80" s="188">
        <f>($Q$4+$R$4*(Tableau4[[#This Row],[Capacité (BTU)]]/1000))*Tableau4[[#This Row],[Nombres appareils installés]]</f>
        <v>2900</v>
      </c>
      <c r="R80" s="188">
        <f>Tableau4[[#This Row],[AF 1 ($)]]/Tableau4[[#This Row],[Nombres appareils installés]]</f>
        <v>2900</v>
      </c>
      <c r="S80" s="191">
        <f>Tableau4[[#This Row],[AF 1 ($)]]/(J80*D80)</f>
        <v>0.59336252404141265</v>
      </c>
      <c r="T80" s="191">
        <f>Tableau4[[#This Row],[Couverture 1 (%)]]*Tableau4[[#This Row],[Nombres appareils installés]]</f>
        <v>0.59336252404141265</v>
      </c>
      <c r="U80" s="188">
        <f>($U$4+($V$4*(Tableau4[[#This Row],[Capacité (BTU)]]/1000)))*Tableau4[[#This Row],[Nombres appareils installés]]</f>
        <v>3350</v>
      </c>
      <c r="V80" s="188">
        <f>Tableau4[[#This Row],[AF 2 ($)]]/Tableau4[[#This Row],[Nombres appareils installés]]</f>
        <v>3350</v>
      </c>
      <c r="W80" s="192">
        <f>Tableau4[[#This Row],[AF 2 par appareil ($)]]/Tableau4[[#This Row],[Surcoût par appareil ($)]]</f>
        <v>0.68543601915128705</v>
      </c>
      <c r="X80" s="192">
        <f>Tableau4[[#This Row],[Couverture 2 (%)]]*Tableau4[[#This Row],[Nombres appareils installés]]</f>
        <v>0.68543601915128705</v>
      </c>
      <c r="Y80" s="188">
        <f>($Y$4+$Z$4*(Tableau4[[#This Row],[Capacité (BTU)]]/1000))*Tableau4[[#This Row],[Nombres appareils installés]]</f>
        <v>3400</v>
      </c>
      <c r="Z80" s="188">
        <f>Tableau4[[#This Row],[AF 3 ($)]]/Tableau4[[#This Row],[Nombres appareils installés]]</f>
        <v>3400</v>
      </c>
      <c r="AA80" s="193">
        <f>Tableau4[[#This Row],[AF 3 par appareil ($)]]/Tableau4[[#This Row],[Surcoût par appareil ($)]]</f>
        <v>0.69566640749682862</v>
      </c>
      <c r="AB80" s="193">
        <f>Tableau4[[#This Row],[Couverture 3 (%)]]*Tableau4[[#This Row],[Nombres appareils installés]]</f>
        <v>0.69566640749682862</v>
      </c>
      <c r="AC80" s="188">
        <f>($AC$4+$AD$4*(Tableau4[[#This Row],[Capacité (BTU)]]/1000))*Tableau4[[#This Row],[Nombres appareils installés]]</f>
        <v>2920</v>
      </c>
      <c r="AD80" s="188">
        <f>Tableau4[[#This Row],[AF 4 ($)]]/Tableau4[[#This Row],[Nombres appareils installés]]</f>
        <v>2920</v>
      </c>
      <c r="AE80" s="194">
        <f>Tableau4[[#This Row],[Couverture 4 (%)]]*Tableau4[[#This Row],[Nombres appareils installés]]</f>
        <v>0.59745467937962926</v>
      </c>
      <c r="AF80" s="193">
        <f>Tableau4[[#This Row],[AF 4 par appareil  ($)]]/Tableau4[[#This Row],[Surcoût par appareil ($)]]</f>
        <v>0.59745467937962926</v>
      </c>
    </row>
    <row r="81" spans="2:32" x14ac:dyDescent="0.3">
      <c r="B81" s="195" t="s">
        <v>141</v>
      </c>
      <c r="C81" s="188" t="s">
        <v>163</v>
      </c>
      <c r="D81" s="188">
        <v>1</v>
      </c>
      <c r="E81" s="188">
        <v>180000</v>
      </c>
      <c r="F81" s="196">
        <f>Tableau4[[#This Row],[Economies totales (m3)]]/Tableau4[[#This Row],[Nombres appareils installés]]</f>
        <v>909</v>
      </c>
      <c r="G81" s="190">
        <v>909</v>
      </c>
      <c r="H81" s="188">
        <f t="shared" si="2"/>
        <v>2487.4</v>
      </c>
      <c r="I81" s="188">
        <v>2400</v>
      </c>
      <c r="J81" s="188">
        <f>Tableau4[[#This Row],[Surcoût moyens de l''équipement ($)]]+Tableau4[[#This Row],[Surcoût moyen de l''installation ($)]]</f>
        <v>4887.3999999999996</v>
      </c>
      <c r="K81" s="188">
        <f>Tableau4[[#This Row],[Surcoût par appareil ($)]]*Tableau4[[#This Row],[Nombres appareils installés]]</f>
        <v>4887.3999999999996</v>
      </c>
      <c r="L81" s="190">
        <v>1700</v>
      </c>
      <c r="M81" s="188">
        <f t="shared" si="3"/>
        <v>1800</v>
      </c>
      <c r="N81" s="188">
        <f>Tableau4[[#This Row],[AF 0 ($)]]/Tableau4[[#This Row],[Nombres appareils installés]]</f>
        <v>1800</v>
      </c>
      <c r="O81" s="191">
        <f>(Tableau4[[#This Row],[AF accordée ($)]])/($J$6*D81)</f>
        <v>0.42463905680171854</v>
      </c>
      <c r="P81" s="191">
        <f>Tableau4[[#This Row],[Couverture 0 (%)]]*Tableau4[[#This Row],[Nombres appareils installés]]</f>
        <v>0.42463905680171854</v>
      </c>
      <c r="Q81" s="188">
        <f>($Q$4+$R$4*(Tableau4[[#This Row],[Capacité (BTU)]]/1000))*Tableau4[[#This Row],[Nombres appareils installés]]</f>
        <v>2900</v>
      </c>
      <c r="R81" s="188">
        <f>Tableau4[[#This Row],[AF 1 ($)]]/Tableau4[[#This Row],[Nombres appareils installés]]</f>
        <v>2900</v>
      </c>
      <c r="S81" s="191">
        <f>Tableau4[[#This Row],[AF 1 ($)]]/(J81*D81)</f>
        <v>0.59336252404141265</v>
      </c>
      <c r="T81" s="191">
        <f>Tableau4[[#This Row],[Couverture 1 (%)]]*Tableau4[[#This Row],[Nombres appareils installés]]</f>
        <v>0.59336252404141265</v>
      </c>
      <c r="U81" s="188">
        <f>($U$4+($V$4*(Tableau4[[#This Row],[Capacité (BTU)]]/1000)))*Tableau4[[#This Row],[Nombres appareils installés]]</f>
        <v>3350</v>
      </c>
      <c r="V81" s="188">
        <f>Tableau4[[#This Row],[AF 2 ($)]]/Tableau4[[#This Row],[Nombres appareils installés]]</f>
        <v>3350</v>
      </c>
      <c r="W81" s="192">
        <f>Tableau4[[#This Row],[AF 2 par appareil ($)]]/Tableau4[[#This Row],[Surcoût par appareil ($)]]</f>
        <v>0.68543601915128705</v>
      </c>
      <c r="X81" s="192">
        <f>Tableau4[[#This Row],[Couverture 2 (%)]]*Tableau4[[#This Row],[Nombres appareils installés]]</f>
        <v>0.68543601915128705</v>
      </c>
      <c r="Y81" s="188">
        <f>($Y$4+$Z$4*(Tableau4[[#This Row],[Capacité (BTU)]]/1000))*Tableau4[[#This Row],[Nombres appareils installés]]</f>
        <v>3400</v>
      </c>
      <c r="Z81" s="188">
        <f>Tableau4[[#This Row],[AF 3 ($)]]/Tableau4[[#This Row],[Nombres appareils installés]]</f>
        <v>3400</v>
      </c>
      <c r="AA81" s="193">
        <f>Tableau4[[#This Row],[AF 3 par appareil ($)]]/Tableau4[[#This Row],[Surcoût par appareil ($)]]</f>
        <v>0.69566640749682862</v>
      </c>
      <c r="AB81" s="193">
        <f>Tableau4[[#This Row],[Couverture 3 (%)]]*Tableau4[[#This Row],[Nombres appareils installés]]</f>
        <v>0.69566640749682862</v>
      </c>
      <c r="AC81" s="188">
        <f>($AC$4+$AD$4*(Tableau4[[#This Row],[Capacité (BTU)]]/1000))*Tableau4[[#This Row],[Nombres appareils installés]]</f>
        <v>2920</v>
      </c>
      <c r="AD81" s="188">
        <f>Tableau4[[#This Row],[AF 4 ($)]]/Tableau4[[#This Row],[Nombres appareils installés]]</f>
        <v>2920</v>
      </c>
      <c r="AE81" s="194">
        <f>Tableau4[[#This Row],[Couverture 4 (%)]]*Tableau4[[#This Row],[Nombres appareils installés]]</f>
        <v>0.59745467937962926</v>
      </c>
      <c r="AF81" s="193">
        <f>Tableau4[[#This Row],[AF 4 par appareil  ($)]]/Tableau4[[#This Row],[Surcoût par appareil ($)]]</f>
        <v>0.59745467937962926</v>
      </c>
    </row>
    <row r="82" spans="2:32" x14ac:dyDescent="0.3">
      <c r="B82" s="195" t="s">
        <v>141</v>
      </c>
      <c r="C82" s="188" t="s">
        <v>164</v>
      </c>
      <c r="D82" s="188">
        <v>1</v>
      </c>
      <c r="E82" s="188">
        <v>180000</v>
      </c>
      <c r="F82" s="196">
        <f>Tableau4[[#This Row],[Economies totales (m3)]]/Tableau4[[#This Row],[Nombres appareils installés]]</f>
        <v>909</v>
      </c>
      <c r="G82" s="190">
        <v>909</v>
      </c>
      <c r="H82" s="188">
        <f t="shared" si="2"/>
        <v>2487.4</v>
      </c>
      <c r="I82" s="188">
        <v>2400</v>
      </c>
      <c r="J82" s="188">
        <f>Tableau4[[#This Row],[Surcoût moyens de l''équipement ($)]]+Tableau4[[#This Row],[Surcoût moyen de l''installation ($)]]</f>
        <v>4887.3999999999996</v>
      </c>
      <c r="K82" s="188">
        <f>Tableau4[[#This Row],[Surcoût par appareil ($)]]*Tableau4[[#This Row],[Nombres appareils installés]]</f>
        <v>4887.3999999999996</v>
      </c>
      <c r="L82" s="190">
        <v>1700</v>
      </c>
      <c r="M82" s="188">
        <f t="shared" si="3"/>
        <v>1800</v>
      </c>
      <c r="N82" s="188">
        <f>Tableau4[[#This Row],[AF 0 ($)]]/Tableau4[[#This Row],[Nombres appareils installés]]</f>
        <v>1800</v>
      </c>
      <c r="O82" s="191">
        <f>(Tableau4[[#This Row],[AF accordée ($)]])/($J$6*D82)</f>
        <v>0.42463905680171854</v>
      </c>
      <c r="P82" s="191">
        <f>Tableau4[[#This Row],[Couverture 0 (%)]]*Tableau4[[#This Row],[Nombres appareils installés]]</f>
        <v>0.42463905680171854</v>
      </c>
      <c r="Q82" s="188">
        <f>($Q$4+$R$4*(Tableau4[[#This Row],[Capacité (BTU)]]/1000))*Tableau4[[#This Row],[Nombres appareils installés]]</f>
        <v>2900</v>
      </c>
      <c r="R82" s="188">
        <f>Tableau4[[#This Row],[AF 1 ($)]]/Tableau4[[#This Row],[Nombres appareils installés]]</f>
        <v>2900</v>
      </c>
      <c r="S82" s="191">
        <f>Tableau4[[#This Row],[AF 1 ($)]]/(J82*D82)</f>
        <v>0.59336252404141265</v>
      </c>
      <c r="T82" s="191">
        <f>Tableau4[[#This Row],[Couverture 1 (%)]]*Tableau4[[#This Row],[Nombres appareils installés]]</f>
        <v>0.59336252404141265</v>
      </c>
      <c r="U82" s="188">
        <f>($U$4+($V$4*(Tableau4[[#This Row],[Capacité (BTU)]]/1000)))*Tableau4[[#This Row],[Nombres appareils installés]]</f>
        <v>3350</v>
      </c>
      <c r="V82" s="188">
        <f>Tableau4[[#This Row],[AF 2 ($)]]/Tableau4[[#This Row],[Nombres appareils installés]]</f>
        <v>3350</v>
      </c>
      <c r="W82" s="192">
        <f>Tableau4[[#This Row],[AF 2 par appareil ($)]]/Tableau4[[#This Row],[Surcoût par appareil ($)]]</f>
        <v>0.68543601915128705</v>
      </c>
      <c r="X82" s="192">
        <f>Tableau4[[#This Row],[Couverture 2 (%)]]*Tableau4[[#This Row],[Nombres appareils installés]]</f>
        <v>0.68543601915128705</v>
      </c>
      <c r="Y82" s="188">
        <f>($Y$4+$Z$4*(Tableau4[[#This Row],[Capacité (BTU)]]/1000))*Tableau4[[#This Row],[Nombres appareils installés]]</f>
        <v>3400</v>
      </c>
      <c r="Z82" s="188">
        <f>Tableau4[[#This Row],[AF 3 ($)]]/Tableau4[[#This Row],[Nombres appareils installés]]</f>
        <v>3400</v>
      </c>
      <c r="AA82" s="193">
        <f>Tableau4[[#This Row],[AF 3 par appareil ($)]]/Tableau4[[#This Row],[Surcoût par appareil ($)]]</f>
        <v>0.69566640749682862</v>
      </c>
      <c r="AB82" s="193">
        <f>Tableau4[[#This Row],[Couverture 3 (%)]]*Tableau4[[#This Row],[Nombres appareils installés]]</f>
        <v>0.69566640749682862</v>
      </c>
      <c r="AC82" s="188">
        <f>($AC$4+$AD$4*(Tableau4[[#This Row],[Capacité (BTU)]]/1000))*Tableau4[[#This Row],[Nombres appareils installés]]</f>
        <v>2920</v>
      </c>
      <c r="AD82" s="188">
        <f>Tableau4[[#This Row],[AF 4 ($)]]/Tableau4[[#This Row],[Nombres appareils installés]]</f>
        <v>2920</v>
      </c>
      <c r="AE82" s="194">
        <f>Tableau4[[#This Row],[Couverture 4 (%)]]*Tableau4[[#This Row],[Nombres appareils installés]]</f>
        <v>0.59745467937962926</v>
      </c>
      <c r="AF82" s="193">
        <f>Tableau4[[#This Row],[AF 4 par appareil  ($)]]/Tableau4[[#This Row],[Surcoût par appareil ($)]]</f>
        <v>0.59745467937962926</v>
      </c>
    </row>
    <row r="83" spans="2:32" x14ac:dyDescent="0.3">
      <c r="B83" s="195" t="s">
        <v>141</v>
      </c>
      <c r="C83" s="188" t="s">
        <v>122</v>
      </c>
      <c r="D83" s="188">
        <v>1</v>
      </c>
      <c r="E83" s="188">
        <v>180000</v>
      </c>
      <c r="F83" s="196">
        <f>Tableau4[[#This Row],[Economies totales (m3)]]/Tableau4[[#This Row],[Nombres appareils installés]]</f>
        <v>909</v>
      </c>
      <c r="G83" s="190">
        <v>909</v>
      </c>
      <c r="H83" s="188">
        <f t="shared" si="2"/>
        <v>2487.4</v>
      </c>
      <c r="I83" s="188">
        <v>2400</v>
      </c>
      <c r="J83" s="188">
        <f>Tableau4[[#This Row],[Surcoût moyens de l''équipement ($)]]+Tableau4[[#This Row],[Surcoût moyen de l''installation ($)]]</f>
        <v>4887.3999999999996</v>
      </c>
      <c r="K83" s="188">
        <f>Tableau4[[#This Row],[Surcoût par appareil ($)]]*Tableau4[[#This Row],[Nombres appareils installés]]</f>
        <v>4887.3999999999996</v>
      </c>
      <c r="L83" s="190">
        <v>1700</v>
      </c>
      <c r="M83" s="188">
        <f t="shared" si="3"/>
        <v>1800</v>
      </c>
      <c r="N83" s="188">
        <f>Tableau4[[#This Row],[AF 0 ($)]]/Tableau4[[#This Row],[Nombres appareils installés]]</f>
        <v>1800</v>
      </c>
      <c r="O83" s="191">
        <f>(Tableau4[[#This Row],[AF accordée ($)]])/($J$6*D83)</f>
        <v>0.42463905680171854</v>
      </c>
      <c r="P83" s="191">
        <f>Tableau4[[#This Row],[Couverture 0 (%)]]*Tableau4[[#This Row],[Nombres appareils installés]]</f>
        <v>0.42463905680171854</v>
      </c>
      <c r="Q83" s="188">
        <f>($Q$4+$R$4*(Tableau4[[#This Row],[Capacité (BTU)]]/1000))*Tableau4[[#This Row],[Nombres appareils installés]]</f>
        <v>2900</v>
      </c>
      <c r="R83" s="188">
        <f>Tableau4[[#This Row],[AF 1 ($)]]/Tableau4[[#This Row],[Nombres appareils installés]]</f>
        <v>2900</v>
      </c>
      <c r="S83" s="191">
        <f>Tableau4[[#This Row],[AF 1 ($)]]/(J83*D83)</f>
        <v>0.59336252404141265</v>
      </c>
      <c r="T83" s="191">
        <f>Tableau4[[#This Row],[Couverture 1 (%)]]*Tableau4[[#This Row],[Nombres appareils installés]]</f>
        <v>0.59336252404141265</v>
      </c>
      <c r="U83" s="188">
        <f>($U$4+($V$4*(Tableau4[[#This Row],[Capacité (BTU)]]/1000)))*Tableau4[[#This Row],[Nombres appareils installés]]</f>
        <v>3350</v>
      </c>
      <c r="V83" s="188">
        <f>Tableau4[[#This Row],[AF 2 ($)]]/Tableau4[[#This Row],[Nombres appareils installés]]</f>
        <v>3350</v>
      </c>
      <c r="W83" s="192">
        <f>Tableau4[[#This Row],[AF 2 par appareil ($)]]/Tableau4[[#This Row],[Surcoût par appareil ($)]]</f>
        <v>0.68543601915128705</v>
      </c>
      <c r="X83" s="192">
        <f>Tableau4[[#This Row],[Couverture 2 (%)]]*Tableau4[[#This Row],[Nombres appareils installés]]</f>
        <v>0.68543601915128705</v>
      </c>
      <c r="Y83" s="188">
        <f>($Y$4+$Z$4*(Tableau4[[#This Row],[Capacité (BTU)]]/1000))*Tableau4[[#This Row],[Nombres appareils installés]]</f>
        <v>3400</v>
      </c>
      <c r="Z83" s="188">
        <f>Tableau4[[#This Row],[AF 3 ($)]]/Tableau4[[#This Row],[Nombres appareils installés]]</f>
        <v>3400</v>
      </c>
      <c r="AA83" s="193">
        <f>Tableau4[[#This Row],[AF 3 par appareil ($)]]/Tableau4[[#This Row],[Surcoût par appareil ($)]]</f>
        <v>0.69566640749682862</v>
      </c>
      <c r="AB83" s="193">
        <f>Tableau4[[#This Row],[Couverture 3 (%)]]*Tableau4[[#This Row],[Nombres appareils installés]]</f>
        <v>0.69566640749682862</v>
      </c>
      <c r="AC83" s="188">
        <f>($AC$4+$AD$4*(Tableau4[[#This Row],[Capacité (BTU)]]/1000))*Tableau4[[#This Row],[Nombres appareils installés]]</f>
        <v>2920</v>
      </c>
      <c r="AD83" s="188">
        <f>Tableau4[[#This Row],[AF 4 ($)]]/Tableau4[[#This Row],[Nombres appareils installés]]</f>
        <v>2920</v>
      </c>
      <c r="AE83" s="194">
        <f>Tableau4[[#This Row],[Couverture 4 (%)]]*Tableau4[[#This Row],[Nombres appareils installés]]</f>
        <v>0.59745467937962926</v>
      </c>
      <c r="AF83" s="193">
        <f>Tableau4[[#This Row],[AF 4 par appareil  ($)]]/Tableau4[[#This Row],[Surcoût par appareil ($)]]</f>
        <v>0.59745467937962926</v>
      </c>
    </row>
    <row r="84" spans="2:32" x14ac:dyDescent="0.3">
      <c r="B84" s="195" t="s">
        <v>141</v>
      </c>
      <c r="C84" s="188" t="s">
        <v>165</v>
      </c>
      <c r="D84" s="188">
        <v>1</v>
      </c>
      <c r="E84" s="188">
        <v>180000</v>
      </c>
      <c r="F84" s="196">
        <f>Tableau4[[#This Row],[Economies totales (m3)]]/Tableau4[[#This Row],[Nombres appareils installés]]</f>
        <v>909</v>
      </c>
      <c r="G84" s="190">
        <v>909</v>
      </c>
      <c r="H84" s="188">
        <f t="shared" si="2"/>
        <v>2487.4</v>
      </c>
      <c r="I84" s="188">
        <v>2400</v>
      </c>
      <c r="J84" s="188">
        <f>Tableau4[[#This Row],[Surcoût moyens de l''équipement ($)]]+Tableau4[[#This Row],[Surcoût moyen de l''installation ($)]]</f>
        <v>4887.3999999999996</v>
      </c>
      <c r="K84" s="188">
        <f>Tableau4[[#This Row],[Surcoût par appareil ($)]]*Tableau4[[#This Row],[Nombres appareils installés]]</f>
        <v>4887.3999999999996</v>
      </c>
      <c r="L84" s="190">
        <v>1700</v>
      </c>
      <c r="M84" s="188">
        <f t="shared" si="3"/>
        <v>1800</v>
      </c>
      <c r="N84" s="188">
        <f>Tableau4[[#This Row],[AF 0 ($)]]/Tableau4[[#This Row],[Nombres appareils installés]]</f>
        <v>1800</v>
      </c>
      <c r="O84" s="191">
        <f>(Tableau4[[#This Row],[AF accordée ($)]])/($J$6*D84)</f>
        <v>0.42463905680171854</v>
      </c>
      <c r="P84" s="191">
        <f>Tableau4[[#This Row],[Couverture 0 (%)]]*Tableau4[[#This Row],[Nombres appareils installés]]</f>
        <v>0.42463905680171854</v>
      </c>
      <c r="Q84" s="188">
        <f>($Q$4+$R$4*(Tableau4[[#This Row],[Capacité (BTU)]]/1000))*Tableau4[[#This Row],[Nombres appareils installés]]</f>
        <v>2900</v>
      </c>
      <c r="R84" s="188">
        <f>Tableau4[[#This Row],[AF 1 ($)]]/Tableau4[[#This Row],[Nombres appareils installés]]</f>
        <v>2900</v>
      </c>
      <c r="S84" s="191">
        <f>Tableau4[[#This Row],[AF 1 ($)]]/(J84*D84)</f>
        <v>0.59336252404141265</v>
      </c>
      <c r="T84" s="191">
        <f>Tableau4[[#This Row],[Couverture 1 (%)]]*Tableau4[[#This Row],[Nombres appareils installés]]</f>
        <v>0.59336252404141265</v>
      </c>
      <c r="U84" s="188">
        <f>($U$4+($V$4*(Tableau4[[#This Row],[Capacité (BTU)]]/1000)))*Tableau4[[#This Row],[Nombres appareils installés]]</f>
        <v>3350</v>
      </c>
      <c r="V84" s="188">
        <f>Tableau4[[#This Row],[AF 2 ($)]]/Tableau4[[#This Row],[Nombres appareils installés]]</f>
        <v>3350</v>
      </c>
      <c r="W84" s="192">
        <f>Tableau4[[#This Row],[AF 2 par appareil ($)]]/Tableau4[[#This Row],[Surcoût par appareil ($)]]</f>
        <v>0.68543601915128705</v>
      </c>
      <c r="X84" s="192">
        <f>Tableau4[[#This Row],[Couverture 2 (%)]]*Tableau4[[#This Row],[Nombres appareils installés]]</f>
        <v>0.68543601915128705</v>
      </c>
      <c r="Y84" s="188">
        <f>($Y$4+$Z$4*(Tableau4[[#This Row],[Capacité (BTU)]]/1000))*Tableau4[[#This Row],[Nombres appareils installés]]</f>
        <v>3400</v>
      </c>
      <c r="Z84" s="188">
        <f>Tableau4[[#This Row],[AF 3 ($)]]/Tableau4[[#This Row],[Nombres appareils installés]]</f>
        <v>3400</v>
      </c>
      <c r="AA84" s="193">
        <f>Tableau4[[#This Row],[AF 3 par appareil ($)]]/Tableau4[[#This Row],[Surcoût par appareil ($)]]</f>
        <v>0.69566640749682862</v>
      </c>
      <c r="AB84" s="193">
        <f>Tableau4[[#This Row],[Couverture 3 (%)]]*Tableau4[[#This Row],[Nombres appareils installés]]</f>
        <v>0.69566640749682862</v>
      </c>
      <c r="AC84" s="188">
        <f>($AC$4+$AD$4*(Tableau4[[#This Row],[Capacité (BTU)]]/1000))*Tableau4[[#This Row],[Nombres appareils installés]]</f>
        <v>2920</v>
      </c>
      <c r="AD84" s="188">
        <f>Tableau4[[#This Row],[AF 4 ($)]]/Tableau4[[#This Row],[Nombres appareils installés]]</f>
        <v>2920</v>
      </c>
      <c r="AE84" s="194">
        <f>Tableau4[[#This Row],[Couverture 4 (%)]]*Tableau4[[#This Row],[Nombres appareils installés]]</f>
        <v>0.59745467937962926</v>
      </c>
      <c r="AF84" s="193">
        <f>Tableau4[[#This Row],[AF 4 par appareil  ($)]]/Tableau4[[#This Row],[Surcoût par appareil ($)]]</f>
        <v>0.59745467937962926</v>
      </c>
    </row>
    <row r="85" spans="2:32" x14ac:dyDescent="0.3">
      <c r="B85" s="195" t="s">
        <v>141</v>
      </c>
      <c r="C85" s="188" t="s">
        <v>166</v>
      </c>
      <c r="D85" s="188">
        <v>2</v>
      </c>
      <c r="E85" s="188">
        <v>180000</v>
      </c>
      <c r="F85" s="196">
        <f>Tableau4[[#This Row],[Economies totales (m3)]]/Tableau4[[#This Row],[Nombres appareils installés]]</f>
        <v>909</v>
      </c>
      <c r="G85" s="190">
        <v>1818</v>
      </c>
      <c r="H85" s="188">
        <f t="shared" si="2"/>
        <v>2487.4</v>
      </c>
      <c r="I85" s="188">
        <v>2400</v>
      </c>
      <c r="J85" s="188">
        <f>Tableau4[[#This Row],[Surcoût moyens de l''équipement ($)]]+Tableau4[[#This Row],[Surcoût moyen de l''installation ($)]]</f>
        <v>4887.3999999999996</v>
      </c>
      <c r="K85" s="188">
        <f>Tableau4[[#This Row],[Surcoût par appareil ($)]]*Tableau4[[#This Row],[Nombres appareils installés]]</f>
        <v>9774.7999999999993</v>
      </c>
      <c r="L85" s="190">
        <v>3400</v>
      </c>
      <c r="M85" s="188">
        <f t="shared" si="3"/>
        <v>3600</v>
      </c>
      <c r="N85" s="188">
        <f>Tableau4[[#This Row],[AF 0 ($)]]/Tableau4[[#This Row],[Nombres appareils installés]]</f>
        <v>1800</v>
      </c>
      <c r="O85" s="191">
        <f>(Tableau4[[#This Row],[AF accordée ($)]])/($J$6*D85)</f>
        <v>0.42463905680171854</v>
      </c>
      <c r="P85" s="191">
        <f>Tableau4[[#This Row],[Couverture 0 (%)]]*Tableau4[[#This Row],[Nombres appareils installés]]</f>
        <v>0.84927811360343708</v>
      </c>
      <c r="Q85" s="188">
        <f>($Q$4+$R$4*(Tableau4[[#This Row],[Capacité (BTU)]]/1000))*Tableau4[[#This Row],[Nombres appareils installés]]</f>
        <v>5800</v>
      </c>
      <c r="R85" s="188">
        <f>Tableau4[[#This Row],[AF 1 ($)]]/Tableau4[[#This Row],[Nombres appareils installés]]</f>
        <v>2900</v>
      </c>
      <c r="S85" s="191">
        <f>Tableau4[[#This Row],[AF 1 ($)]]/(J85*D85)</f>
        <v>0.59336252404141265</v>
      </c>
      <c r="T85" s="191">
        <f>Tableau4[[#This Row],[Couverture 1 (%)]]*Tableau4[[#This Row],[Nombres appareils installés]]</f>
        <v>1.1867250480828253</v>
      </c>
      <c r="U85" s="188">
        <f>($U$4+($V$4*(Tableau4[[#This Row],[Capacité (BTU)]]/1000)))*Tableau4[[#This Row],[Nombres appareils installés]]</f>
        <v>6700</v>
      </c>
      <c r="V85" s="188">
        <f>Tableau4[[#This Row],[AF 2 ($)]]/Tableau4[[#This Row],[Nombres appareils installés]]</f>
        <v>3350</v>
      </c>
      <c r="W85" s="192">
        <f>Tableau4[[#This Row],[AF 2 par appareil ($)]]/Tableau4[[#This Row],[Surcoût par appareil ($)]]</f>
        <v>0.68543601915128705</v>
      </c>
      <c r="X85" s="192">
        <f>Tableau4[[#This Row],[Couverture 2 (%)]]*Tableau4[[#This Row],[Nombres appareils installés]]</f>
        <v>1.3708720383025741</v>
      </c>
      <c r="Y85" s="188">
        <f>($Y$4+$Z$4*(Tableau4[[#This Row],[Capacité (BTU)]]/1000))*Tableau4[[#This Row],[Nombres appareils installés]]</f>
        <v>6800</v>
      </c>
      <c r="Z85" s="188">
        <f>Tableau4[[#This Row],[AF 3 ($)]]/Tableau4[[#This Row],[Nombres appareils installés]]</f>
        <v>3400</v>
      </c>
      <c r="AA85" s="193">
        <f>Tableau4[[#This Row],[AF 3 par appareil ($)]]/Tableau4[[#This Row],[Surcoût par appareil ($)]]</f>
        <v>0.69566640749682862</v>
      </c>
      <c r="AB85" s="193">
        <f>Tableau4[[#This Row],[Couverture 3 (%)]]*Tableau4[[#This Row],[Nombres appareils installés]]</f>
        <v>1.3913328149936572</v>
      </c>
      <c r="AC85" s="188">
        <f>($AC$4+$AD$4*(Tableau4[[#This Row],[Capacité (BTU)]]/1000))*Tableau4[[#This Row],[Nombres appareils installés]]</f>
        <v>5840</v>
      </c>
      <c r="AD85" s="188">
        <f>Tableau4[[#This Row],[AF 4 ($)]]/Tableau4[[#This Row],[Nombres appareils installés]]</f>
        <v>2920</v>
      </c>
      <c r="AE85" s="194">
        <f>Tableau4[[#This Row],[Couverture 4 (%)]]*Tableau4[[#This Row],[Nombres appareils installés]]</f>
        <v>1.1949093587592585</v>
      </c>
      <c r="AF85" s="193">
        <f>Tableau4[[#This Row],[AF 4 par appareil  ($)]]/Tableau4[[#This Row],[Surcoût par appareil ($)]]</f>
        <v>0.59745467937962926</v>
      </c>
    </row>
    <row r="86" spans="2:32" x14ac:dyDescent="0.3">
      <c r="B86" s="195" t="s">
        <v>141</v>
      </c>
      <c r="C86" s="188" t="s">
        <v>167</v>
      </c>
      <c r="D86" s="188">
        <v>2</v>
      </c>
      <c r="E86" s="188">
        <v>180000</v>
      </c>
      <c r="F86" s="196">
        <f>Tableau4[[#This Row],[Economies totales (m3)]]/Tableau4[[#This Row],[Nombres appareils installés]]</f>
        <v>909</v>
      </c>
      <c r="G86" s="190">
        <v>1818</v>
      </c>
      <c r="H86" s="188">
        <f t="shared" si="2"/>
        <v>2487.4</v>
      </c>
      <c r="I86" s="188">
        <v>2400</v>
      </c>
      <c r="J86" s="188">
        <f>Tableau4[[#This Row],[Surcoût moyens de l''équipement ($)]]+Tableau4[[#This Row],[Surcoût moyen de l''installation ($)]]</f>
        <v>4887.3999999999996</v>
      </c>
      <c r="K86" s="188">
        <f>Tableau4[[#This Row],[Surcoût par appareil ($)]]*Tableau4[[#This Row],[Nombres appareils installés]]</f>
        <v>9774.7999999999993</v>
      </c>
      <c r="L86" s="190">
        <v>3400</v>
      </c>
      <c r="M86" s="188">
        <f t="shared" si="3"/>
        <v>3600</v>
      </c>
      <c r="N86" s="188">
        <f>Tableau4[[#This Row],[AF 0 ($)]]/Tableau4[[#This Row],[Nombres appareils installés]]</f>
        <v>1800</v>
      </c>
      <c r="O86" s="191">
        <f>(Tableau4[[#This Row],[AF accordée ($)]])/($J$6*D86)</f>
        <v>0.42463905680171854</v>
      </c>
      <c r="P86" s="191">
        <f>Tableau4[[#This Row],[Couverture 0 (%)]]*Tableau4[[#This Row],[Nombres appareils installés]]</f>
        <v>0.84927811360343708</v>
      </c>
      <c r="Q86" s="188">
        <f>($Q$4+$R$4*(Tableau4[[#This Row],[Capacité (BTU)]]/1000))*Tableau4[[#This Row],[Nombres appareils installés]]</f>
        <v>5800</v>
      </c>
      <c r="R86" s="188">
        <f>Tableau4[[#This Row],[AF 1 ($)]]/Tableau4[[#This Row],[Nombres appareils installés]]</f>
        <v>2900</v>
      </c>
      <c r="S86" s="191">
        <f>Tableau4[[#This Row],[AF 1 ($)]]/(J86*D86)</f>
        <v>0.59336252404141265</v>
      </c>
      <c r="T86" s="191">
        <f>Tableau4[[#This Row],[Couverture 1 (%)]]*Tableau4[[#This Row],[Nombres appareils installés]]</f>
        <v>1.1867250480828253</v>
      </c>
      <c r="U86" s="188">
        <f>($U$4+($V$4*(Tableau4[[#This Row],[Capacité (BTU)]]/1000)))*Tableau4[[#This Row],[Nombres appareils installés]]</f>
        <v>6700</v>
      </c>
      <c r="V86" s="188">
        <f>Tableau4[[#This Row],[AF 2 ($)]]/Tableau4[[#This Row],[Nombres appareils installés]]</f>
        <v>3350</v>
      </c>
      <c r="W86" s="192">
        <f>Tableau4[[#This Row],[AF 2 par appareil ($)]]/Tableau4[[#This Row],[Surcoût par appareil ($)]]</f>
        <v>0.68543601915128705</v>
      </c>
      <c r="X86" s="192">
        <f>Tableau4[[#This Row],[Couverture 2 (%)]]*Tableau4[[#This Row],[Nombres appareils installés]]</f>
        <v>1.3708720383025741</v>
      </c>
      <c r="Y86" s="188">
        <f>($Y$4+$Z$4*(Tableau4[[#This Row],[Capacité (BTU)]]/1000))*Tableau4[[#This Row],[Nombres appareils installés]]</f>
        <v>6800</v>
      </c>
      <c r="Z86" s="188">
        <f>Tableau4[[#This Row],[AF 3 ($)]]/Tableau4[[#This Row],[Nombres appareils installés]]</f>
        <v>3400</v>
      </c>
      <c r="AA86" s="193">
        <f>Tableau4[[#This Row],[AF 3 par appareil ($)]]/Tableau4[[#This Row],[Surcoût par appareil ($)]]</f>
        <v>0.69566640749682862</v>
      </c>
      <c r="AB86" s="193">
        <f>Tableau4[[#This Row],[Couverture 3 (%)]]*Tableau4[[#This Row],[Nombres appareils installés]]</f>
        <v>1.3913328149936572</v>
      </c>
      <c r="AC86" s="188">
        <f>($AC$4+$AD$4*(Tableau4[[#This Row],[Capacité (BTU)]]/1000))*Tableau4[[#This Row],[Nombres appareils installés]]</f>
        <v>5840</v>
      </c>
      <c r="AD86" s="188">
        <f>Tableau4[[#This Row],[AF 4 ($)]]/Tableau4[[#This Row],[Nombres appareils installés]]</f>
        <v>2920</v>
      </c>
      <c r="AE86" s="194">
        <f>Tableau4[[#This Row],[Couverture 4 (%)]]*Tableau4[[#This Row],[Nombres appareils installés]]</f>
        <v>1.1949093587592585</v>
      </c>
      <c r="AF86" s="193">
        <f>Tableau4[[#This Row],[AF 4 par appareil  ($)]]/Tableau4[[#This Row],[Surcoût par appareil ($)]]</f>
        <v>0.59745467937962926</v>
      </c>
    </row>
    <row r="87" spans="2:32" x14ac:dyDescent="0.3">
      <c r="B87" s="195" t="s">
        <v>141</v>
      </c>
      <c r="C87" s="188" t="s">
        <v>168</v>
      </c>
      <c r="D87" s="188">
        <v>2</v>
      </c>
      <c r="E87" s="188">
        <v>180000</v>
      </c>
      <c r="F87" s="196">
        <f>Tableau4[[#This Row],[Economies totales (m3)]]/Tableau4[[#This Row],[Nombres appareils installés]]</f>
        <v>909</v>
      </c>
      <c r="G87" s="190">
        <v>1818</v>
      </c>
      <c r="H87" s="188">
        <f t="shared" si="2"/>
        <v>2487.4</v>
      </c>
      <c r="I87" s="188">
        <v>2400</v>
      </c>
      <c r="J87" s="188">
        <f>Tableau4[[#This Row],[Surcoût moyens de l''équipement ($)]]+Tableau4[[#This Row],[Surcoût moyen de l''installation ($)]]</f>
        <v>4887.3999999999996</v>
      </c>
      <c r="K87" s="188">
        <f>Tableau4[[#This Row],[Surcoût par appareil ($)]]*Tableau4[[#This Row],[Nombres appareils installés]]</f>
        <v>9774.7999999999993</v>
      </c>
      <c r="L87" s="190">
        <v>3400</v>
      </c>
      <c r="M87" s="188">
        <f t="shared" si="3"/>
        <v>3600</v>
      </c>
      <c r="N87" s="188">
        <f>Tableau4[[#This Row],[AF 0 ($)]]/Tableau4[[#This Row],[Nombres appareils installés]]</f>
        <v>1800</v>
      </c>
      <c r="O87" s="191">
        <f>(Tableau4[[#This Row],[AF accordée ($)]])/($J$6*D87)</f>
        <v>0.42463905680171854</v>
      </c>
      <c r="P87" s="191">
        <f>Tableau4[[#This Row],[Couverture 0 (%)]]*Tableau4[[#This Row],[Nombres appareils installés]]</f>
        <v>0.84927811360343708</v>
      </c>
      <c r="Q87" s="188">
        <f>($Q$4+$R$4*(Tableau4[[#This Row],[Capacité (BTU)]]/1000))*Tableau4[[#This Row],[Nombres appareils installés]]</f>
        <v>5800</v>
      </c>
      <c r="R87" s="188">
        <f>Tableau4[[#This Row],[AF 1 ($)]]/Tableau4[[#This Row],[Nombres appareils installés]]</f>
        <v>2900</v>
      </c>
      <c r="S87" s="191">
        <f>Tableau4[[#This Row],[AF 1 ($)]]/(J87*D87)</f>
        <v>0.59336252404141265</v>
      </c>
      <c r="T87" s="191">
        <f>Tableau4[[#This Row],[Couverture 1 (%)]]*Tableau4[[#This Row],[Nombres appareils installés]]</f>
        <v>1.1867250480828253</v>
      </c>
      <c r="U87" s="188">
        <f>($U$4+($V$4*(Tableau4[[#This Row],[Capacité (BTU)]]/1000)))*Tableau4[[#This Row],[Nombres appareils installés]]</f>
        <v>6700</v>
      </c>
      <c r="V87" s="188">
        <f>Tableau4[[#This Row],[AF 2 ($)]]/Tableau4[[#This Row],[Nombres appareils installés]]</f>
        <v>3350</v>
      </c>
      <c r="W87" s="192">
        <f>Tableau4[[#This Row],[AF 2 par appareil ($)]]/Tableau4[[#This Row],[Surcoût par appareil ($)]]</f>
        <v>0.68543601915128705</v>
      </c>
      <c r="X87" s="192">
        <f>Tableau4[[#This Row],[Couverture 2 (%)]]*Tableau4[[#This Row],[Nombres appareils installés]]</f>
        <v>1.3708720383025741</v>
      </c>
      <c r="Y87" s="188">
        <f>($Y$4+$Z$4*(Tableau4[[#This Row],[Capacité (BTU)]]/1000))*Tableau4[[#This Row],[Nombres appareils installés]]</f>
        <v>6800</v>
      </c>
      <c r="Z87" s="188">
        <f>Tableau4[[#This Row],[AF 3 ($)]]/Tableau4[[#This Row],[Nombres appareils installés]]</f>
        <v>3400</v>
      </c>
      <c r="AA87" s="193">
        <f>Tableau4[[#This Row],[AF 3 par appareil ($)]]/Tableau4[[#This Row],[Surcoût par appareil ($)]]</f>
        <v>0.69566640749682862</v>
      </c>
      <c r="AB87" s="193">
        <f>Tableau4[[#This Row],[Couverture 3 (%)]]*Tableau4[[#This Row],[Nombres appareils installés]]</f>
        <v>1.3913328149936572</v>
      </c>
      <c r="AC87" s="188">
        <f>($AC$4+$AD$4*(Tableau4[[#This Row],[Capacité (BTU)]]/1000))*Tableau4[[#This Row],[Nombres appareils installés]]</f>
        <v>5840</v>
      </c>
      <c r="AD87" s="188">
        <f>Tableau4[[#This Row],[AF 4 ($)]]/Tableau4[[#This Row],[Nombres appareils installés]]</f>
        <v>2920</v>
      </c>
      <c r="AE87" s="194">
        <f>Tableau4[[#This Row],[Couverture 4 (%)]]*Tableau4[[#This Row],[Nombres appareils installés]]</f>
        <v>1.1949093587592585</v>
      </c>
      <c r="AF87" s="193">
        <f>Tableau4[[#This Row],[AF 4 par appareil  ($)]]/Tableau4[[#This Row],[Surcoût par appareil ($)]]</f>
        <v>0.59745467937962926</v>
      </c>
    </row>
    <row r="88" spans="2:32" x14ac:dyDescent="0.3">
      <c r="B88" s="195" t="s">
        <v>141</v>
      </c>
      <c r="C88" s="188" t="s">
        <v>154</v>
      </c>
      <c r="D88" s="188">
        <v>2</v>
      </c>
      <c r="E88" s="188">
        <v>180000</v>
      </c>
      <c r="F88" s="196">
        <f>Tableau4[[#This Row],[Economies totales (m3)]]/Tableau4[[#This Row],[Nombres appareils installés]]</f>
        <v>909</v>
      </c>
      <c r="G88" s="190">
        <v>1818</v>
      </c>
      <c r="H88" s="188">
        <f t="shared" si="2"/>
        <v>2487.4</v>
      </c>
      <c r="I88" s="188">
        <v>2400</v>
      </c>
      <c r="J88" s="188">
        <f>Tableau4[[#This Row],[Surcoût moyens de l''équipement ($)]]+Tableau4[[#This Row],[Surcoût moyen de l''installation ($)]]</f>
        <v>4887.3999999999996</v>
      </c>
      <c r="K88" s="188">
        <f>Tableau4[[#This Row],[Surcoût par appareil ($)]]*Tableau4[[#This Row],[Nombres appareils installés]]</f>
        <v>9774.7999999999993</v>
      </c>
      <c r="L88" s="190">
        <v>3400</v>
      </c>
      <c r="M88" s="188">
        <f t="shared" si="3"/>
        <v>3600</v>
      </c>
      <c r="N88" s="188">
        <f>Tableau4[[#This Row],[AF 0 ($)]]/Tableau4[[#This Row],[Nombres appareils installés]]</f>
        <v>1800</v>
      </c>
      <c r="O88" s="191">
        <f>(Tableau4[[#This Row],[AF accordée ($)]])/($J$6*D88)</f>
        <v>0.42463905680171854</v>
      </c>
      <c r="P88" s="191">
        <f>Tableau4[[#This Row],[Couverture 0 (%)]]*Tableau4[[#This Row],[Nombres appareils installés]]</f>
        <v>0.84927811360343708</v>
      </c>
      <c r="Q88" s="188">
        <f>($Q$4+$R$4*(Tableau4[[#This Row],[Capacité (BTU)]]/1000))*Tableau4[[#This Row],[Nombres appareils installés]]</f>
        <v>5800</v>
      </c>
      <c r="R88" s="188">
        <f>Tableau4[[#This Row],[AF 1 ($)]]/Tableau4[[#This Row],[Nombres appareils installés]]</f>
        <v>2900</v>
      </c>
      <c r="S88" s="191">
        <f>Tableau4[[#This Row],[AF 1 ($)]]/(J88*D88)</f>
        <v>0.59336252404141265</v>
      </c>
      <c r="T88" s="191">
        <f>Tableau4[[#This Row],[Couverture 1 (%)]]*Tableau4[[#This Row],[Nombres appareils installés]]</f>
        <v>1.1867250480828253</v>
      </c>
      <c r="U88" s="188">
        <f>($U$4+($V$4*(Tableau4[[#This Row],[Capacité (BTU)]]/1000)))*Tableau4[[#This Row],[Nombres appareils installés]]</f>
        <v>6700</v>
      </c>
      <c r="V88" s="188">
        <f>Tableau4[[#This Row],[AF 2 ($)]]/Tableau4[[#This Row],[Nombres appareils installés]]</f>
        <v>3350</v>
      </c>
      <c r="W88" s="192">
        <f>Tableau4[[#This Row],[AF 2 par appareil ($)]]/Tableau4[[#This Row],[Surcoût par appareil ($)]]</f>
        <v>0.68543601915128705</v>
      </c>
      <c r="X88" s="192">
        <f>Tableau4[[#This Row],[Couverture 2 (%)]]*Tableau4[[#This Row],[Nombres appareils installés]]</f>
        <v>1.3708720383025741</v>
      </c>
      <c r="Y88" s="188">
        <f>($Y$4+$Z$4*(Tableau4[[#This Row],[Capacité (BTU)]]/1000))*Tableau4[[#This Row],[Nombres appareils installés]]</f>
        <v>6800</v>
      </c>
      <c r="Z88" s="188">
        <f>Tableau4[[#This Row],[AF 3 ($)]]/Tableau4[[#This Row],[Nombres appareils installés]]</f>
        <v>3400</v>
      </c>
      <c r="AA88" s="193">
        <f>Tableau4[[#This Row],[AF 3 par appareil ($)]]/Tableau4[[#This Row],[Surcoût par appareil ($)]]</f>
        <v>0.69566640749682862</v>
      </c>
      <c r="AB88" s="193">
        <f>Tableau4[[#This Row],[Couverture 3 (%)]]*Tableau4[[#This Row],[Nombres appareils installés]]</f>
        <v>1.3913328149936572</v>
      </c>
      <c r="AC88" s="188">
        <f>($AC$4+$AD$4*(Tableau4[[#This Row],[Capacité (BTU)]]/1000))*Tableau4[[#This Row],[Nombres appareils installés]]</f>
        <v>5840</v>
      </c>
      <c r="AD88" s="188">
        <f>Tableau4[[#This Row],[AF 4 ($)]]/Tableau4[[#This Row],[Nombres appareils installés]]</f>
        <v>2920</v>
      </c>
      <c r="AE88" s="194">
        <f>Tableau4[[#This Row],[Couverture 4 (%)]]*Tableau4[[#This Row],[Nombres appareils installés]]</f>
        <v>1.1949093587592585</v>
      </c>
      <c r="AF88" s="193">
        <f>Tableau4[[#This Row],[AF 4 par appareil  ($)]]/Tableau4[[#This Row],[Surcoût par appareil ($)]]</f>
        <v>0.59745467937962926</v>
      </c>
    </row>
    <row r="89" spans="2:32" x14ac:dyDescent="0.3">
      <c r="B89" s="195" t="s">
        <v>141</v>
      </c>
      <c r="C89" s="188" t="s">
        <v>156</v>
      </c>
      <c r="D89" s="188">
        <v>2</v>
      </c>
      <c r="E89" s="188">
        <v>180000</v>
      </c>
      <c r="F89" s="196">
        <f>Tableau4[[#This Row],[Economies totales (m3)]]/Tableau4[[#This Row],[Nombres appareils installés]]</f>
        <v>909</v>
      </c>
      <c r="G89" s="190">
        <v>1818</v>
      </c>
      <c r="H89" s="188">
        <f t="shared" si="2"/>
        <v>2487.4</v>
      </c>
      <c r="I89" s="188">
        <v>2400</v>
      </c>
      <c r="J89" s="188">
        <f>Tableau4[[#This Row],[Surcoût moyens de l''équipement ($)]]+Tableau4[[#This Row],[Surcoût moyen de l''installation ($)]]</f>
        <v>4887.3999999999996</v>
      </c>
      <c r="K89" s="188">
        <f>Tableau4[[#This Row],[Surcoût par appareil ($)]]*Tableau4[[#This Row],[Nombres appareils installés]]</f>
        <v>9774.7999999999993</v>
      </c>
      <c r="L89" s="190">
        <v>3400</v>
      </c>
      <c r="M89" s="188">
        <f t="shared" si="3"/>
        <v>3600</v>
      </c>
      <c r="N89" s="188">
        <f>Tableau4[[#This Row],[AF 0 ($)]]/Tableau4[[#This Row],[Nombres appareils installés]]</f>
        <v>1800</v>
      </c>
      <c r="O89" s="191">
        <f>(Tableau4[[#This Row],[AF accordée ($)]])/($J$6*D89)</f>
        <v>0.42463905680171854</v>
      </c>
      <c r="P89" s="191">
        <f>Tableau4[[#This Row],[Couverture 0 (%)]]*Tableau4[[#This Row],[Nombres appareils installés]]</f>
        <v>0.84927811360343708</v>
      </c>
      <c r="Q89" s="188">
        <f>($Q$4+$R$4*(Tableau4[[#This Row],[Capacité (BTU)]]/1000))*Tableau4[[#This Row],[Nombres appareils installés]]</f>
        <v>5800</v>
      </c>
      <c r="R89" s="188">
        <f>Tableau4[[#This Row],[AF 1 ($)]]/Tableau4[[#This Row],[Nombres appareils installés]]</f>
        <v>2900</v>
      </c>
      <c r="S89" s="191">
        <f>Tableau4[[#This Row],[AF 1 ($)]]/(J89*D89)</f>
        <v>0.59336252404141265</v>
      </c>
      <c r="T89" s="191">
        <f>Tableau4[[#This Row],[Couverture 1 (%)]]*Tableau4[[#This Row],[Nombres appareils installés]]</f>
        <v>1.1867250480828253</v>
      </c>
      <c r="U89" s="188">
        <f>($U$4+($V$4*(Tableau4[[#This Row],[Capacité (BTU)]]/1000)))*Tableau4[[#This Row],[Nombres appareils installés]]</f>
        <v>6700</v>
      </c>
      <c r="V89" s="188">
        <f>Tableau4[[#This Row],[AF 2 ($)]]/Tableau4[[#This Row],[Nombres appareils installés]]</f>
        <v>3350</v>
      </c>
      <c r="W89" s="192">
        <f>Tableau4[[#This Row],[AF 2 par appareil ($)]]/Tableau4[[#This Row],[Surcoût par appareil ($)]]</f>
        <v>0.68543601915128705</v>
      </c>
      <c r="X89" s="192">
        <f>Tableau4[[#This Row],[Couverture 2 (%)]]*Tableau4[[#This Row],[Nombres appareils installés]]</f>
        <v>1.3708720383025741</v>
      </c>
      <c r="Y89" s="188">
        <f>($Y$4+$Z$4*(Tableau4[[#This Row],[Capacité (BTU)]]/1000))*Tableau4[[#This Row],[Nombres appareils installés]]</f>
        <v>6800</v>
      </c>
      <c r="Z89" s="188">
        <f>Tableau4[[#This Row],[AF 3 ($)]]/Tableau4[[#This Row],[Nombres appareils installés]]</f>
        <v>3400</v>
      </c>
      <c r="AA89" s="193">
        <f>Tableau4[[#This Row],[AF 3 par appareil ($)]]/Tableau4[[#This Row],[Surcoût par appareil ($)]]</f>
        <v>0.69566640749682862</v>
      </c>
      <c r="AB89" s="193">
        <f>Tableau4[[#This Row],[Couverture 3 (%)]]*Tableau4[[#This Row],[Nombres appareils installés]]</f>
        <v>1.3913328149936572</v>
      </c>
      <c r="AC89" s="188">
        <f>($AC$4+$AD$4*(Tableau4[[#This Row],[Capacité (BTU)]]/1000))*Tableau4[[#This Row],[Nombres appareils installés]]</f>
        <v>5840</v>
      </c>
      <c r="AD89" s="188">
        <f>Tableau4[[#This Row],[AF 4 ($)]]/Tableau4[[#This Row],[Nombres appareils installés]]</f>
        <v>2920</v>
      </c>
      <c r="AE89" s="194">
        <f>Tableau4[[#This Row],[Couverture 4 (%)]]*Tableau4[[#This Row],[Nombres appareils installés]]</f>
        <v>1.1949093587592585</v>
      </c>
      <c r="AF89" s="193">
        <f>Tableau4[[#This Row],[AF 4 par appareil  ($)]]/Tableau4[[#This Row],[Surcoût par appareil ($)]]</f>
        <v>0.59745467937962926</v>
      </c>
    </row>
    <row r="90" spans="2:32" x14ac:dyDescent="0.3">
      <c r="B90" s="195" t="s">
        <v>141</v>
      </c>
      <c r="C90" s="188" t="s">
        <v>169</v>
      </c>
      <c r="D90" s="188">
        <v>2</v>
      </c>
      <c r="E90" s="188">
        <v>180000</v>
      </c>
      <c r="F90" s="196">
        <f>Tableau4[[#This Row],[Economies totales (m3)]]/Tableau4[[#This Row],[Nombres appareils installés]]</f>
        <v>909</v>
      </c>
      <c r="G90" s="190">
        <v>1818</v>
      </c>
      <c r="H90" s="188">
        <f t="shared" si="2"/>
        <v>2487.4</v>
      </c>
      <c r="I90" s="188">
        <v>2400</v>
      </c>
      <c r="J90" s="188">
        <f>Tableau4[[#This Row],[Surcoût moyens de l''équipement ($)]]+Tableau4[[#This Row],[Surcoût moyen de l''installation ($)]]</f>
        <v>4887.3999999999996</v>
      </c>
      <c r="K90" s="188">
        <f>Tableau4[[#This Row],[Surcoût par appareil ($)]]*Tableau4[[#This Row],[Nombres appareils installés]]</f>
        <v>9774.7999999999993</v>
      </c>
      <c r="L90" s="190">
        <v>3400</v>
      </c>
      <c r="M90" s="188">
        <f t="shared" si="3"/>
        <v>3600</v>
      </c>
      <c r="N90" s="188">
        <f>Tableau4[[#This Row],[AF 0 ($)]]/Tableau4[[#This Row],[Nombres appareils installés]]</f>
        <v>1800</v>
      </c>
      <c r="O90" s="191">
        <f>(Tableau4[[#This Row],[AF accordée ($)]])/($J$6*D90)</f>
        <v>0.42463905680171854</v>
      </c>
      <c r="P90" s="191">
        <f>Tableau4[[#This Row],[Couverture 0 (%)]]*Tableau4[[#This Row],[Nombres appareils installés]]</f>
        <v>0.84927811360343708</v>
      </c>
      <c r="Q90" s="188">
        <f>($Q$4+$R$4*(Tableau4[[#This Row],[Capacité (BTU)]]/1000))*Tableau4[[#This Row],[Nombres appareils installés]]</f>
        <v>5800</v>
      </c>
      <c r="R90" s="188">
        <f>Tableau4[[#This Row],[AF 1 ($)]]/Tableau4[[#This Row],[Nombres appareils installés]]</f>
        <v>2900</v>
      </c>
      <c r="S90" s="191">
        <f>Tableau4[[#This Row],[AF 1 ($)]]/(J90*D90)</f>
        <v>0.59336252404141265</v>
      </c>
      <c r="T90" s="191">
        <f>Tableau4[[#This Row],[Couverture 1 (%)]]*Tableau4[[#This Row],[Nombres appareils installés]]</f>
        <v>1.1867250480828253</v>
      </c>
      <c r="U90" s="188">
        <f>($U$4+($V$4*(Tableau4[[#This Row],[Capacité (BTU)]]/1000)))*Tableau4[[#This Row],[Nombres appareils installés]]</f>
        <v>6700</v>
      </c>
      <c r="V90" s="188">
        <f>Tableau4[[#This Row],[AF 2 ($)]]/Tableau4[[#This Row],[Nombres appareils installés]]</f>
        <v>3350</v>
      </c>
      <c r="W90" s="192">
        <f>Tableau4[[#This Row],[AF 2 par appareil ($)]]/Tableau4[[#This Row],[Surcoût par appareil ($)]]</f>
        <v>0.68543601915128705</v>
      </c>
      <c r="X90" s="192">
        <f>Tableau4[[#This Row],[Couverture 2 (%)]]*Tableau4[[#This Row],[Nombres appareils installés]]</f>
        <v>1.3708720383025741</v>
      </c>
      <c r="Y90" s="188">
        <f>($Y$4+$Z$4*(Tableau4[[#This Row],[Capacité (BTU)]]/1000))*Tableau4[[#This Row],[Nombres appareils installés]]</f>
        <v>6800</v>
      </c>
      <c r="Z90" s="188">
        <f>Tableau4[[#This Row],[AF 3 ($)]]/Tableau4[[#This Row],[Nombres appareils installés]]</f>
        <v>3400</v>
      </c>
      <c r="AA90" s="193">
        <f>Tableau4[[#This Row],[AF 3 par appareil ($)]]/Tableau4[[#This Row],[Surcoût par appareil ($)]]</f>
        <v>0.69566640749682862</v>
      </c>
      <c r="AB90" s="193">
        <f>Tableau4[[#This Row],[Couverture 3 (%)]]*Tableau4[[#This Row],[Nombres appareils installés]]</f>
        <v>1.3913328149936572</v>
      </c>
      <c r="AC90" s="188">
        <f>($AC$4+$AD$4*(Tableau4[[#This Row],[Capacité (BTU)]]/1000))*Tableau4[[#This Row],[Nombres appareils installés]]</f>
        <v>5840</v>
      </c>
      <c r="AD90" s="188">
        <f>Tableau4[[#This Row],[AF 4 ($)]]/Tableau4[[#This Row],[Nombres appareils installés]]</f>
        <v>2920</v>
      </c>
      <c r="AE90" s="194">
        <f>Tableau4[[#This Row],[Couverture 4 (%)]]*Tableau4[[#This Row],[Nombres appareils installés]]</f>
        <v>1.1949093587592585</v>
      </c>
      <c r="AF90" s="193">
        <f>Tableau4[[#This Row],[AF 4 par appareil  ($)]]/Tableau4[[#This Row],[Surcoût par appareil ($)]]</f>
        <v>0.59745467937962926</v>
      </c>
    </row>
    <row r="91" spans="2:32" x14ac:dyDescent="0.3">
      <c r="B91" s="195" t="s">
        <v>141</v>
      </c>
      <c r="C91" s="188" t="s">
        <v>170</v>
      </c>
      <c r="D91" s="188">
        <v>6</v>
      </c>
      <c r="E91" s="188">
        <v>180000</v>
      </c>
      <c r="F91" s="196">
        <f>Tableau4[[#This Row],[Economies totales (m3)]]/Tableau4[[#This Row],[Nombres appareils installés]]</f>
        <v>909</v>
      </c>
      <c r="G91" s="190">
        <v>5454</v>
      </c>
      <c r="H91" s="188">
        <f t="shared" si="2"/>
        <v>2487.4</v>
      </c>
      <c r="I91" s="188">
        <v>2400</v>
      </c>
      <c r="J91" s="188">
        <f>Tableau4[[#This Row],[Surcoût moyens de l''équipement ($)]]+Tableau4[[#This Row],[Surcoût moyen de l''installation ($)]]</f>
        <v>4887.3999999999996</v>
      </c>
      <c r="K91" s="188">
        <f>Tableau4[[#This Row],[Surcoût par appareil ($)]]*Tableau4[[#This Row],[Nombres appareils installés]]</f>
        <v>29324.399999999998</v>
      </c>
      <c r="L91" s="190">
        <v>10200</v>
      </c>
      <c r="M91" s="188">
        <f t="shared" si="3"/>
        <v>10800</v>
      </c>
      <c r="N91" s="188">
        <f>Tableau4[[#This Row],[AF 0 ($)]]/Tableau4[[#This Row],[Nombres appareils installés]]</f>
        <v>1800</v>
      </c>
      <c r="O91" s="191">
        <f>(Tableau4[[#This Row],[AF accordée ($)]])/($J$6*D91)</f>
        <v>0.42463905680171854</v>
      </c>
      <c r="P91" s="191">
        <f>Tableau4[[#This Row],[Couverture 0 (%)]]*Tableau4[[#This Row],[Nombres appareils installés]]</f>
        <v>2.5478343408103115</v>
      </c>
      <c r="Q91" s="188">
        <f>($Q$4+$R$4*(Tableau4[[#This Row],[Capacité (BTU)]]/1000))*Tableau4[[#This Row],[Nombres appareils installés]]</f>
        <v>17400</v>
      </c>
      <c r="R91" s="188">
        <f>Tableau4[[#This Row],[AF 1 ($)]]/Tableau4[[#This Row],[Nombres appareils installés]]</f>
        <v>2900</v>
      </c>
      <c r="S91" s="191">
        <f>Tableau4[[#This Row],[AF 1 ($)]]/(J91*D91)</f>
        <v>0.59336252404141265</v>
      </c>
      <c r="T91" s="191">
        <f>Tableau4[[#This Row],[Couverture 1 (%)]]*Tableau4[[#This Row],[Nombres appareils installés]]</f>
        <v>3.5601751442484759</v>
      </c>
      <c r="U91" s="188">
        <f>($U$4+$V$4*(Tableau4[[#This Row],[Capacité (BTU)]]/1000))*Tableau4[[#This Row],[Nombres appareils installés]]</f>
        <v>20100</v>
      </c>
      <c r="V91" s="188">
        <f>Tableau4[[#This Row],[AF 2 ($)]]/Tableau4[[#This Row],[Nombres appareils installés]]</f>
        <v>3350</v>
      </c>
      <c r="W91" s="191">
        <f>Tableau4[[#This Row],[AF 2 par appareil ($)]]/Tableau4[[#This Row],[Surcoût par appareil ($)]]</f>
        <v>0.68543601915128705</v>
      </c>
      <c r="X91" s="191">
        <f>Tableau4[[#This Row],[Couverture 2 (%)]]*Tableau4[[#This Row],[Nombres appareils installés]]</f>
        <v>4.1126161149077225</v>
      </c>
      <c r="Y91" s="188">
        <f>($Y$4+$Z$4*(Tableau4[[#This Row],[Capacité (BTU)]]/1000))*Tableau4[[#This Row],[Nombres appareils installés]]</f>
        <v>20400</v>
      </c>
      <c r="Z91" s="188">
        <f>Tableau4[[#This Row],[AF 3 ($)]]/Tableau4[[#This Row],[Nombres appareils installés]]</f>
        <v>3400</v>
      </c>
      <c r="AA91" s="193">
        <f>Tableau4[[#This Row],[AF 3 par appareil ($)]]/Tableau4[[#This Row],[Surcoût par appareil ($)]]</f>
        <v>0.69566640749682862</v>
      </c>
      <c r="AB91" s="193">
        <f>Tableau4[[#This Row],[Couverture 3 (%)]]*Tableau4[[#This Row],[Nombres appareils installés]]</f>
        <v>4.1739984449809722</v>
      </c>
      <c r="AC91" s="188">
        <f>($AC$4+$AD$4*(Tableau4[[#This Row],[Capacité (BTU)]]/1000))*Tableau4[[#This Row],[Nombres appareils installés]]</f>
        <v>17520</v>
      </c>
      <c r="AD91" s="188">
        <f>Tableau4[[#This Row],[AF 4 ($)]]/Tableau4[[#This Row],[Nombres appareils installés]]</f>
        <v>2920</v>
      </c>
      <c r="AE91" s="193">
        <f>Tableau4[[#This Row],[Couverture 4 (%)]]*Tableau4[[#This Row],[Nombres appareils installés]]</f>
        <v>3.5847280762777753</v>
      </c>
      <c r="AF91" s="193">
        <f>Tableau4[[#This Row],[AF 4 par appareil  ($)]]/Tableau4[[#This Row],[Surcoût par appareil ($)]]</f>
        <v>0.59745467937962926</v>
      </c>
    </row>
    <row r="92" spans="2:32" x14ac:dyDescent="0.3">
      <c r="B92" s="195" t="s">
        <v>141</v>
      </c>
      <c r="C92" s="188" t="s">
        <v>122</v>
      </c>
      <c r="D92" s="188">
        <v>1</v>
      </c>
      <c r="E92" s="188">
        <v>200000</v>
      </c>
      <c r="F92" s="196">
        <f>Tableau4[[#This Row],[Economies totales (m3)]]/Tableau4[[#This Row],[Nombres appareils installés]]</f>
        <v>1010</v>
      </c>
      <c r="G92" s="190">
        <v>1010</v>
      </c>
      <c r="H92" s="188">
        <f t="shared" si="2"/>
        <v>2713.4</v>
      </c>
      <c r="I92" s="188">
        <v>2400</v>
      </c>
      <c r="J92" s="188">
        <f>Tableau4[[#This Row],[Surcoût moyens de l''équipement ($)]]+Tableau4[[#This Row],[Surcoût moyen de l''installation ($)]]</f>
        <v>5113.3999999999996</v>
      </c>
      <c r="K92" s="188">
        <f>Tableau4[[#This Row],[Surcoût par appareil ($)]]*Tableau4[[#This Row],[Nombres appareils installés]]</f>
        <v>5113.3999999999996</v>
      </c>
      <c r="L92" s="190">
        <v>1700</v>
      </c>
      <c r="M92" s="188">
        <f t="shared" si="3"/>
        <v>1900</v>
      </c>
      <c r="N92" s="188">
        <f>Tableau4[[#This Row],[AF 0 ($)]]/Tableau4[[#This Row],[Nombres appareils installés]]</f>
        <v>1900</v>
      </c>
      <c r="O92" s="191">
        <f>(Tableau4[[#This Row],[AF accordée ($)]])/($J$6*D92)</f>
        <v>0.42463905680171854</v>
      </c>
      <c r="P92" s="191">
        <f>Tableau4[[#This Row],[Couverture 0 (%)]]*Tableau4[[#This Row],[Nombres appareils installés]]</f>
        <v>0.42463905680171854</v>
      </c>
      <c r="Q92" s="188">
        <f>($Q$4+$R$4*(Tableau4[[#This Row],[Capacité (BTU)]]/1000))*Tableau4[[#This Row],[Nombres appareils installés]]</f>
        <v>3000</v>
      </c>
      <c r="R92" s="188">
        <f>Tableau4[[#This Row],[AF 1 ($)]]/Tableau4[[#This Row],[Nombres appareils installés]]</f>
        <v>3000</v>
      </c>
      <c r="S92" s="191">
        <f>Tableau4[[#This Row],[AF 1 ($)]]/(J92*D92)</f>
        <v>0.58669378495717139</v>
      </c>
      <c r="T92" s="191">
        <f>Tableau4[[#This Row],[Couverture 1 (%)]]*Tableau4[[#This Row],[Nombres appareils installés]]</f>
        <v>0.58669378495717139</v>
      </c>
      <c r="U92" s="188">
        <f>($U$4+($V$4*(Tableau4[[#This Row],[Capacité (BTU)]]/1000)))*Tableau4[[#This Row],[Nombres appareils installés]]</f>
        <v>3500</v>
      </c>
      <c r="V92" s="188">
        <f>Tableau4[[#This Row],[AF 2 ($)]]/Tableau4[[#This Row],[Nombres appareils installés]]</f>
        <v>3500</v>
      </c>
      <c r="W92" s="192">
        <f>Tableau4[[#This Row],[AF 2 par appareil ($)]]/Tableau4[[#This Row],[Surcoût par appareil ($)]]</f>
        <v>0.68447608245003333</v>
      </c>
      <c r="X92" s="192">
        <f>Tableau4[[#This Row],[Couverture 2 (%)]]*Tableau4[[#This Row],[Nombres appareils installés]]</f>
        <v>0.68447608245003333</v>
      </c>
      <c r="Y92" s="188">
        <f>($Y$4+$Z$4*(Tableau4[[#This Row],[Capacité (BTU)]]/1000))*Tableau4[[#This Row],[Nombres appareils installés]]</f>
        <v>3500</v>
      </c>
      <c r="Z92" s="188">
        <f>Tableau4[[#This Row],[AF 3 ($)]]/Tableau4[[#This Row],[Nombres appareils installés]]</f>
        <v>3500</v>
      </c>
      <c r="AA92" s="193">
        <f>Tableau4[[#This Row],[AF 3 par appareil ($)]]/Tableau4[[#This Row],[Surcoût par appareil ($)]]</f>
        <v>0.68447608245003333</v>
      </c>
      <c r="AB92" s="193">
        <f>Tableau4[[#This Row],[Couverture 3 (%)]]*Tableau4[[#This Row],[Nombres appareils installés]]</f>
        <v>0.68447608245003333</v>
      </c>
      <c r="AC92" s="188">
        <f>($AC$4+$AD$4*(Tableau4[[#This Row],[Capacité (BTU)]]/1000))*Tableau4[[#This Row],[Nombres appareils installés]]</f>
        <v>3000</v>
      </c>
      <c r="AD92" s="188">
        <f>Tableau4[[#This Row],[AF 4 ($)]]/Tableau4[[#This Row],[Nombres appareils installés]]</f>
        <v>3000</v>
      </c>
      <c r="AE92" s="194">
        <f>Tableau4[[#This Row],[Couverture 4 (%)]]*Tableau4[[#This Row],[Nombres appareils installés]]</f>
        <v>0.58669378495717139</v>
      </c>
      <c r="AF92" s="193">
        <f>Tableau4[[#This Row],[AF 4 par appareil  ($)]]/Tableau4[[#This Row],[Surcoût par appareil ($)]]</f>
        <v>0.58669378495717139</v>
      </c>
    </row>
    <row r="93" spans="2:32" x14ac:dyDescent="0.3">
      <c r="B93" s="195" t="s">
        <v>141</v>
      </c>
      <c r="C93" s="188" t="s">
        <v>171</v>
      </c>
      <c r="D93" s="188">
        <v>2</v>
      </c>
      <c r="E93" s="188">
        <v>200000</v>
      </c>
      <c r="F93" s="196">
        <f>Tableau4[[#This Row],[Economies totales (m3)]]/Tableau4[[#This Row],[Nombres appareils installés]]</f>
        <v>1010</v>
      </c>
      <c r="G93" s="190">
        <v>2020</v>
      </c>
      <c r="H93" s="188">
        <f t="shared" si="2"/>
        <v>2713.4</v>
      </c>
      <c r="I93" s="188">
        <v>2400</v>
      </c>
      <c r="J93" s="188">
        <f>Tableau4[[#This Row],[Surcoût moyens de l''équipement ($)]]+Tableau4[[#This Row],[Surcoût moyen de l''installation ($)]]</f>
        <v>5113.3999999999996</v>
      </c>
      <c r="K93" s="188">
        <f>Tableau4[[#This Row],[Surcoût par appareil ($)]]*Tableau4[[#This Row],[Nombres appareils installés]]</f>
        <v>10226.799999999999</v>
      </c>
      <c r="L93" s="190">
        <v>3400</v>
      </c>
      <c r="M93" s="188">
        <f t="shared" si="3"/>
        <v>3800</v>
      </c>
      <c r="N93" s="188">
        <f>Tableau4[[#This Row],[AF 0 ($)]]/Tableau4[[#This Row],[Nombres appareils installés]]</f>
        <v>1900</v>
      </c>
      <c r="O93" s="191">
        <f>(Tableau4[[#This Row],[AF accordée ($)]])/($J$6*D93)</f>
        <v>0.42463905680171854</v>
      </c>
      <c r="P93" s="191">
        <f>Tableau4[[#This Row],[Couverture 0 (%)]]*Tableau4[[#This Row],[Nombres appareils installés]]</f>
        <v>0.84927811360343708</v>
      </c>
      <c r="Q93" s="188">
        <f>($Q$4+$R$4*(Tableau4[[#This Row],[Capacité (BTU)]]/1000))*Tableau4[[#This Row],[Nombres appareils installés]]</f>
        <v>6000</v>
      </c>
      <c r="R93" s="188">
        <f>Tableau4[[#This Row],[AF 1 ($)]]/Tableau4[[#This Row],[Nombres appareils installés]]</f>
        <v>3000</v>
      </c>
      <c r="S93" s="191">
        <f>Tableau4[[#This Row],[AF 1 ($)]]/(J93*D93)</f>
        <v>0.58669378495717139</v>
      </c>
      <c r="T93" s="191">
        <f>Tableau4[[#This Row],[Couverture 1 (%)]]*Tableau4[[#This Row],[Nombres appareils installés]]</f>
        <v>1.1733875699143428</v>
      </c>
      <c r="U93" s="188">
        <f>($U$4+($V$4*(Tableau4[[#This Row],[Capacité (BTU)]]/1000)))*Tableau4[[#This Row],[Nombres appareils installés]]</f>
        <v>7000</v>
      </c>
      <c r="V93" s="188">
        <f>Tableau4[[#This Row],[AF 2 ($)]]/Tableau4[[#This Row],[Nombres appareils installés]]</f>
        <v>3500</v>
      </c>
      <c r="W93" s="192">
        <f>Tableau4[[#This Row],[AF 2 par appareil ($)]]/Tableau4[[#This Row],[Surcoût par appareil ($)]]</f>
        <v>0.68447608245003333</v>
      </c>
      <c r="X93" s="192">
        <f>Tableau4[[#This Row],[Couverture 2 (%)]]*Tableau4[[#This Row],[Nombres appareils installés]]</f>
        <v>1.3689521649000667</v>
      </c>
      <c r="Y93" s="188">
        <f>($Y$4+$Z$4*(Tableau4[[#This Row],[Capacité (BTU)]]/1000))*Tableau4[[#This Row],[Nombres appareils installés]]</f>
        <v>7000</v>
      </c>
      <c r="Z93" s="188">
        <f>Tableau4[[#This Row],[AF 3 ($)]]/Tableau4[[#This Row],[Nombres appareils installés]]</f>
        <v>3500</v>
      </c>
      <c r="AA93" s="193">
        <f>Tableau4[[#This Row],[AF 3 par appareil ($)]]/Tableau4[[#This Row],[Surcoût par appareil ($)]]</f>
        <v>0.68447608245003333</v>
      </c>
      <c r="AB93" s="193">
        <f>Tableau4[[#This Row],[Couverture 3 (%)]]*Tableau4[[#This Row],[Nombres appareils installés]]</f>
        <v>1.3689521649000667</v>
      </c>
      <c r="AC93" s="188">
        <f>($AC$4+$AD$4*(Tableau4[[#This Row],[Capacité (BTU)]]/1000))*Tableau4[[#This Row],[Nombres appareils installés]]</f>
        <v>6000</v>
      </c>
      <c r="AD93" s="188">
        <f>Tableau4[[#This Row],[AF 4 ($)]]/Tableau4[[#This Row],[Nombres appareils installés]]</f>
        <v>3000</v>
      </c>
      <c r="AE93" s="194">
        <f>Tableau4[[#This Row],[Couverture 4 (%)]]*Tableau4[[#This Row],[Nombres appareils installés]]</f>
        <v>1.1733875699143428</v>
      </c>
      <c r="AF93" s="193">
        <f>Tableau4[[#This Row],[AF 4 par appareil  ($)]]/Tableau4[[#This Row],[Surcoût par appareil ($)]]</f>
        <v>0.58669378495717139</v>
      </c>
    </row>
    <row r="94" spans="2:32" x14ac:dyDescent="0.3">
      <c r="B94" s="195" t="s">
        <v>141</v>
      </c>
      <c r="C94" s="188" t="s">
        <v>172</v>
      </c>
      <c r="D94" s="188">
        <v>1</v>
      </c>
      <c r="E94" s="188">
        <v>215000</v>
      </c>
      <c r="F94" s="196">
        <f>Tableau4[[#This Row],[Economies totales (m3)]]/Tableau4[[#This Row],[Nombres appareils installés]]</f>
        <v>1085.75</v>
      </c>
      <c r="G94" s="190">
        <v>1085.75</v>
      </c>
      <c r="H94" s="188">
        <f t="shared" si="2"/>
        <v>2898.6499999999996</v>
      </c>
      <c r="I94" s="188">
        <v>2400</v>
      </c>
      <c r="J94" s="188">
        <f>Tableau4[[#This Row],[Surcoût moyens de l''équipement ($)]]+Tableau4[[#This Row],[Surcoût moyen de l''installation ($)]]</f>
        <v>5298.65</v>
      </c>
      <c r="K94" s="188">
        <f>Tableau4[[#This Row],[Surcoût par appareil ($)]]*Tableau4[[#This Row],[Nombres appareils installés]]</f>
        <v>5298.65</v>
      </c>
      <c r="L94" s="190">
        <v>1700</v>
      </c>
      <c r="M94" s="188">
        <f t="shared" si="3"/>
        <v>1975</v>
      </c>
      <c r="N94" s="188">
        <f>Tableau4[[#This Row],[AF 0 ($)]]/Tableau4[[#This Row],[Nombres appareils installés]]</f>
        <v>1975</v>
      </c>
      <c r="O94" s="191">
        <f>(Tableau4[[#This Row],[AF accordée ($)]])/($J$6*D94)</f>
        <v>0.42463905680171854</v>
      </c>
      <c r="P94" s="191">
        <f>Tableau4[[#This Row],[Couverture 0 (%)]]*Tableau4[[#This Row],[Nombres appareils installés]]</f>
        <v>0.42463905680171854</v>
      </c>
      <c r="Q94" s="188">
        <f>($Q$4+$R$4*(Tableau4[[#This Row],[Capacité (BTU)]]/1000))*Tableau4[[#This Row],[Nombres appareils installés]]</f>
        <v>3075</v>
      </c>
      <c r="R94" s="188">
        <f>Tableau4[[#This Row],[AF 1 ($)]]/Tableau4[[#This Row],[Nombres appareils installés]]</f>
        <v>3075</v>
      </c>
      <c r="S94" s="191">
        <f>Tableau4[[#This Row],[AF 1 ($)]]/(J94*D94)</f>
        <v>0.58033650080680932</v>
      </c>
      <c r="T94" s="191">
        <f>Tableau4[[#This Row],[Couverture 1 (%)]]*Tableau4[[#This Row],[Nombres appareils installés]]</f>
        <v>0.58033650080680932</v>
      </c>
      <c r="U94" s="188">
        <f>($U$4+($V$4*(Tableau4[[#This Row],[Capacité (BTU)]]/1000)))*Tableau4[[#This Row],[Nombres appareils installés]]</f>
        <v>3612.5</v>
      </c>
      <c r="V94" s="188">
        <f>Tableau4[[#This Row],[AF 2 ($)]]/Tableau4[[#This Row],[Nombres appareils installés]]</f>
        <v>3612.5</v>
      </c>
      <c r="W94" s="192">
        <f>Tableau4[[#This Row],[AF 2 par appareil ($)]]/Tableau4[[#This Row],[Surcoût par appareil ($)]]</f>
        <v>0.68177743387466627</v>
      </c>
      <c r="X94" s="192">
        <f>Tableau4[[#This Row],[Couverture 2 (%)]]*Tableau4[[#This Row],[Nombres appareils installés]]</f>
        <v>0.68177743387466627</v>
      </c>
      <c r="Y94" s="188">
        <f>($Y$4+$Z$4*(Tableau4[[#This Row],[Capacité (BTU)]]/1000))*Tableau4[[#This Row],[Nombres appareils installés]]</f>
        <v>3575</v>
      </c>
      <c r="Z94" s="188">
        <f>Tableau4[[#This Row],[AF 3 ($)]]/Tableau4[[#This Row],[Nombres appareils installés]]</f>
        <v>3575</v>
      </c>
      <c r="AA94" s="193">
        <f>Tableau4[[#This Row],[AF 3 par appareil ($)]]/Tableau4[[#This Row],[Surcoût par appareil ($)]]</f>
        <v>0.67470015947458317</v>
      </c>
      <c r="AB94" s="193">
        <f>Tableau4[[#This Row],[Couverture 3 (%)]]*Tableau4[[#This Row],[Nombres appareils installés]]</f>
        <v>0.67470015947458317</v>
      </c>
      <c r="AC94" s="188">
        <f>($AC$4+$AD$4*(Tableau4[[#This Row],[Capacité (BTU)]]/1000))*Tableau4[[#This Row],[Nombres appareils installés]]</f>
        <v>3060</v>
      </c>
      <c r="AD94" s="188">
        <f>Tableau4[[#This Row],[AF 4 ($)]]/Tableau4[[#This Row],[Nombres appareils installés]]</f>
        <v>3060</v>
      </c>
      <c r="AE94" s="194">
        <f>Tableau4[[#This Row],[Couverture 4 (%)]]*Tableau4[[#This Row],[Nombres appareils installés]]</f>
        <v>0.57750559104677612</v>
      </c>
      <c r="AF94" s="193">
        <f>Tableau4[[#This Row],[AF 4 par appareil  ($)]]/Tableau4[[#This Row],[Surcoût par appareil ($)]]</f>
        <v>0.57750559104677612</v>
      </c>
    </row>
    <row r="95" spans="2:32" x14ac:dyDescent="0.3">
      <c r="B95" s="195" t="s">
        <v>141</v>
      </c>
      <c r="C95" s="188" t="s">
        <v>173</v>
      </c>
      <c r="D95" s="188">
        <v>1</v>
      </c>
      <c r="E95" s="188">
        <v>215000</v>
      </c>
      <c r="F95" s="196">
        <f>Tableau4[[#This Row],[Economies totales (m3)]]/Tableau4[[#This Row],[Nombres appareils installés]]</f>
        <v>1085.75</v>
      </c>
      <c r="G95" s="190">
        <v>1085.75</v>
      </c>
      <c r="H95" s="188">
        <f t="shared" si="2"/>
        <v>2898.6499999999996</v>
      </c>
      <c r="I95" s="188">
        <v>2400</v>
      </c>
      <c r="J95" s="188">
        <f>Tableau4[[#This Row],[Surcoût moyens de l''équipement ($)]]+Tableau4[[#This Row],[Surcoût moyen de l''installation ($)]]</f>
        <v>5298.65</v>
      </c>
      <c r="K95" s="188">
        <f>Tableau4[[#This Row],[Surcoût par appareil ($)]]*Tableau4[[#This Row],[Nombres appareils installés]]</f>
        <v>5298.65</v>
      </c>
      <c r="L95" s="190">
        <v>1700</v>
      </c>
      <c r="M95" s="188">
        <f t="shared" si="3"/>
        <v>1975</v>
      </c>
      <c r="N95" s="188">
        <f>Tableau4[[#This Row],[AF 0 ($)]]/Tableau4[[#This Row],[Nombres appareils installés]]</f>
        <v>1975</v>
      </c>
      <c r="O95" s="191">
        <f>(Tableau4[[#This Row],[AF accordée ($)]])/($J$6*D95)</f>
        <v>0.42463905680171854</v>
      </c>
      <c r="P95" s="191">
        <f>Tableau4[[#This Row],[Couverture 0 (%)]]*Tableau4[[#This Row],[Nombres appareils installés]]</f>
        <v>0.42463905680171854</v>
      </c>
      <c r="Q95" s="188">
        <f>($Q$4+$R$4*(Tableau4[[#This Row],[Capacité (BTU)]]/1000))*Tableau4[[#This Row],[Nombres appareils installés]]</f>
        <v>3075</v>
      </c>
      <c r="R95" s="188">
        <f>Tableau4[[#This Row],[AF 1 ($)]]/Tableau4[[#This Row],[Nombres appareils installés]]</f>
        <v>3075</v>
      </c>
      <c r="S95" s="191">
        <f>Tableau4[[#This Row],[AF 1 ($)]]/(J95*D95)</f>
        <v>0.58033650080680932</v>
      </c>
      <c r="T95" s="191">
        <f>Tableau4[[#This Row],[Couverture 1 (%)]]*Tableau4[[#This Row],[Nombres appareils installés]]</f>
        <v>0.58033650080680932</v>
      </c>
      <c r="U95" s="188">
        <f>($U$4+($V$4*(Tableau4[[#This Row],[Capacité (BTU)]]/1000)))*Tableau4[[#This Row],[Nombres appareils installés]]</f>
        <v>3612.5</v>
      </c>
      <c r="V95" s="188">
        <f>Tableau4[[#This Row],[AF 2 ($)]]/Tableau4[[#This Row],[Nombres appareils installés]]</f>
        <v>3612.5</v>
      </c>
      <c r="W95" s="192">
        <f>Tableau4[[#This Row],[AF 2 par appareil ($)]]/Tableau4[[#This Row],[Surcoût par appareil ($)]]</f>
        <v>0.68177743387466627</v>
      </c>
      <c r="X95" s="192">
        <f>Tableau4[[#This Row],[Couverture 2 (%)]]*Tableau4[[#This Row],[Nombres appareils installés]]</f>
        <v>0.68177743387466627</v>
      </c>
      <c r="Y95" s="188">
        <f>($Y$4+$Z$4*(Tableau4[[#This Row],[Capacité (BTU)]]/1000))*Tableau4[[#This Row],[Nombres appareils installés]]</f>
        <v>3575</v>
      </c>
      <c r="Z95" s="188">
        <f>Tableau4[[#This Row],[AF 3 ($)]]/Tableau4[[#This Row],[Nombres appareils installés]]</f>
        <v>3575</v>
      </c>
      <c r="AA95" s="193">
        <f>Tableau4[[#This Row],[AF 3 par appareil ($)]]/Tableau4[[#This Row],[Surcoût par appareil ($)]]</f>
        <v>0.67470015947458317</v>
      </c>
      <c r="AB95" s="193">
        <f>Tableau4[[#This Row],[Couverture 3 (%)]]*Tableau4[[#This Row],[Nombres appareils installés]]</f>
        <v>0.67470015947458317</v>
      </c>
      <c r="AC95" s="188">
        <f>($AC$4+$AD$4*(Tableau4[[#This Row],[Capacité (BTU)]]/1000))*Tableau4[[#This Row],[Nombres appareils installés]]</f>
        <v>3060</v>
      </c>
      <c r="AD95" s="188">
        <f>Tableau4[[#This Row],[AF 4 ($)]]/Tableau4[[#This Row],[Nombres appareils installés]]</f>
        <v>3060</v>
      </c>
      <c r="AE95" s="194">
        <f>Tableau4[[#This Row],[Couverture 4 (%)]]*Tableau4[[#This Row],[Nombres appareils installés]]</f>
        <v>0.57750559104677612</v>
      </c>
      <c r="AF95" s="193">
        <f>Tableau4[[#This Row],[AF 4 par appareil  ($)]]/Tableau4[[#This Row],[Surcoût par appareil ($)]]</f>
        <v>0.57750559104677612</v>
      </c>
    </row>
    <row r="96" spans="2:32" x14ac:dyDescent="0.3">
      <c r="B96" s="195" t="s">
        <v>141</v>
      </c>
      <c r="C96" s="188" t="s">
        <v>174</v>
      </c>
      <c r="D96" s="188">
        <v>1</v>
      </c>
      <c r="E96" s="188">
        <v>215000</v>
      </c>
      <c r="F96" s="196">
        <f>Tableau4[[#This Row],[Economies totales (m3)]]/Tableau4[[#This Row],[Nombres appareils installés]]</f>
        <v>1085.75</v>
      </c>
      <c r="G96" s="190">
        <v>1085.75</v>
      </c>
      <c r="H96" s="188">
        <f t="shared" si="2"/>
        <v>2898.6499999999996</v>
      </c>
      <c r="I96" s="188">
        <v>2400</v>
      </c>
      <c r="J96" s="188">
        <f>Tableau4[[#This Row],[Surcoût moyens de l''équipement ($)]]+Tableau4[[#This Row],[Surcoût moyen de l''installation ($)]]</f>
        <v>5298.65</v>
      </c>
      <c r="K96" s="188">
        <f>Tableau4[[#This Row],[Surcoût par appareil ($)]]*Tableau4[[#This Row],[Nombres appareils installés]]</f>
        <v>5298.65</v>
      </c>
      <c r="L96" s="190">
        <v>1700</v>
      </c>
      <c r="M96" s="188">
        <f t="shared" si="3"/>
        <v>1975</v>
      </c>
      <c r="N96" s="188">
        <f>Tableau4[[#This Row],[AF 0 ($)]]/Tableau4[[#This Row],[Nombres appareils installés]]</f>
        <v>1975</v>
      </c>
      <c r="O96" s="191">
        <f>(Tableau4[[#This Row],[AF accordée ($)]])/($J$6*D96)</f>
        <v>0.42463905680171854</v>
      </c>
      <c r="P96" s="191">
        <f>Tableau4[[#This Row],[Couverture 0 (%)]]*Tableau4[[#This Row],[Nombres appareils installés]]</f>
        <v>0.42463905680171854</v>
      </c>
      <c r="Q96" s="188">
        <f>($Q$4+$R$4*(Tableau4[[#This Row],[Capacité (BTU)]]/1000))*Tableau4[[#This Row],[Nombres appareils installés]]</f>
        <v>3075</v>
      </c>
      <c r="R96" s="188">
        <f>Tableau4[[#This Row],[AF 1 ($)]]/Tableau4[[#This Row],[Nombres appareils installés]]</f>
        <v>3075</v>
      </c>
      <c r="S96" s="191">
        <f>Tableau4[[#This Row],[AF 1 ($)]]/(J96*D96)</f>
        <v>0.58033650080680932</v>
      </c>
      <c r="T96" s="191">
        <f>Tableau4[[#This Row],[Couverture 1 (%)]]*Tableau4[[#This Row],[Nombres appareils installés]]</f>
        <v>0.58033650080680932</v>
      </c>
      <c r="U96" s="188">
        <f>($U$4+($V$4*(Tableau4[[#This Row],[Capacité (BTU)]]/1000)))*Tableau4[[#This Row],[Nombres appareils installés]]</f>
        <v>3612.5</v>
      </c>
      <c r="V96" s="188">
        <f>Tableau4[[#This Row],[AF 2 ($)]]/Tableau4[[#This Row],[Nombres appareils installés]]</f>
        <v>3612.5</v>
      </c>
      <c r="W96" s="192">
        <f>Tableau4[[#This Row],[AF 2 par appareil ($)]]/Tableau4[[#This Row],[Surcoût par appareil ($)]]</f>
        <v>0.68177743387466627</v>
      </c>
      <c r="X96" s="192">
        <f>Tableau4[[#This Row],[Couverture 2 (%)]]*Tableau4[[#This Row],[Nombres appareils installés]]</f>
        <v>0.68177743387466627</v>
      </c>
      <c r="Y96" s="188">
        <f>($Y$4+$Z$4*(Tableau4[[#This Row],[Capacité (BTU)]]/1000))*Tableau4[[#This Row],[Nombres appareils installés]]</f>
        <v>3575</v>
      </c>
      <c r="Z96" s="188">
        <f>Tableau4[[#This Row],[AF 3 ($)]]/Tableau4[[#This Row],[Nombres appareils installés]]</f>
        <v>3575</v>
      </c>
      <c r="AA96" s="193">
        <f>Tableau4[[#This Row],[AF 3 par appareil ($)]]/Tableau4[[#This Row],[Surcoût par appareil ($)]]</f>
        <v>0.67470015947458317</v>
      </c>
      <c r="AB96" s="193">
        <f>Tableau4[[#This Row],[Couverture 3 (%)]]*Tableau4[[#This Row],[Nombres appareils installés]]</f>
        <v>0.67470015947458317</v>
      </c>
      <c r="AC96" s="188">
        <f>($AC$4+$AD$4*(Tableau4[[#This Row],[Capacité (BTU)]]/1000))*Tableau4[[#This Row],[Nombres appareils installés]]</f>
        <v>3060</v>
      </c>
      <c r="AD96" s="188">
        <f>Tableau4[[#This Row],[AF 4 ($)]]/Tableau4[[#This Row],[Nombres appareils installés]]</f>
        <v>3060</v>
      </c>
      <c r="AE96" s="194">
        <f>Tableau4[[#This Row],[Couverture 4 (%)]]*Tableau4[[#This Row],[Nombres appareils installés]]</f>
        <v>0.57750559104677612</v>
      </c>
      <c r="AF96" s="193">
        <f>Tableau4[[#This Row],[AF 4 par appareil  ($)]]/Tableau4[[#This Row],[Surcoût par appareil ($)]]</f>
        <v>0.57750559104677612</v>
      </c>
    </row>
    <row r="97" spans="2:32" x14ac:dyDescent="0.3">
      <c r="B97" s="195" t="s">
        <v>141</v>
      </c>
      <c r="C97" s="188" t="s">
        <v>169</v>
      </c>
      <c r="D97" s="188">
        <v>1</v>
      </c>
      <c r="E97" s="188">
        <v>215000</v>
      </c>
      <c r="F97" s="196">
        <f>Tableau4[[#This Row],[Economies totales (m3)]]/Tableau4[[#This Row],[Nombres appareils installés]]</f>
        <v>1085.75</v>
      </c>
      <c r="G97" s="190">
        <v>1085.75</v>
      </c>
      <c r="H97" s="188">
        <f t="shared" si="2"/>
        <v>2898.6499999999996</v>
      </c>
      <c r="I97" s="188">
        <v>2400</v>
      </c>
      <c r="J97" s="188">
        <f>Tableau4[[#This Row],[Surcoût moyens de l''équipement ($)]]+Tableau4[[#This Row],[Surcoût moyen de l''installation ($)]]</f>
        <v>5298.65</v>
      </c>
      <c r="K97" s="188">
        <f>Tableau4[[#This Row],[Surcoût par appareil ($)]]*Tableau4[[#This Row],[Nombres appareils installés]]</f>
        <v>5298.65</v>
      </c>
      <c r="L97" s="190">
        <v>1700</v>
      </c>
      <c r="M97" s="188">
        <f t="shared" si="3"/>
        <v>1975</v>
      </c>
      <c r="N97" s="188">
        <f>Tableau4[[#This Row],[AF 0 ($)]]/Tableau4[[#This Row],[Nombres appareils installés]]</f>
        <v>1975</v>
      </c>
      <c r="O97" s="191">
        <f>(Tableau4[[#This Row],[AF accordée ($)]])/($J$6*D97)</f>
        <v>0.42463905680171854</v>
      </c>
      <c r="P97" s="191">
        <f>Tableau4[[#This Row],[Couverture 0 (%)]]*Tableau4[[#This Row],[Nombres appareils installés]]</f>
        <v>0.42463905680171854</v>
      </c>
      <c r="Q97" s="188">
        <f>($Q$4+$R$4*(Tableau4[[#This Row],[Capacité (BTU)]]/1000))*Tableau4[[#This Row],[Nombres appareils installés]]</f>
        <v>3075</v>
      </c>
      <c r="R97" s="188">
        <f>Tableau4[[#This Row],[AF 1 ($)]]/Tableau4[[#This Row],[Nombres appareils installés]]</f>
        <v>3075</v>
      </c>
      <c r="S97" s="191">
        <f>Tableau4[[#This Row],[AF 1 ($)]]/(J97*D97)</f>
        <v>0.58033650080680932</v>
      </c>
      <c r="T97" s="191">
        <f>Tableau4[[#This Row],[Couverture 1 (%)]]*Tableau4[[#This Row],[Nombres appareils installés]]</f>
        <v>0.58033650080680932</v>
      </c>
      <c r="U97" s="188">
        <f>($U$4+($V$4*(Tableau4[[#This Row],[Capacité (BTU)]]/1000)))*Tableau4[[#This Row],[Nombres appareils installés]]</f>
        <v>3612.5</v>
      </c>
      <c r="V97" s="188">
        <f>Tableau4[[#This Row],[AF 2 ($)]]/Tableau4[[#This Row],[Nombres appareils installés]]</f>
        <v>3612.5</v>
      </c>
      <c r="W97" s="192">
        <f>Tableau4[[#This Row],[AF 2 par appareil ($)]]/Tableau4[[#This Row],[Surcoût par appareil ($)]]</f>
        <v>0.68177743387466627</v>
      </c>
      <c r="X97" s="192">
        <f>Tableau4[[#This Row],[Couverture 2 (%)]]*Tableau4[[#This Row],[Nombres appareils installés]]</f>
        <v>0.68177743387466627</v>
      </c>
      <c r="Y97" s="188">
        <f>($Y$4+$Z$4*(Tableau4[[#This Row],[Capacité (BTU)]]/1000))*Tableau4[[#This Row],[Nombres appareils installés]]</f>
        <v>3575</v>
      </c>
      <c r="Z97" s="188">
        <f>Tableau4[[#This Row],[AF 3 ($)]]/Tableau4[[#This Row],[Nombres appareils installés]]</f>
        <v>3575</v>
      </c>
      <c r="AA97" s="193">
        <f>Tableau4[[#This Row],[AF 3 par appareil ($)]]/Tableau4[[#This Row],[Surcoût par appareil ($)]]</f>
        <v>0.67470015947458317</v>
      </c>
      <c r="AB97" s="193">
        <f>Tableau4[[#This Row],[Couverture 3 (%)]]*Tableau4[[#This Row],[Nombres appareils installés]]</f>
        <v>0.67470015947458317</v>
      </c>
      <c r="AC97" s="188">
        <f>($AC$4+$AD$4*(Tableau4[[#This Row],[Capacité (BTU)]]/1000))*Tableau4[[#This Row],[Nombres appareils installés]]</f>
        <v>3060</v>
      </c>
      <c r="AD97" s="188">
        <f>Tableau4[[#This Row],[AF 4 ($)]]/Tableau4[[#This Row],[Nombres appareils installés]]</f>
        <v>3060</v>
      </c>
      <c r="AE97" s="194">
        <f>Tableau4[[#This Row],[Couverture 4 (%)]]*Tableau4[[#This Row],[Nombres appareils installés]]</f>
        <v>0.57750559104677612</v>
      </c>
      <c r="AF97" s="193">
        <f>Tableau4[[#This Row],[AF 4 par appareil  ($)]]/Tableau4[[#This Row],[Surcoût par appareil ($)]]</f>
        <v>0.57750559104677612</v>
      </c>
    </row>
    <row r="98" spans="2:32" x14ac:dyDescent="0.3">
      <c r="B98" s="195" t="s">
        <v>141</v>
      </c>
      <c r="C98" s="188" t="s">
        <v>175</v>
      </c>
      <c r="D98" s="188">
        <v>1</v>
      </c>
      <c r="E98" s="188">
        <v>215000</v>
      </c>
      <c r="F98" s="196">
        <f>Tableau4[[#This Row],[Economies totales (m3)]]/Tableau4[[#This Row],[Nombres appareils installés]]</f>
        <v>1085.75</v>
      </c>
      <c r="G98" s="190">
        <v>1085.75</v>
      </c>
      <c r="H98" s="188">
        <f t="shared" si="2"/>
        <v>2898.6499999999996</v>
      </c>
      <c r="I98" s="188">
        <v>2400</v>
      </c>
      <c r="J98" s="188">
        <f>Tableau4[[#This Row],[Surcoût moyens de l''équipement ($)]]+Tableau4[[#This Row],[Surcoût moyen de l''installation ($)]]</f>
        <v>5298.65</v>
      </c>
      <c r="K98" s="188">
        <f>Tableau4[[#This Row],[Surcoût par appareil ($)]]*Tableau4[[#This Row],[Nombres appareils installés]]</f>
        <v>5298.65</v>
      </c>
      <c r="L98" s="190">
        <v>1700</v>
      </c>
      <c r="M98" s="188">
        <f t="shared" si="3"/>
        <v>1975</v>
      </c>
      <c r="N98" s="188">
        <f>Tableau4[[#This Row],[AF 0 ($)]]/Tableau4[[#This Row],[Nombres appareils installés]]</f>
        <v>1975</v>
      </c>
      <c r="O98" s="191">
        <f>(Tableau4[[#This Row],[AF accordée ($)]])/($J$6*D98)</f>
        <v>0.42463905680171854</v>
      </c>
      <c r="P98" s="191">
        <f>Tableau4[[#This Row],[Couverture 0 (%)]]*Tableau4[[#This Row],[Nombres appareils installés]]</f>
        <v>0.42463905680171854</v>
      </c>
      <c r="Q98" s="188">
        <f>($Q$4+$R$4*(Tableau4[[#This Row],[Capacité (BTU)]]/1000))*Tableau4[[#This Row],[Nombres appareils installés]]</f>
        <v>3075</v>
      </c>
      <c r="R98" s="188">
        <f>Tableau4[[#This Row],[AF 1 ($)]]/Tableau4[[#This Row],[Nombres appareils installés]]</f>
        <v>3075</v>
      </c>
      <c r="S98" s="191">
        <f>Tableau4[[#This Row],[AF 1 ($)]]/(J98*D98)</f>
        <v>0.58033650080680932</v>
      </c>
      <c r="T98" s="191">
        <f>Tableau4[[#This Row],[Couverture 1 (%)]]*Tableau4[[#This Row],[Nombres appareils installés]]</f>
        <v>0.58033650080680932</v>
      </c>
      <c r="U98" s="188">
        <f>($U$4+($V$4*(Tableau4[[#This Row],[Capacité (BTU)]]/1000)))*Tableau4[[#This Row],[Nombres appareils installés]]</f>
        <v>3612.5</v>
      </c>
      <c r="V98" s="188">
        <f>Tableau4[[#This Row],[AF 2 ($)]]/Tableau4[[#This Row],[Nombres appareils installés]]</f>
        <v>3612.5</v>
      </c>
      <c r="W98" s="192">
        <f>Tableau4[[#This Row],[AF 2 par appareil ($)]]/Tableau4[[#This Row],[Surcoût par appareil ($)]]</f>
        <v>0.68177743387466627</v>
      </c>
      <c r="X98" s="192">
        <f>Tableau4[[#This Row],[Couverture 2 (%)]]*Tableau4[[#This Row],[Nombres appareils installés]]</f>
        <v>0.68177743387466627</v>
      </c>
      <c r="Y98" s="188">
        <f>($Y$4+$Z$4*(Tableau4[[#This Row],[Capacité (BTU)]]/1000))*Tableau4[[#This Row],[Nombres appareils installés]]</f>
        <v>3575</v>
      </c>
      <c r="Z98" s="188">
        <f>Tableau4[[#This Row],[AF 3 ($)]]/Tableau4[[#This Row],[Nombres appareils installés]]</f>
        <v>3575</v>
      </c>
      <c r="AA98" s="193">
        <f>Tableau4[[#This Row],[AF 3 par appareil ($)]]/Tableau4[[#This Row],[Surcoût par appareil ($)]]</f>
        <v>0.67470015947458317</v>
      </c>
      <c r="AB98" s="193">
        <f>Tableau4[[#This Row],[Couverture 3 (%)]]*Tableau4[[#This Row],[Nombres appareils installés]]</f>
        <v>0.67470015947458317</v>
      </c>
      <c r="AC98" s="188">
        <f>($AC$4+$AD$4*(Tableau4[[#This Row],[Capacité (BTU)]]/1000))*Tableau4[[#This Row],[Nombres appareils installés]]</f>
        <v>3060</v>
      </c>
      <c r="AD98" s="188">
        <f>Tableau4[[#This Row],[AF 4 ($)]]/Tableau4[[#This Row],[Nombres appareils installés]]</f>
        <v>3060</v>
      </c>
      <c r="AE98" s="194">
        <f>Tableau4[[#This Row],[Couverture 4 (%)]]*Tableau4[[#This Row],[Nombres appareils installés]]</f>
        <v>0.57750559104677612</v>
      </c>
      <c r="AF98" s="193">
        <f>Tableau4[[#This Row],[AF 4 par appareil  ($)]]/Tableau4[[#This Row],[Surcoût par appareil ($)]]</f>
        <v>0.57750559104677612</v>
      </c>
    </row>
    <row r="99" spans="2:32" x14ac:dyDescent="0.3">
      <c r="B99" s="195" t="s">
        <v>141</v>
      </c>
      <c r="C99" s="188" t="s">
        <v>176</v>
      </c>
      <c r="D99" s="188">
        <v>1</v>
      </c>
      <c r="E99" s="188">
        <v>215000</v>
      </c>
      <c r="F99" s="196">
        <f>Tableau4[[#This Row],[Economies totales (m3)]]/Tableau4[[#This Row],[Nombres appareils installés]]</f>
        <v>1085.75</v>
      </c>
      <c r="G99" s="190">
        <v>1085.75</v>
      </c>
      <c r="H99" s="188">
        <f t="shared" si="2"/>
        <v>2898.6499999999996</v>
      </c>
      <c r="I99" s="188">
        <v>2400</v>
      </c>
      <c r="J99" s="188">
        <f>Tableau4[[#This Row],[Surcoût moyens de l''équipement ($)]]+Tableau4[[#This Row],[Surcoût moyen de l''installation ($)]]</f>
        <v>5298.65</v>
      </c>
      <c r="K99" s="188">
        <f>Tableau4[[#This Row],[Surcoût par appareil ($)]]*Tableau4[[#This Row],[Nombres appareils installés]]</f>
        <v>5298.65</v>
      </c>
      <c r="L99" s="190">
        <v>1700</v>
      </c>
      <c r="M99" s="188">
        <f t="shared" si="3"/>
        <v>1975</v>
      </c>
      <c r="N99" s="188">
        <f>Tableau4[[#This Row],[AF 0 ($)]]/Tableau4[[#This Row],[Nombres appareils installés]]</f>
        <v>1975</v>
      </c>
      <c r="O99" s="191">
        <f>(Tableau4[[#This Row],[AF accordée ($)]])/($J$6*D99)</f>
        <v>0.42463905680171854</v>
      </c>
      <c r="P99" s="191">
        <f>Tableau4[[#This Row],[Couverture 0 (%)]]*Tableau4[[#This Row],[Nombres appareils installés]]</f>
        <v>0.42463905680171854</v>
      </c>
      <c r="Q99" s="188">
        <f>($Q$4+$R$4*(Tableau4[[#This Row],[Capacité (BTU)]]/1000))*Tableau4[[#This Row],[Nombres appareils installés]]</f>
        <v>3075</v>
      </c>
      <c r="R99" s="188">
        <f>Tableau4[[#This Row],[AF 1 ($)]]/Tableau4[[#This Row],[Nombres appareils installés]]</f>
        <v>3075</v>
      </c>
      <c r="S99" s="191">
        <f>Tableau4[[#This Row],[AF 1 ($)]]/(J99*D99)</f>
        <v>0.58033650080680932</v>
      </c>
      <c r="T99" s="191">
        <f>Tableau4[[#This Row],[Couverture 1 (%)]]*Tableau4[[#This Row],[Nombres appareils installés]]</f>
        <v>0.58033650080680932</v>
      </c>
      <c r="U99" s="188">
        <f>($U$4+($V$4*(Tableau4[[#This Row],[Capacité (BTU)]]/1000)))*Tableau4[[#This Row],[Nombres appareils installés]]</f>
        <v>3612.5</v>
      </c>
      <c r="V99" s="188">
        <f>Tableau4[[#This Row],[AF 2 ($)]]/Tableau4[[#This Row],[Nombres appareils installés]]</f>
        <v>3612.5</v>
      </c>
      <c r="W99" s="192">
        <f>Tableau4[[#This Row],[AF 2 par appareil ($)]]/Tableau4[[#This Row],[Surcoût par appareil ($)]]</f>
        <v>0.68177743387466627</v>
      </c>
      <c r="X99" s="192">
        <f>Tableau4[[#This Row],[Couverture 2 (%)]]*Tableau4[[#This Row],[Nombres appareils installés]]</f>
        <v>0.68177743387466627</v>
      </c>
      <c r="Y99" s="188">
        <f>($Y$4+$Z$4*(Tableau4[[#This Row],[Capacité (BTU)]]/1000))*Tableau4[[#This Row],[Nombres appareils installés]]</f>
        <v>3575</v>
      </c>
      <c r="Z99" s="188">
        <f>Tableau4[[#This Row],[AF 3 ($)]]/Tableau4[[#This Row],[Nombres appareils installés]]</f>
        <v>3575</v>
      </c>
      <c r="AA99" s="193">
        <f>Tableau4[[#This Row],[AF 3 par appareil ($)]]/Tableau4[[#This Row],[Surcoût par appareil ($)]]</f>
        <v>0.67470015947458317</v>
      </c>
      <c r="AB99" s="193">
        <f>Tableau4[[#This Row],[Couverture 3 (%)]]*Tableau4[[#This Row],[Nombres appareils installés]]</f>
        <v>0.67470015947458317</v>
      </c>
      <c r="AC99" s="188">
        <f>($AC$4+$AD$4*(Tableau4[[#This Row],[Capacité (BTU)]]/1000))*Tableau4[[#This Row],[Nombres appareils installés]]</f>
        <v>3060</v>
      </c>
      <c r="AD99" s="188">
        <f>Tableau4[[#This Row],[AF 4 ($)]]/Tableau4[[#This Row],[Nombres appareils installés]]</f>
        <v>3060</v>
      </c>
      <c r="AE99" s="194">
        <f>Tableau4[[#This Row],[Couverture 4 (%)]]*Tableau4[[#This Row],[Nombres appareils installés]]</f>
        <v>0.57750559104677612</v>
      </c>
      <c r="AF99" s="193">
        <f>Tableau4[[#This Row],[AF 4 par appareil  ($)]]/Tableau4[[#This Row],[Surcoût par appareil ($)]]</f>
        <v>0.57750559104677612</v>
      </c>
    </row>
    <row r="100" spans="2:32" x14ac:dyDescent="0.3">
      <c r="B100" s="195" t="s">
        <v>141</v>
      </c>
      <c r="C100" s="188" t="s">
        <v>177</v>
      </c>
      <c r="D100" s="188">
        <v>2</v>
      </c>
      <c r="E100" s="188">
        <v>215000</v>
      </c>
      <c r="F100" s="196">
        <f>Tableau4[[#This Row],[Economies totales (m3)]]/Tableau4[[#This Row],[Nombres appareils installés]]</f>
        <v>1085.75</v>
      </c>
      <c r="G100" s="190">
        <v>2171.5</v>
      </c>
      <c r="H100" s="188">
        <f t="shared" si="2"/>
        <v>2898.6499999999996</v>
      </c>
      <c r="I100" s="188">
        <v>2400</v>
      </c>
      <c r="J100" s="188">
        <f>Tableau4[[#This Row],[Surcoût moyens de l''équipement ($)]]+Tableau4[[#This Row],[Surcoût moyen de l''installation ($)]]</f>
        <v>5298.65</v>
      </c>
      <c r="K100" s="188">
        <f>Tableau4[[#This Row],[Surcoût par appareil ($)]]*Tableau4[[#This Row],[Nombres appareils installés]]</f>
        <v>10597.3</v>
      </c>
      <c r="L100" s="190">
        <v>3400</v>
      </c>
      <c r="M100" s="188">
        <f t="shared" si="3"/>
        <v>3950</v>
      </c>
      <c r="N100" s="188">
        <f>Tableau4[[#This Row],[AF 0 ($)]]/Tableau4[[#This Row],[Nombres appareils installés]]</f>
        <v>1975</v>
      </c>
      <c r="O100" s="191">
        <f>(Tableau4[[#This Row],[AF accordée ($)]])/($J$6*D100)</f>
        <v>0.42463905680171854</v>
      </c>
      <c r="P100" s="191">
        <f>Tableau4[[#This Row],[Couverture 0 (%)]]*Tableau4[[#This Row],[Nombres appareils installés]]</f>
        <v>0.84927811360343708</v>
      </c>
      <c r="Q100" s="188">
        <f>($Q$4+$R$4*(Tableau4[[#This Row],[Capacité (BTU)]]/1000))*Tableau4[[#This Row],[Nombres appareils installés]]</f>
        <v>6150</v>
      </c>
      <c r="R100" s="188">
        <f>Tableau4[[#This Row],[AF 1 ($)]]/Tableau4[[#This Row],[Nombres appareils installés]]</f>
        <v>3075</v>
      </c>
      <c r="S100" s="191">
        <f>Tableau4[[#This Row],[AF 1 ($)]]/(J100*D100)</f>
        <v>0.58033650080680932</v>
      </c>
      <c r="T100" s="191">
        <f>Tableau4[[#This Row],[Couverture 1 (%)]]*Tableau4[[#This Row],[Nombres appareils installés]]</f>
        <v>1.1606730016136186</v>
      </c>
      <c r="U100" s="188">
        <f>($U$4+($V$4*(Tableau4[[#This Row],[Capacité (BTU)]]/1000)))*Tableau4[[#This Row],[Nombres appareils installés]]</f>
        <v>7225</v>
      </c>
      <c r="V100" s="188">
        <f>Tableau4[[#This Row],[AF 2 ($)]]/Tableau4[[#This Row],[Nombres appareils installés]]</f>
        <v>3612.5</v>
      </c>
      <c r="W100" s="192">
        <f>Tableau4[[#This Row],[AF 2 par appareil ($)]]/Tableau4[[#This Row],[Surcoût par appareil ($)]]</f>
        <v>0.68177743387466627</v>
      </c>
      <c r="X100" s="192">
        <f>Tableau4[[#This Row],[Couverture 2 (%)]]*Tableau4[[#This Row],[Nombres appareils installés]]</f>
        <v>1.3635548677493325</v>
      </c>
      <c r="Y100" s="188">
        <f>($Y$4+$Z$4*(Tableau4[[#This Row],[Capacité (BTU)]]/1000))*Tableau4[[#This Row],[Nombres appareils installés]]</f>
        <v>7150</v>
      </c>
      <c r="Z100" s="188">
        <f>Tableau4[[#This Row],[AF 3 ($)]]/Tableau4[[#This Row],[Nombres appareils installés]]</f>
        <v>3575</v>
      </c>
      <c r="AA100" s="193">
        <f>Tableau4[[#This Row],[AF 3 par appareil ($)]]/Tableau4[[#This Row],[Surcoût par appareil ($)]]</f>
        <v>0.67470015947458317</v>
      </c>
      <c r="AB100" s="193">
        <f>Tableau4[[#This Row],[Couverture 3 (%)]]*Tableau4[[#This Row],[Nombres appareils installés]]</f>
        <v>1.3494003189491663</v>
      </c>
      <c r="AC100" s="188">
        <f>($AC$4+$AD$4*(Tableau4[[#This Row],[Capacité (BTU)]]/1000))*Tableau4[[#This Row],[Nombres appareils installés]]</f>
        <v>6120</v>
      </c>
      <c r="AD100" s="188">
        <f>Tableau4[[#This Row],[AF 4 ($)]]/Tableau4[[#This Row],[Nombres appareils installés]]</f>
        <v>3060</v>
      </c>
      <c r="AE100" s="194">
        <f>Tableau4[[#This Row],[Couverture 4 (%)]]*Tableau4[[#This Row],[Nombres appareils installés]]</f>
        <v>1.1550111820935522</v>
      </c>
      <c r="AF100" s="193">
        <f>Tableau4[[#This Row],[AF 4 par appareil  ($)]]/Tableau4[[#This Row],[Surcoût par appareil ($)]]</f>
        <v>0.57750559104677612</v>
      </c>
    </row>
    <row r="101" spans="2:32" x14ac:dyDescent="0.3">
      <c r="B101" s="195" t="s">
        <v>141</v>
      </c>
      <c r="C101" s="188" t="s">
        <v>178</v>
      </c>
      <c r="D101" s="188">
        <v>8</v>
      </c>
      <c r="E101" s="188">
        <v>215000</v>
      </c>
      <c r="F101" s="196">
        <f>Tableau4[[#This Row],[Economies totales (m3)]]/Tableau4[[#This Row],[Nombres appareils installés]]</f>
        <v>1085.75</v>
      </c>
      <c r="G101" s="190">
        <v>8686</v>
      </c>
      <c r="H101" s="188">
        <f t="shared" si="2"/>
        <v>2898.6499999999996</v>
      </c>
      <c r="I101" s="188">
        <v>2400</v>
      </c>
      <c r="J101" s="188">
        <f>Tableau4[[#This Row],[Surcoût moyens de l''équipement ($)]]+Tableau4[[#This Row],[Surcoût moyen de l''installation ($)]]</f>
        <v>5298.65</v>
      </c>
      <c r="K101" s="188">
        <f>Tableau4[[#This Row],[Surcoût par appareil ($)]]*Tableau4[[#This Row],[Nombres appareils installés]]</f>
        <v>42389.2</v>
      </c>
      <c r="L101" s="190">
        <v>13600</v>
      </c>
      <c r="M101" s="188">
        <f t="shared" si="3"/>
        <v>15800</v>
      </c>
      <c r="N101" s="188">
        <f>Tableau4[[#This Row],[AF 0 ($)]]/Tableau4[[#This Row],[Nombres appareils installés]]</f>
        <v>1975</v>
      </c>
      <c r="O101" s="191">
        <f>(Tableau4[[#This Row],[AF accordée ($)]])/($J$6*D101)</f>
        <v>0.42463905680171854</v>
      </c>
      <c r="P101" s="191">
        <f>Tableau4[[#This Row],[Couverture 0 (%)]]*Tableau4[[#This Row],[Nombres appareils installés]]</f>
        <v>3.3971124544137483</v>
      </c>
      <c r="Q101" s="188">
        <f>($Q$4+$R$4*(Tableau4[[#This Row],[Capacité (BTU)]]/1000))*Tableau4[[#This Row],[Nombres appareils installés]]</f>
        <v>24600</v>
      </c>
      <c r="R101" s="188">
        <f>Tableau4[[#This Row],[AF 1 ($)]]/Tableau4[[#This Row],[Nombres appareils installés]]</f>
        <v>3075</v>
      </c>
      <c r="S101" s="191">
        <f>Tableau4[[#This Row],[AF 1 ($)]]/(J101*D101)</f>
        <v>0.58033650080680932</v>
      </c>
      <c r="T101" s="191">
        <f>Tableau4[[#This Row],[Couverture 1 (%)]]*Tableau4[[#This Row],[Nombres appareils installés]]</f>
        <v>4.6426920064544746</v>
      </c>
      <c r="U101" s="188">
        <f>($U$4+($V$4*(Tableau4[[#This Row],[Capacité (BTU)]]/1000)))*Tableau4[[#This Row],[Nombres appareils installés]]</f>
        <v>28900</v>
      </c>
      <c r="V101" s="188">
        <f>Tableau4[[#This Row],[AF 2 ($)]]/Tableau4[[#This Row],[Nombres appareils installés]]</f>
        <v>3612.5</v>
      </c>
      <c r="W101" s="192">
        <f>Tableau4[[#This Row],[AF 2 par appareil ($)]]/Tableau4[[#This Row],[Surcoût par appareil ($)]]</f>
        <v>0.68177743387466627</v>
      </c>
      <c r="X101" s="192">
        <f>Tableau4[[#This Row],[Couverture 2 (%)]]*Tableau4[[#This Row],[Nombres appareils installés]]</f>
        <v>5.4542194709973302</v>
      </c>
      <c r="Y101" s="188">
        <f>($Y$4+$Z$4*(Tableau4[[#This Row],[Capacité (BTU)]]/1000))*Tableau4[[#This Row],[Nombres appareils installés]]</f>
        <v>28600</v>
      </c>
      <c r="Z101" s="188">
        <f>Tableau4[[#This Row],[AF 3 ($)]]/Tableau4[[#This Row],[Nombres appareils installés]]</f>
        <v>3575</v>
      </c>
      <c r="AA101" s="193">
        <f>Tableau4[[#This Row],[AF 3 par appareil ($)]]/Tableau4[[#This Row],[Surcoût par appareil ($)]]</f>
        <v>0.67470015947458317</v>
      </c>
      <c r="AB101" s="193">
        <f>Tableau4[[#This Row],[Couverture 3 (%)]]*Tableau4[[#This Row],[Nombres appareils installés]]</f>
        <v>5.3976012757966654</v>
      </c>
      <c r="AC101" s="188">
        <f>($AC$4+$AD$4*(Tableau4[[#This Row],[Capacité (BTU)]]/1000))*Tableau4[[#This Row],[Nombres appareils installés]]</f>
        <v>24480</v>
      </c>
      <c r="AD101" s="188">
        <f>Tableau4[[#This Row],[AF 4 ($)]]/Tableau4[[#This Row],[Nombres appareils installés]]</f>
        <v>3060</v>
      </c>
      <c r="AE101" s="194">
        <f>Tableau4[[#This Row],[Couverture 4 (%)]]*Tableau4[[#This Row],[Nombres appareils installés]]</f>
        <v>4.620044728374209</v>
      </c>
      <c r="AF101" s="193">
        <f>Tableau4[[#This Row],[AF 4 par appareil  ($)]]/Tableau4[[#This Row],[Surcoût par appareil ($)]]</f>
        <v>0.57750559104677612</v>
      </c>
    </row>
    <row r="102" spans="2:32" x14ac:dyDescent="0.3">
      <c r="B102" s="195" t="s">
        <v>141</v>
      </c>
      <c r="C102" s="188" t="s">
        <v>179</v>
      </c>
      <c r="D102" s="188">
        <v>1</v>
      </c>
      <c r="E102" s="188">
        <v>260000</v>
      </c>
      <c r="F102" s="196">
        <f>Tableau4[[#This Row],[Economies totales (m3)]]/Tableau4[[#This Row],[Nombres appareils installés]]</f>
        <v>1313</v>
      </c>
      <c r="G102" s="190">
        <v>1313</v>
      </c>
      <c r="H102" s="188">
        <f t="shared" si="2"/>
        <v>3535.3999999999996</v>
      </c>
      <c r="I102" s="188">
        <v>2400</v>
      </c>
      <c r="J102" s="188">
        <f>Tableau4[[#This Row],[Surcoût moyens de l''équipement ($)]]+Tableau4[[#This Row],[Surcoût moyen de l''installation ($)]]</f>
        <v>5935.4</v>
      </c>
      <c r="K102" s="188">
        <f>Tableau4[[#This Row],[Surcoût par appareil ($)]]*Tableau4[[#This Row],[Nombres appareils installés]]</f>
        <v>5935.4</v>
      </c>
      <c r="L102" s="190">
        <v>1700</v>
      </c>
      <c r="M102" s="188">
        <f t="shared" si="3"/>
        <v>2200</v>
      </c>
      <c r="N102" s="188">
        <f>Tableau4[[#This Row],[AF 0 ($)]]/Tableau4[[#This Row],[Nombres appareils installés]]</f>
        <v>2200</v>
      </c>
      <c r="O102" s="191">
        <f>(Tableau4[[#This Row],[AF accordée ($)]])/($J$6*D102)</f>
        <v>0.42463905680171854</v>
      </c>
      <c r="P102" s="191">
        <f>Tableau4[[#This Row],[Couverture 0 (%)]]*Tableau4[[#This Row],[Nombres appareils installés]]</f>
        <v>0.42463905680171854</v>
      </c>
      <c r="Q102" s="188">
        <f>($Q$4+$R$4*(Tableau4[[#This Row],[Capacité (BTU)]]/1000))*Tableau4[[#This Row],[Nombres appareils installés]]</f>
        <v>3300</v>
      </c>
      <c r="R102" s="188">
        <f>Tableau4[[#This Row],[AF 1 ($)]]/Tableau4[[#This Row],[Nombres appareils installés]]</f>
        <v>3300</v>
      </c>
      <c r="S102" s="191">
        <f>Tableau4[[#This Row],[AF 1 ($)]]/(J102*D102)</f>
        <v>0.55598611719513436</v>
      </c>
      <c r="T102" s="191">
        <f>Tableau4[[#This Row],[Couverture 1 (%)]]*Tableau4[[#This Row],[Nombres appareils installés]]</f>
        <v>0.55598611719513436</v>
      </c>
      <c r="U102" s="188">
        <f>($U$4+($V$4*(Tableau4[[#This Row],[Capacité (BTU)]]/1000)))*Tableau4[[#This Row],[Nombres appareils installés]]</f>
        <v>3950</v>
      </c>
      <c r="V102" s="188">
        <f>Tableau4[[#This Row],[AF 2 ($)]]/Tableau4[[#This Row],[Nombres appareils installés]]</f>
        <v>3950</v>
      </c>
      <c r="W102" s="192">
        <f>Tableau4[[#This Row],[AF 2 par appareil ($)]]/Tableau4[[#This Row],[Surcoût par appareil ($)]]</f>
        <v>0.66549853421841831</v>
      </c>
      <c r="X102" s="192">
        <f>Tableau4[[#This Row],[Couverture 2 (%)]]*Tableau4[[#This Row],[Nombres appareils installés]]</f>
        <v>0.66549853421841831</v>
      </c>
      <c r="Y102" s="188">
        <f>($Y$4+$Z$4*(Tableau4[[#This Row],[Capacité (BTU)]]/1000))*Tableau4[[#This Row],[Nombres appareils installés]]</f>
        <v>3800</v>
      </c>
      <c r="Z102" s="188">
        <f>Tableau4[[#This Row],[AF 3 ($)]]/Tableau4[[#This Row],[Nombres appareils installés]]</f>
        <v>3800</v>
      </c>
      <c r="AA102" s="193">
        <f>Tableau4[[#This Row],[AF 3 par appareil ($)]]/Tableau4[[#This Row],[Surcoût par appareil ($)]]</f>
        <v>0.64022643798227585</v>
      </c>
      <c r="AB102" s="193">
        <f>Tableau4[[#This Row],[Couverture 3 (%)]]*Tableau4[[#This Row],[Nombres appareils installés]]</f>
        <v>0.64022643798227585</v>
      </c>
      <c r="AC102" s="188">
        <f>($AC$4+$AD$4*(Tableau4[[#This Row],[Capacité (BTU)]]/1000))*Tableau4[[#This Row],[Nombres appareils installés]]</f>
        <v>3240</v>
      </c>
      <c r="AD102" s="188">
        <f>Tableau4[[#This Row],[AF 4 ($)]]/Tableau4[[#This Row],[Nombres appareils installés]]</f>
        <v>3240</v>
      </c>
      <c r="AE102" s="194">
        <f>Tableau4[[#This Row],[Couverture 4 (%)]]*Tableau4[[#This Row],[Nombres appareils installés]]</f>
        <v>0.54587727870067737</v>
      </c>
      <c r="AF102" s="193">
        <f>Tableau4[[#This Row],[AF 4 par appareil  ($)]]/Tableau4[[#This Row],[Surcoût par appareil ($)]]</f>
        <v>0.54587727870067737</v>
      </c>
    </row>
    <row r="103" spans="2:32" x14ac:dyDescent="0.3">
      <c r="B103" s="195" t="s">
        <v>141</v>
      </c>
      <c r="C103" s="188" t="s">
        <v>180</v>
      </c>
      <c r="D103" s="188">
        <v>1</v>
      </c>
      <c r="E103" s="188">
        <v>260000</v>
      </c>
      <c r="F103" s="196">
        <f>Tableau4[[#This Row],[Economies totales (m3)]]/Tableau4[[#This Row],[Nombres appareils installés]]</f>
        <v>1313</v>
      </c>
      <c r="G103" s="190">
        <v>1313</v>
      </c>
      <c r="H103" s="188">
        <f t="shared" si="2"/>
        <v>3535.3999999999996</v>
      </c>
      <c r="I103" s="188">
        <v>2400</v>
      </c>
      <c r="J103" s="188">
        <f>Tableau4[[#This Row],[Surcoût moyens de l''équipement ($)]]+Tableau4[[#This Row],[Surcoût moyen de l''installation ($)]]</f>
        <v>5935.4</v>
      </c>
      <c r="K103" s="188">
        <f>Tableau4[[#This Row],[Surcoût par appareil ($)]]*Tableau4[[#This Row],[Nombres appareils installés]]</f>
        <v>5935.4</v>
      </c>
      <c r="L103" s="190">
        <v>1700</v>
      </c>
      <c r="M103" s="188">
        <f t="shared" si="3"/>
        <v>2200</v>
      </c>
      <c r="N103" s="188">
        <f>Tableau4[[#This Row],[AF 0 ($)]]/Tableau4[[#This Row],[Nombres appareils installés]]</f>
        <v>2200</v>
      </c>
      <c r="O103" s="191">
        <f>(Tableau4[[#This Row],[AF accordée ($)]])/($J$6*D103)</f>
        <v>0.42463905680171854</v>
      </c>
      <c r="P103" s="191">
        <f>Tableau4[[#This Row],[Couverture 0 (%)]]*Tableau4[[#This Row],[Nombres appareils installés]]</f>
        <v>0.42463905680171854</v>
      </c>
      <c r="Q103" s="188">
        <f>($Q$4+$R$4*(Tableau4[[#This Row],[Capacité (BTU)]]/1000))*Tableau4[[#This Row],[Nombres appareils installés]]</f>
        <v>3300</v>
      </c>
      <c r="R103" s="188">
        <f>Tableau4[[#This Row],[AF 1 ($)]]/Tableau4[[#This Row],[Nombres appareils installés]]</f>
        <v>3300</v>
      </c>
      <c r="S103" s="191">
        <f>Tableau4[[#This Row],[AF 1 ($)]]/(J103*D103)</f>
        <v>0.55598611719513436</v>
      </c>
      <c r="T103" s="191">
        <f>Tableau4[[#This Row],[Couverture 1 (%)]]*Tableau4[[#This Row],[Nombres appareils installés]]</f>
        <v>0.55598611719513436</v>
      </c>
      <c r="U103" s="188">
        <f>($U$4+($V$4*(Tableau4[[#This Row],[Capacité (BTU)]]/1000)))*Tableau4[[#This Row],[Nombres appareils installés]]</f>
        <v>3950</v>
      </c>
      <c r="V103" s="188">
        <f>Tableau4[[#This Row],[AF 2 ($)]]/Tableau4[[#This Row],[Nombres appareils installés]]</f>
        <v>3950</v>
      </c>
      <c r="W103" s="192">
        <f>Tableau4[[#This Row],[AF 2 par appareil ($)]]/Tableau4[[#This Row],[Surcoût par appareil ($)]]</f>
        <v>0.66549853421841831</v>
      </c>
      <c r="X103" s="192">
        <f>Tableau4[[#This Row],[Couverture 2 (%)]]*Tableau4[[#This Row],[Nombres appareils installés]]</f>
        <v>0.66549853421841831</v>
      </c>
      <c r="Y103" s="188">
        <f>($Y$4+$Z$4*(Tableau4[[#This Row],[Capacité (BTU)]]/1000))*Tableau4[[#This Row],[Nombres appareils installés]]</f>
        <v>3800</v>
      </c>
      <c r="Z103" s="188">
        <f>Tableau4[[#This Row],[AF 3 ($)]]/Tableau4[[#This Row],[Nombres appareils installés]]</f>
        <v>3800</v>
      </c>
      <c r="AA103" s="193">
        <f>Tableau4[[#This Row],[AF 3 par appareil ($)]]/Tableau4[[#This Row],[Surcoût par appareil ($)]]</f>
        <v>0.64022643798227585</v>
      </c>
      <c r="AB103" s="193">
        <f>Tableau4[[#This Row],[Couverture 3 (%)]]*Tableau4[[#This Row],[Nombres appareils installés]]</f>
        <v>0.64022643798227585</v>
      </c>
      <c r="AC103" s="188">
        <f>($AC$4+$AD$4*(Tableau4[[#This Row],[Capacité (BTU)]]/1000))*Tableau4[[#This Row],[Nombres appareils installés]]</f>
        <v>3240</v>
      </c>
      <c r="AD103" s="188">
        <f>Tableau4[[#This Row],[AF 4 ($)]]/Tableau4[[#This Row],[Nombres appareils installés]]</f>
        <v>3240</v>
      </c>
      <c r="AE103" s="194">
        <f>Tableau4[[#This Row],[Couverture 4 (%)]]*Tableau4[[#This Row],[Nombres appareils installés]]</f>
        <v>0.54587727870067737</v>
      </c>
      <c r="AF103" s="193">
        <f>Tableau4[[#This Row],[AF 4 par appareil  ($)]]/Tableau4[[#This Row],[Surcoût par appareil ($)]]</f>
        <v>0.54587727870067737</v>
      </c>
    </row>
    <row r="104" spans="2:32" x14ac:dyDescent="0.3">
      <c r="B104" s="195" t="s">
        <v>141</v>
      </c>
      <c r="C104" s="188" t="s">
        <v>181</v>
      </c>
      <c r="D104" s="188">
        <v>1</v>
      </c>
      <c r="E104" s="188">
        <v>260000</v>
      </c>
      <c r="F104" s="196">
        <f>Tableau4[[#This Row],[Economies totales (m3)]]/Tableau4[[#This Row],[Nombres appareils installés]]</f>
        <v>1313</v>
      </c>
      <c r="G104" s="190">
        <v>1313</v>
      </c>
      <c r="H104" s="188">
        <f t="shared" si="2"/>
        <v>3535.3999999999996</v>
      </c>
      <c r="I104" s="188">
        <v>2400</v>
      </c>
      <c r="J104" s="188">
        <f>Tableau4[[#This Row],[Surcoût moyens de l''équipement ($)]]+Tableau4[[#This Row],[Surcoût moyen de l''installation ($)]]</f>
        <v>5935.4</v>
      </c>
      <c r="K104" s="188">
        <f>Tableau4[[#This Row],[Surcoût par appareil ($)]]*Tableau4[[#This Row],[Nombres appareils installés]]</f>
        <v>5935.4</v>
      </c>
      <c r="L104" s="190">
        <v>1700</v>
      </c>
      <c r="M104" s="188">
        <f t="shared" si="3"/>
        <v>2200</v>
      </c>
      <c r="N104" s="188">
        <f>Tableau4[[#This Row],[AF 0 ($)]]/Tableau4[[#This Row],[Nombres appareils installés]]</f>
        <v>2200</v>
      </c>
      <c r="O104" s="191">
        <f>(Tableau4[[#This Row],[AF accordée ($)]])/($J$6*D104)</f>
        <v>0.42463905680171854</v>
      </c>
      <c r="P104" s="191">
        <f>Tableau4[[#This Row],[Couverture 0 (%)]]*Tableau4[[#This Row],[Nombres appareils installés]]</f>
        <v>0.42463905680171854</v>
      </c>
      <c r="Q104" s="188">
        <f>($Q$4+$R$4*(Tableau4[[#This Row],[Capacité (BTU)]]/1000))*Tableau4[[#This Row],[Nombres appareils installés]]</f>
        <v>3300</v>
      </c>
      <c r="R104" s="188">
        <f>Tableau4[[#This Row],[AF 1 ($)]]/Tableau4[[#This Row],[Nombres appareils installés]]</f>
        <v>3300</v>
      </c>
      <c r="S104" s="191">
        <f>Tableau4[[#This Row],[AF 1 ($)]]/(J104*D104)</f>
        <v>0.55598611719513436</v>
      </c>
      <c r="T104" s="191">
        <f>Tableau4[[#This Row],[Couverture 1 (%)]]*Tableau4[[#This Row],[Nombres appareils installés]]</f>
        <v>0.55598611719513436</v>
      </c>
      <c r="U104" s="188">
        <f>($U$4+($V$4*(Tableau4[[#This Row],[Capacité (BTU)]]/1000)))*Tableau4[[#This Row],[Nombres appareils installés]]</f>
        <v>3950</v>
      </c>
      <c r="V104" s="188">
        <f>Tableau4[[#This Row],[AF 2 ($)]]/Tableau4[[#This Row],[Nombres appareils installés]]</f>
        <v>3950</v>
      </c>
      <c r="W104" s="192">
        <f>Tableau4[[#This Row],[AF 2 par appareil ($)]]/Tableau4[[#This Row],[Surcoût par appareil ($)]]</f>
        <v>0.66549853421841831</v>
      </c>
      <c r="X104" s="192">
        <f>Tableau4[[#This Row],[Couverture 2 (%)]]*Tableau4[[#This Row],[Nombres appareils installés]]</f>
        <v>0.66549853421841831</v>
      </c>
      <c r="Y104" s="188">
        <f>($Y$4+$Z$4*(Tableau4[[#This Row],[Capacité (BTU)]]/1000))*Tableau4[[#This Row],[Nombres appareils installés]]</f>
        <v>3800</v>
      </c>
      <c r="Z104" s="188">
        <f>Tableau4[[#This Row],[AF 3 ($)]]/Tableau4[[#This Row],[Nombres appareils installés]]</f>
        <v>3800</v>
      </c>
      <c r="AA104" s="193">
        <f>Tableau4[[#This Row],[AF 3 par appareil ($)]]/Tableau4[[#This Row],[Surcoût par appareil ($)]]</f>
        <v>0.64022643798227585</v>
      </c>
      <c r="AB104" s="193">
        <f>Tableau4[[#This Row],[Couverture 3 (%)]]*Tableau4[[#This Row],[Nombres appareils installés]]</f>
        <v>0.64022643798227585</v>
      </c>
      <c r="AC104" s="188">
        <f>($AC$4+$AD$4*(Tableau4[[#This Row],[Capacité (BTU)]]/1000))*Tableau4[[#This Row],[Nombres appareils installés]]</f>
        <v>3240</v>
      </c>
      <c r="AD104" s="188">
        <f>Tableau4[[#This Row],[AF 4 ($)]]/Tableau4[[#This Row],[Nombres appareils installés]]</f>
        <v>3240</v>
      </c>
      <c r="AE104" s="194">
        <f>Tableau4[[#This Row],[Couverture 4 (%)]]*Tableau4[[#This Row],[Nombres appareils installés]]</f>
        <v>0.54587727870067737</v>
      </c>
      <c r="AF104" s="193">
        <f>Tableau4[[#This Row],[AF 4 par appareil  ($)]]/Tableau4[[#This Row],[Surcoût par appareil ($)]]</f>
        <v>0.54587727870067737</v>
      </c>
    </row>
    <row r="105" spans="2:32" x14ac:dyDescent="0.3">
      <c r="B105" s="195" t="s">
        <v>141</v>
      </c>
      <c r="C105" s="188" t="s">
        <v>182</v>
      </c>
      <c r="D105" s="188">
        <v>1</v>
      </c>
      <c r="E105" s="188">
        <v>260000</v>
      </c>
      <c r="F105" s="196">
        <f>Tableau4[[#This Row],[Economies totales (m3)]]/Tableau4[[#This Row],[Nombres appareils installés]]</f>
        <v>1313</v>
      </c>
      <c r="G105" s="190">
        <v>1313</v>
      </c>
      <c r="H105" s="188">
        <f t="shared" si="2"/>
        <v>3535.3999999999996</v>
      </c>
      <c r="I105" s="188">
        <v>2400</v>
      </c>
      <c r="J105" s="188">
        <f>Tableau4[[#This Row],[Surcoût moyens de l''équipement ($)]]+Tableau4[[#This Row],[Surcoût moyen de l''installation ($)]]</f>
        <v>5935.4</v>
      </c>
      <c r="K105" s="188">
        <f>Tableau4[[#This Row],[Surcoût par appareil ($)]]*Tableau4[[#This Row],[Nombres appareils installés]]</f>
        <v>5935.4</v>
      </c>
      <c r="L105" s="190">
        <v>1700</v>
      </c>
      <c r="M105" s="188">
        <f t="shared" si="3"/>
        <v>2200</v>
      </c>
      <c r="N105" s="188">
        <f>Tableau4[[#This Row],[AF 0 ($)]]/Tableau4[[#This Row],[Nombres appareils installés]]</f>
        <v>2200</v>
      </c>
      <c r="O105" s="191">
        <f>(Tableau4[[#This Row],[AF accordée ($)]])/($J$6*D105)</f>
        <v>0.42463905680171854</v>
      </c>
      <c r="P105" s="191">
        <f>Tableau4[[#This Row],[Couverture 0 (%)]]*Tableau4[[#This Row],[Nombres appareils installés]]</f>
        <v>0.42463905680171854</v>
      </c>
      <c r="Q105" s="188">
        <f>($Q$4+$R$4*(Tableau4[[#This Row],[Capacité (BTU)]]/1000))*Tableau4[[#This Row],[Nombres appareils installés]]</f>
        <v>3300</v>
      </c>
      <c r="R105" s="188">
        <f>Tableau4[[#This Row],[AF 1 ($)]]/Tableau4[[#This Row],[Nombres appareils installés]]</f>
        <v>3300</v>
      </c>
      <c r="S105" s="191">
        <f>Tableau4[[#This Row],[AF 1 ($)]]/(J105*D105)</f>
        <v>0.55598611719513436</v>
      </c>
      <c r="T105" s="191">
        <f>Tableau4[[#This Row],[Couverture 1 (%)]]*Tableau4[[#This Row],[Nombres appareils installés]]</f>
        <v>0.55598611719513436</v>
      </c>
      <c r="U105" s="188">
        <f>($U$4+($V$4*(Tableau4[[#This Row],[Capacité (BTU)]]/1000)))*Tableau4[[#This Row],[Nombres appareils installés]]</f>
        <v>3950</v>
      </c>
      <c r="V105" s="188">
        <f>Tableau4[[#This Row],[AF 2 ($)]]/Tableau4[[#This Row],[Nombres appareils installés]]</f>
        <v>3950</v>
      </c>
      <c r="W105" s="192">
        <f>Tableau4[[#This Row],[AF 2 par appareil ($)]]/Tableau4[[#This Row],[Surcoût par appareil ($)]]</f>
        <v>0.66549853421841831</v>
      </c>
      <c r="X105" s="192">
        <f>Tableau4[[#This Row],[Couverture 2 (%)]]*Tableau4[[#This Row],[Nombres appareils installés]]</f>
        <v>0.66549853421841831</v>
      </c>
      <c r="Y105" s="188">
        <f>($Y$4+$Z$4*(Tableau4[[#This Row],[Capacité (BTU)]]/1000))*Tableau4[[#This Row],[Nombres appareils installés]]</f>
        <v>3800</v>
      </c>
      <c r="Z105" s="188">
        <f>Tableau4[[#This Row],[AF 3 ($)]]/Tableau4[[#This Row],[Nombres appareils installés]]</f>
        <v>3800</v>
      </c>
      <c r="AA105" s="193">
        <f>Tableau4[[#This Row],[AF 3 par appareil ($)]]/Tableau4[[#This Row],[Surcoût par appareil ($)]]</f>
        <v>0.64022643798227585</v>
      </c>
      <c r="AB105" s="193">
        <f>Tableau4[[#This Row],[Couverture 3 (%)]]*Tableau4[[#This Row],[Nombres appareils installés]]</f>
        <v>0.64022643798227585</v>
      </c>
      <c r="AC105" s="188">
        <f>($AC$4+$AD$4*(Tableau4[[#This Row],[Capacité (BTU)]]/1000))*Tableau4[[#This Row],[Nombres appareils installés]]</f>
        <v>3240</v>
      </c>
      <c r="AD105" s="188">
        <f>Tableau4[[#This Row],[AF 4 ($)]]/Tableau4[[#This Row],[Nombres appareils installés]]</f>
        <v>3240</v>
      </c>
      <c r="AE105" s="194">
        <f>Tableau4[[#This Row],[Couverture 4 (%)]]*Tableau4[[#This Row],[Nombres appareils installés]]</f>
        <v>0.54587727870067737</v>
      </c>
      <c r="AF105" s="193">
        <f>Tableau4[[#This Row],[AF 4 par appareil  ($)]]/Tableau4[[#This Row],[Surcoût par appareil ($)]]</f>
        <v>0.54587727870067737</v>
      </c>
    </row>
    <row r="106" spans="2:32" x14ac:dyDescent="0.3">
      <c r="B106" s="195" t="s">
        <v>141</v>
      </c>
      <c r="C106" s="188" t="s">
        <v>154</v>
      </c>
      <c r="D106" s="188">
        <v>1</v>
      </c>
      <c r="E106" s="188">
        <v>260000</v>
      </c>
      <c r="F106" s="196">
        <f>Tableau4[[#This Row],[Economies totales (m3)]]/Tableau4[[#This Row],[Nombres appareils installés]]</f>
        <v>1313</v>
      </c>
      <c r="G106" s="190">
        <v>1313</v>
      </c>
      <c r="H106" s="188">
        <f t="shared" si="2"/>
        <v>3535.3999999999996</v>
      </c>
      <c r="I106" s="188">
        <v>2400</v>
      </c>
      <c r="J106" s="188">
        <f>Tableau4[[#This Row],[Surcoût moyens de l''équipement ($)]]+Tableau4[[#This Row],[Surcoût moyen de l''installation ($)]]</f>
        <v>5935.4</v>
      </c>
      <c r="K106" s="188">
        <f>Tableau4[[#This Row],[Surcoût par appareil ($)]]*Tableau4[[#This Row],[Nombres appareils installés]]</f>
        <v>5935.4</v>
      </c>
      <c r="L106" s="190">
        <v>1700</v>
      </c>
      <c r="M106" s="188">
        <f t="shared" si="3"/>
        <v>2200</v>
      </c>
      <c r="N106" s="188">
        <f>Tableau4[[#This Row],[AF 0 ($)]]/Tableau4[[#This Row],[Nombres appareils installés]]</f>
        <v>2200</v>
      </c>
      <c r="O106" s="191">
        <f>(Tableau4[[#This Row],[AF accordée ($)]])/($J$6*D106)</f>
        <v>0.42463905680171854</v>
      </c>
      <c r="P106" s="191">
        <f>Tableau4[[#This Row],[Couverture 0 (%)]]*Tableau4[[#This Row],[Nombres appareils installés]]</f>
        <v>0.42463905680171854</v>
      </c>
      <c r="Q106" s="188">
        <f>($Q$4+$R$4*(Tableau4[[#This Row],[Capacité (BTU)]]/1000))*Tableau4[[#This Row],[Nombres appareils installés]]</f>
        <v>3300</v>
      </c>
      <c r="R106" s="188">
        <f>Tableau4[[#This Row],[AF 1 ($)]]/Tableau4[[#This Row],[Nombres appareils installés]]</f>
        <v>3300</v>
      </c>
      <c r="S106" s="191">
        <f>Tableau4[[#This Row],[AF 1 ($)]]/(J106*D106)</f>
        <v>0.55598611719513436</v>
      </c>
      <c r="T106" s="191">
        <f>Tableau4[[#This Row],[Couverture 1 (%)]]*Tableau4[[#This Row],[Nombres appareils installés]]</f>
        <v>0.55598611719513436</v>
      </c>
      <c r="U106" s="188">
        <f>($U$4+($V$4*(Tableau4[[#This Row],[Capacité (BTU)]]/1000)))*Tableau4[[#This Row],[Nombres appareils installés]]</f>
        <v>3950</v>
      </c>
      <c r="V106" s="188">
        <f>Tableau4[[#This Row],[AF 2 ($)]]/Tableau4[[#This Row],[Nombres appareils installés]]</f>
        <v>3950</v>
      </c>
      <c r="W106" s="192">
        <f>Tableau4[[#This Row],[AF 2 par appareil ($)]]/Tableau4[[#This Row],[Surcoût par appareil ($)]]</f>
        <v>0.66549853421841831</v>
      </c>
      <c r="X106" s="192">
        <f>Tableau4[[#This Row],[Couverture 2 (%)]]*Tableau4[[#This Row],[Nombres appareils installés]]</f>
        <v>0.66549853421841831</v>
      </c>
      <c r="Y106" s="188">
        <f>($Y$4+$Z$4*(Tableau4[[#This Row],[Capacité (BTU)]]/1000))*Tableau4[[#This Row],[Nombres appareils installés]]</f>
        <v>3800</v>
      </c>
      <c r="Z106" s="188">
        <f>Tableau4[[#This Row],[AF 3 ($)]]/Tableau4[[#This Row],[Nombres appareils installés]]</f>
        <v>3800</v>
      </c>
      <c r="AA106" s="193">
        <f>Tableau4[[#This Row],[AF 3 par appareil ($)]]/Tableau4[[#This Row],[Surcoût par appareil ($)]]</f>
        <v>0.64022643798227585</v>
      </c>
      <c r="AB106" s="193">
        <f>Tableau4[[#This Row],[Couverture 3 (%)]]*Tableau4[[#This Row],[Nombres appareils installés]]</f>
        <v>0.64022643798227585</v>
      </c>
      <c r="AC106" s="188">
        <f>($AC$4+$AD$4*(Tableau4[[#This Row],[Capacité (BTU)]]/1000))*Tableau4[[#This Row],[Nombres appareils installés]]</f>
        <v>3240</v>
      </c>
      <c r="AD106" s="188">
        <f>Tableau4[[#This Row],[AF 4 ($)]]/Tableau4[[#This Row],[Nombres appareils installés]]</f>
        <v>3240</v>
      </c>
      <c r="AE106" s="194">
        <f>Tableau4[[#This Row],[Couverture 4 (%)]]*Tableau4[[#This Row],[Nombres appareils installés]]</f>
        <v>0.54587727870067737</v>
      </c>
      <c r="AF106" s="193">
        <f>Tableau4[[#This Row],[AF 4 par appareil  ($)]]/Tableau4[[#This Row],[Surcoût par appareil ($)]]</f>
        <v>0.54587727870067737</v>
      </c>
    </row>
    <row r="107" spans="2:32" x14ac:dyDescent="0.3">
      <c r="B107" s="195" t="s">
        <v>141</v>
      </c>
      <c r="C107" s="188" t="s">
        <v>183</v>
      </c>
      <c r="D107" s="188">
        <v>2</v>
      </c>
      <c r="E107" s="188">
        <v>260000</v>
      </c>
      <c r="F107" s="196">
        <f>Tableau4[[#This Row],[Economies totales (m3)]]/Tableau4[[#This Row],[Nombres appareils installés]]</f>
        <v>1313</v>
      </c>
      <c r="G107" s="190">
        <v>2626</v>
      </c>
      <c r="H107" s="188">
        <f t="shared" si="2"/>
        <v>3535.3999999999996</v>
      </c>
      <c r="I107" s="188">
        <v>2400</v>
      </c>
      <c r="J107" s="188">
        <f>Tableau4[[#This Row],[Surcoût moyens de l''équipement ($)]]+Tableau4[[#This Row],[Surcoût moyen de l''installation ($)]]</f>
        <v>5935.4</v>
      </c>
      <c r="K107" s="188">
        <f>Tableau4[[#This Row],[Surcoût par appareil ($)]]*Tableau4[[#This Row],[Nombres appareils installés]]</f>
        <v>11870.8</v>
      </c>
      <c r="L107" s="190">
        <v>3400</v>
      </c>
      <c r="M107" s="188">
        <f t="shared" si="3"/>
        <v>4400</v>
      </c>
      <c r="N107" s="188">
        <f>Tableau4[[#This Row],[AF 0 ($)]]/Tableau4[[#This Row],[Nombres appareils installés]]</f>
        <v>2200</v>
      </c>
      <c r="O107" s="191">
        <f>(Tableau4[[#This Row],[AF accordée ($)]])/($J$6*D107)</f>
        <v>0.42463905680171854</v>
      </c>
      <c r="P107" s="191">
        <f>Tableau4[[#This Row],[Couverture 0 (%)]]*Tableau4[[#This Row],[Nombres appareils installés]]</f>
        <v>0.84927811360343708</v>
      </c>
      <c r="Q107" s="188">
        <f>($Q$4+$R$4*(Tableau4[[#This Row],[Capacité (BTU)]]/1000))*Tableau4[[#This Row],[Nombres appareils installés]]</f>
        <v>6600</v>
      </c>
      <c r="R107" s="188">
        <f>Tableau4[[#This Row],[AF 1 ($)]]/Tableau4[[#This Row],[Nombres appareils installés]]</f>
        <v>3300</v>
      </c>
      <c r="S107" s="191">
        <f>Tableau4[[#This Row],[AF 1 ($)]]/(J107*D107)</f>
        <v>0.55598611719513436</v>
      </c>
      <c r="T107" s="191">
        <f>Tableau4[[#This Row],[Couverture 1 (%)]]*Tableau4[[#This Row],[Nombres appareils installés]]</f>
        <v>1.1119722343902687</v>
      </c>
      <c r="U107" s="188">
        <f>($U$4+($V$4*(Tableau4[[#This Row],[Capacité (BTU)]]/1000)))*Tableau4[[#This Row],[Nombres appareils installés]]</f>
        <v>7900</v>
      </c>
      <c r="V107" s="188">
        <f>Tableau4[[#This Row],[AF 2 ($)]]/Tableau4[[#This Row],[Nombres appareils installés]]</f>
        <v>3950</v>
      </c>
      <c r="W107" s="192">
        <f>Tableau4[[#This Row],[AF 2 par appareil ($)]]/Tableau4[[#This Row],[Surcoût par appareil ($)]]</f>
        <v>0.66549853421841831</v>
      </c>
      <c r="X107" s="192">
        <f>Tableau4[[#This Row],[Couverture 2 (%)]]*Tableau4[[#This Row],[Nombres appareils installés]]</f>
        <v>1.3309970684368366</v>
      </c>
      <c r="Y107" s="188">
        <f>($Y$4+$Z$4*(Tableau4[[#This Row],[Capacité (BTU)]]/1000))*Tableau4[[#This Row],[Nombres appareils installés]]</f>
        <v>7600</v>
      </c>
      <c r="Z107" s="188">
        <f>Tableau4[[#This Row],[AF 3 ($)]]/Tableau4[[#This Row],[Nombres appareils installés]]</f>
        <v>3800</v>
      </c>
      <c r="AA107" s="193">
        <f>Tableau4[[#This Row],[AF 3 par appareil ($)]]/Tableau4[[#This Row],[Surcoût par appareil ($)]]</f>
        <v>0.64022643798227585</v>
      </c>
      <c r="AB107" s="193">
        <f>Tableau4[[#This Row],[Couverture 3 (%)]]*Tableau4[[#This Row],[Nombres appareils installés]]</f>
        <v>1.2804528759645517</v>
      </c>
      <c r="AC107" s="188">
        <f>($AC$4+$AD$4*(Tableau4[[#This Row],[Capacité (BTU)]]/1000))*Tableau4[[#This Row],[Nombres appareils installés]]</f>
        <v>6480</v>
      </c>
      <c r="AD107" s="188">
        <f>Tableau4[[#This Row],[AF 4 ($)]]/Tableau4[[#This Row],[Nombres appareils installés]]</f>
        <v>3240</v>
      </c>
      <c r="AE107" s="194">
        <f>Tableau4[[#This Row],[Couverture 4 (%)]]*Tableau4[[#This Row],[Nombres appareils installés]]</f>
        <v>1.0917545574013547</v>
      </c>
      <c r="AF107" s="193">
        <f>Tableau4[[#This Row],[AF 4 par appareil  ($)]]/Tableau4[[#This Row],[Surcoût par appareil ($)]]</f>
        <v>0.54587727870067737</v>
      </c>
    </row>
    <row r="108" spans="2:32" x14ac:dyDescent="0.3">
      <c r="B108" s="195" t="s">
        <v>141</v>
      </c>
      <c r="C108" s="188" t="s">
        <v>184</v>
      </c>
      <c r="D108" s="188">
        <v>4</v>
      </c>
      <c r="E108" s="188">
        <v>260000</v>
      </c>
      <c r="F108" s="196">
        <f>Tableau4[[#This Row],[Economies totales (m3)]]/Tableau4[[#This Row],[Nombres appareils installés]]</f>
        <v>1313</v>
      </c>
      <c r="G108" s="190">
        <v>5252</v>
      </c>
      <c r="H108" s="188">
        <f t="shared" si="2"/>
        <v>3535.3999999999996</v>
      </c>
      <c r="I108" s="188">
        <v>2400</v>
      </c>
      <c r="J108" s="188">
        <f>Tableau4[[#This Row],[Surcoût moyens de l''équipement ($)]]+Tableau4[[#This Row],[Surcoût moyen de l''installation ($)]]</f>
        <v>5935.4</v>
      </c>
      <c r="K108" s="188">
        <f>Tableau4[[#This Row],[Surcoût par appareil ($)]]*Tableau4[[#This Row],[Nombres appareils installés]]</f>
        <v>23741.599999999999</v>
      </c>
      <c r="L108" s="190">
        <v>6800</v>
      </c>
      <c r="M108" s="188">
        <f t="shared" si="3"/>
        <v>8800</v>
      </c>
      <c r="N108" s="188">
        <f>Tableau4[[#This Row],[AF 0 ($)]]/Tableau4[[#This Row],[Nombres appareils installés]]</f>
        <v>2200</v>
      </c>
      <c r="O108" s="191">
        <f>(Tableau4[[#This Row],[AF accordée ($)]])/($J$6*D108)</f>
        <v>0.42463905680171854</v>
      </c>
      <c r="P108" s="191">
        <f>Tableau4[[#This Row],[Couverture 0 (%)]]*Tableau4[[#This Row],[Nombres appareils installés]]</f>
        <v>1.6985562272068742</v>
      </c>
      <c r="Q108" s="188">
        <f>($Q$4+$R$4*(Tableau4[[#This Row],[Capacité (BTU)]]/1000))*Tableau4[[#This Row],[Nombres appareils installés]]</f>
        <v>13200</v>
      </c>
      <c r="R108" s="188">
        <f>Tableau4[[#This Row],[AF 1 ($)]]/Tableau4[[#This Row],[Nombres appareils installés]]</f>
        <v>3300</v>
      </c>
      <c r="S108" s="191">
        <f>Tableau4[[#This Row],[AF 1 ($)]]/(J108*D108)</f>
        <v>0.55598611719513436</v>
      </c>
      <c r="T108" s="191">
        <f>Tableau4[[#This Row],[Couverture 1 (%)]]*Tableau4[[#This Row],[Nombres appareils installés]]</f>
        <v>2.2239444687805374</v>
      </c>
      <c r="U108" s="188">
        <f>($U$4+($V$4*(Tableau4[[#This Row],[Capacité (BTU)]]/1000)))*Tableau4[[#This Row],[Nombres appareils installés]]</f>
        <v>15800</v>
      </c>
      <c r="V108" s="188">
        <f>Tableau4[[#This Row],[AF 2 ($)]]/Tableau4[[#This Row],[Nombres appareils installés]]</f>
        <v>3950</v>
      </c>
      <c r="W108" s="192">
        <f>Tableau4[[#This Row],[AF 2 par appareil ($)]]/Tableau4[[#This Row],[Surcoût par appareil ($)]]</f>
        <v>0.66549853421841831</v>
      </c>
      <c r="X108" s="192">
        <f>Tableau4[[#This Row],[Couverture 2 (%)]]*Tableau4[[#This Row],[Nombres appareils installés]]</f>
        <v>2.6619941368736733</v>
      </c>
      <c r="Y108" s="188">
        <f>($Y$4+$Z$4*(Tableau4[[#This Row],[Capacité (BTU)]]/1000))*Tableau4[[#This Row],[Nombres appareils installés]]</f>
        <v>15200</v>
      </c>
      <c r="Z108" s="188">
        <f>Tableau4[[#This Row],[AF 3 ($)]]/Tableau4[[#This Row],[Nombres appareils installés]]</f>
        <v>3800</v>
      </c>
      <c r="AA108" s="193">
        <f>Tableau4[[#This Row],[AF 3 par appareil ($)]]/Tableau4[[#This Row],[Surcoût par appareil ($)]]</f>
        <v>0.64022643798227585</v>
      </c>
      <c r="AB108" s="193">
        <f>Tableau4[[#This Row],[Couverture 3 (%)]]*Tableau4[[#This Row],[Nombres appareils installés]]</f>
        <v>2.5609057519291034</v>
      </c>
      <c r="AC108" s="188">
        <f>($AC$4+$AD$4*(Tableau4[[#This Row],[Capacité (BTU)]]/1000))*Tableau4[[#This Row],[Nombres appareils installés]]</f>
        <v>12960</v>
      </c>
      <c r="AD108" s="188">
        <f>Tableau4[[#This Row],[AF 4 ($)]]/Tableau4[[#This Row],[Nombres appareils installés]]</f>
        <v>3240</v>
      </c>
      <c r="AE108" s="194">
        <f>Tableau4[[#This Row],[Couverture 4 (%)]]*Tableau4[[#This Row],[Nombres appareils installés]]</f>
        <v>2.1835091148027095</v>
      </c>
      <c r="AF108" s="193">
        <f>Tableau4[[#This Row],[AF 4 par appareil  ($)]]/Tableau4[[#This Row],[Surcoût par appareil ($)]]</f>
        <v>0.54587727870067737</v>
      </c>
    </row>
    <row r="109" spans="2:32" x14ac:dyDescent="0.3">
      <c r="B109" s="195" t="s">
        <v>141</v>
      </c>
      <c r="C109" s="188" t="s">
        <v>185</v>
      </c>
      <c r="D109" s="188">
        <v>1</v>
      </c>
      <c r="E109" s="188">
        <v>310000</v>
      </c>
      <c r="F109" s="196">
        <f>Tableau4[[#This Row],[Economies totales (m3)]]/Tableau4[[#This Row],[Nombres appareils installés]]</f>
        <v>1565.5</v>
      </c>
      <c r="G109" s="190">
        <v>1565.5</v>
      </c>
      <c r="H109" s="188">
        <f t="shared" si="2"/>
        <v>4385.3999999999996</v>
      </c>
      <c r="I109" s="188">
        <v>2400</v>
      </c>
      <c r="J109" s="188">
        <f>Tableau4[[#This Row],[Surcoût moyens de l''équipement ($)]]+Tableau4[[#This Row],[Surcoût moyen de l''installation ($)]]</f>
        <v>6785.4</v>
      </c>
      <c r="K109" s="188">
        <f>Tableau4[[#This Row],[Surcoût par appareil ($)]]*Tableau4[[#This Row],[Nombres appareils installés]]</f>
        <v>6785.4</v>
      </c>
      <c r="L109" s="190">
        <v>1700</v>
      </c>
      <c r="M109" s="188">
        <f t="shared" si="3"/>
        <v>2450</v>
      </c>
      <c r="N109" s="188">
        <f>Tableau4[[#This Row],[AF 0 ($)]]/Tableau4[[#This Row],[Nombres appareils installés]]</f>
        <v>2450</v>
      </c>
      <c r="O109" s="191">
        <f>(Tableau4[[#This Row],[AF accordée ($)]])/($J$6*D109)</f>
        <v>0.42463905680171854</v>
      </c>
      <c r="P109" s="191">
        <f>Tableau4[[#This Row],[Couverture 0 (%)]]*Tableau4[[#This Row],[Nombres appareils installés]]</f>
        <v>0.42463905680171854</v>
      </c>
      <c r="Q109" s="188">
        <f>($Q$4+$R$4*(Tableau4[[#This Row],[Capacité (BTU)]]/1000))*Tableau4[[#This Row],[Nombres appareils installés]]</f>
        <v>3550</v>
      </c>
      <c r="R109" s="188">
        <f>Tableau4[[#This Row],[AF 1 ($)]]/Tableau4[[#This Row],[Nombres appareils installés]]</f>
        <v>3550</v>
      </c>
      <c r="S109" s="191">
        <f>Tableau4[[#This Row],[AF 1 ($)]]/(J109*D109)</f>
        <v>0.52318212633006167</v>
      </c>
      <c r="T109" s="191">
        <f>Tableau4[[#This Row],[Couverture 1 (%)]]*Tableau4[[#This Row],[Nombres appareils installés]]</f>
        <v>0.52318212633006167</v>
      </c>
      <c r="U109" s="188">
        <f>($U$4+($V$4*(Tableau4[[#This Row],[Capacité (BTU)]]/1000)))*Tableau4[[#This Row],[Nombres appareils installés]]</f>
        <v>4325</v>
      </c>
      <c r="V109" s="188">
        <f>Tableau4[[#This Row],[AF 2 ($)]]/Tableau4[[#This Row],[Nombres appareils installés]]</f>
        <v>4325</v>
      </c>
      <c r="W109" s="192">
        <f>Tableau4[[#This Row],[AF 2 par appareil ($)]]/Tableau4[[#This Row],[Surcoût par appareil ($)]]</f>
        <v>0.63739794264155392</v>
      </c>
      <c r="X109" s="192">
        <f>Tableau4[[#This Row],[Couverture 2 (%)]]*Tableau4[[#This Row],[Nombres appareils installés]]</f>
        <v>0.63739794264155392</v>
      </c>
      <c r="Y109" s="188">
        <f>($Y$4+$Z$4*(Tableau4[[#This Row],[Capacité (BTU)]]/1000))*Tableau4[[#This Row],[Nombres appareils installés]]</f>
        <v>4050</v>
      </c>
      <c r="Z109" s="188">
        <f>Tableau4[[#This Row],[AF 3 ($)]]/Tableau4[[#This Row],[Nombres appareils installés]]</f>
        <v>4050</v>
      </c>
      <c r="AA109" s="193">
        <f>Tableau4[[#This Row],[AF 3 par appareil ($)]]/Tableau4[[#This Row],[Surcoût par appareil ($)]]</f>
        <v>0.59686974975683083</v>
      </c>
      <c r="AB109" s="193">
        <f>Tableau4[[#This Row],[Couverture 3 (%)]]*Tableau4[[#This Row],[Nombres appareils installés]]</f>
        <v>0.59686974975683083</v>
      </c>
      <c r="AC109" s="188">
        <f>($AC$4+$AD$4*(Tableau4[[#This Row],[Capacité (BTU)]]/1000))*Tableau4[[#This Row],[Nombres appareils installés]]</f>
        <v>3440</v>
      </c>
      <c r="AD109" s="188">
        <f>Tableau4[[#This Row],[AF 4 ($)]]/Tableau4[[#This Row],[Nombres appareils installés]]</f>
        <v>3440</v>
      </c>
      <c r="AE109" s="194">
        <f>Tableau4[[#This Row],[Couverture 4 (%)]]*Tableau4[[#This Row],[Nombres appareils installés]]</f>
        <v>0.50697084917617241</v>
      </c>
      <c r="AF109" s="193">
        <f>Tableau4[[#This Row],[AF 4 par appareil  ($)]]/Tableau4[[#This Row],[Surcoût par appareil ($)]]</f>
        <v>0.50697084917617241</v>
      </c>
    </row>
    <row r="110" spans="2:32" x14ac:dyDescent="0.3">
      <c r="B110" s="195" t="s">
        <v>141</v>
      </c>
      <c r="C110" s="188" t="s">
        <v>186</v>
      </c>
      <c r="D110" s="188">
        <v>1</v>
      </c>
      <c r="E110" s="188">
        <v>310000</v>
      </c>
      <c r="F110" s="196">
        <f>Tableau4[[#This Row],[Economies totales (m3)]]/Tableau4[[#This Row],[Nombres appareils installés]]</f>
        <v>1565.5</v>
      </c>
      <c r="G110" s="190">
        <v>1565.5</v>
      </c>
      <c r="H110" s="188">
        <f t="shared" si="2"/>
        <v>4385.3999999999996</v>
      </c>
      <c r="I110" s="188">
        <v>2400</v>
      </c>
      <c r="J110" s="188">
        <f>Tableau4[[#This Row],[Surcoût moyens de l''équipement ($)]]+Tableau4[[#This Row],[Surcoût moyen de l''installation ($)]]</f>
        <v>6785.4</v>
      </c>
      <c r="K110" s="188">
        <f>Tableau4[[#This Row],[Surcoût par appareil ($)]]*Tableau4[[#This Row],[Nombres appareils installés]]</f>
        <v>6785.4</v>
      </c>
      <c r="L110" s="190">
        <v>1700</v>
      </c>
      <c r="M110" s="188">
        <f t="shared" si="3"/>
        <v>2450</v>
      </c>
      <c r="N110" s="188">
        <f>Tableau4[[#This Row],[AF 0 ($)]]/Tableau4[[#This Row],[Nombres appareils installés]]</f>
        <v>2450</v>
      </c>
      <c r="O110" s="191">
        <f>(Tableau4[[#This Row],[AF accordée ($)]])/($J$6*D110)</f>
        <v>0.42463905680171854</v>
      </c>
      <c r="P110" s="191">
        <f>Tableau4[[#This Row],[Couverture 0 (%)]]*Tableau4[[#This Row],[Nombres appareils installés]]</f>
        <v>0.42463905680171854</v>
      </c>
      <c r="Q110" s="188">
        <f>($Q$4+$R$4*(Tableau4[[#This Row],[Capacité (BTU)]]/1000))*Tableau4[[#This Row],[Nombres appareils installés]]</f>
        <v>3550</v>
      </c>
      <c r="R110" s="188">
        <f>Tableau4[[#This Row],[AF 1 ($)]]/Tableau4[[#This Row],[Nombres appareils installés]]</f>
        <v>3550</v>
      </c>
      <c r="S110" s="191">
        <f>Tableau4[[#This Row],[AF 1 ($)]]/(J110*D110)</f>
        <v>0.52318212633006167</v>
      </c>
      <c r="T110" s="191">
        <f>Tableau4[[#This Row],[Couverture 1 (%)]]*Tableau4[[#This Row],[Nombres appareils installés]]</f>
        <v>0.52318212633006167</v>
      </c>
      <c r="U110" s="188">
        <f>($U$4+($V$4*(Tableau4[[#This Row],[Capacité (BTU)]]/1000)))*Tableau4[[#This Row],[Nombres appareils installés]]</f>
        <v>4325</v>
      </c>
      <c r="V110" s="188">
        <f>Tableau4[[#This Row],[AF 2 ($)]]/Tableau4[[#This Row],[Nombres appareils installés]]</f>
        <v>4325</v>
      </c>
      <c r="W110" s="192">
        <f>Tableau4[[#This Row],[AF 2 par appareil ($)]]/Tableau4[[#This Row],[Surcoût par appareil ($)]]</f>
        <v>0.63739794264155392</v>
      </c>
      <c r="X110" s="192">
        <f>Tableau4[[#This Row],[Couverture 2 (%)]]*Tableau4[[#This Row],[Nombres appareils installés]]</f>
        <v>0.63739794264155392</v>
      </c>
      <c r="Y110" s="188">
        <f>($Y$4+$Z$4*(Tableau4[[#This Row],[Capacité (BTU)]]/1000))*Tableau4[[#This Row],[Nombres appareils installés]]</f>
        <v>4050</v>
      </c>
      <c r="Z110" s="188">
        <f>Tableau4[[#This Row],[AF 3 ($)]]/Tableau4[[#This Row],[Nombres appareils installés]]</f>
        <v>4050</v>
      </c>
      <c r="AA110" s="193">
        <f>Tableau4[[#This Row],[AF 3 par appareil ($)]]/Tableau4[[#This Row],[Surcoût par appareil ($)]]</f>
        <v>0.59686974975683083</v>
      </c>
      <c r="AB110" s="193">
        <f>Tableau4[[#This Row],[Couverture 3 (%)]]*Tableau4[[#This Row],[Nombres appareils installés]]</f>
        <v>0.59686974975683083</v>
      </c>
      <c r="AC110" s="188">
        <f>($AC$4+$AD$4*(Tableau4[[#This Row],[Capacité (BTU)]]/1000))*Tableau4[[#This Row],[Nombres appareils installés]]</f>
        <v>3440</v>
      </c>
      <c r="AD110" s="188">
        <f>Tableau4[[#This Row],[AF 4 ($)]]/Tableau4[[#This Row],[Nombres appareils installés]]</f>
        <v>3440</v>
      </c>
      <c r="AE110" s="194">
        <f>Tableau4[[#This Row],[Couverture 4 (%)]]*Tableau4[[#This Row],[Nombres appareils installés]]</f>
        <v>0.50697084917617241</v>
      </c>
      <c r="AF110" s="193">
        <f>Tableau4[[#This Row],[AF 4 par appareil  ($)]]/Tableau4[[#This Row],[Surcoût par appareil ($)]]</f>
        <v>0.50697084917617241</v>
      </c>
    </row>
    <row r="111" spans="2:32" x14ac:dyDescent="0.3">
      <c r="B111" s="195" t="s">
        <v>141</v>
      </c>
      <c r="C111" s="188" t="s">
        <v>187</v>
      </c>
      <c r="D111" s="188">
        <v>2</v>
      </c>
      <c r="E111" s="188">
        <v>310000</v>
      </c>
      <c r="F111" s="196">
        <f>Tableau4[[#This Row],[Economies totales (m3)]]/Tableau4[[#This Row],[Nombres appareils installés]]</f>
        <v>1565.5</v>
      </c>
      <c r="G111" s="190">
        <v>3131</v>
      </c>
      <c r="H111" s="188">
        <f t="shared" si="2"/>
        <v>4385.3999999999996</v>
      </c>
      <c r="I111" s="188">
        <v>2400</v>
      </c>
      <c r="J111" s="188">
        <f>Tableau4[[#This Row],[Surcoût moyens de l''équipement ($)]]+Tableau4[[#This Row],[Surcoût moyen de l''installation ($)]]</f>
        <v>6785.4</v>
      </c>
      <c r="K111" s="188">
        <f>Tableau4[[#This Row],[Surcoût par appareil ($)]]*Tableau4[[#This Row],[Nombres appareils installés]]</f>
        <v>13570.8</v>
      </c>
      <c r="L111" s="190">
        <v>3400</v>
      </c>
      <c r="M111" s="188">
        <f t="shared" si="3"/>
        <v>4900</v>
      </c>
      <c r="N111" s="188">
        <f>Tableau4[[#This Row],[AF 0 ($)]]/Tableau4[[#This Row],[Nombres appareils installés]]</f>
        <v>2450</v>
      </c>
      <c r="O111" s="191">
        <f>(Tableau4[[#This Row],[AF accordée ($)]])/($J$6*D111)</f>
        <v>0.42463905680171854</v>
      </c>
      <c r="P111" s="191">
        <f>Tableau4[[#This Row],[Couverture 0 (%)]]*Tableau4[[#This Row],[Nombres appareils installés]]</f>
        <v>0.84927811360343708</v>
      </c>
      <c r="Q111" s="188">
        <f>($Q$4+$R$4*(Tableau4[[#This Row],[Capacité (BTU)]]/1000))*Tableau4[[#This Row],[Nombres appareils installés]]</f>
        <v>7100</v>
      </c>
      <c r="R111" s="188">
        <f>Tableau4[[#This Row],[AF 1 ($)]]/Tableau4[[#This Row],[Nombres appareils installés]]</f>
        <v>3550</v>
      </c>
      <c r="S111" s="191">
        <f>Tableau4[[#This Row],[AF 1 ($)]]/(J111*D111)</f>
        <v>0.52318212633006167</v>
      </c>
      <c r="T111" s="191">
        <f>Tableau4[[#This Row],[Couverture 1 (%)]]*Tableau4[[#This Row],[Nombres appareils installés]]</f>
        <v>1.0463642526601233</v>
      </c>
      <c r="U111" s="188">
        <f>($U$4+($V$4*(Tableau4[[#This Row],[Capacité (BTU)]]/1000)))*Tableau4[[#This Row],[Nombres appareils installés]]</f>
        <v>8650</v>
      </c>
      <c r="V111" s="188">
        <f>Tableau4[[#This Row],[AF 2 ($)]]/Tableau4[[#This Row],[Nombres appareils installés]]</f>
        <v>4325</v>
      </c>
      <c r="W111" s="192">
        <f>Tableau4[[#This Row],[AF 2 par appareil ($)]]/Tableau4[[#This Row],[Surcoût par appareil ($)]]</f>
        <v>0.63739794264155392</v>
      </c>
      <c r="X111" s="192">
        <f>Tableau4[[#This Row],[Couverture 2 (%)]]*Tableau4[[#This Row],[Nombres appareils installés]]</f>
        <v>1.2747958852831078</v>
      </c>
      <c r="Y111" s="188">
        <f>($Y$4+$Z$4*(Tableau4[[#This Row],[Capacité (BTU)]]/1000))*Tableau4[[#This Row],[Nombres appareils installés]]</f>
        <v>8100</v>
      </c>
      <c r="Z111" s="188">
        <f>Tableau4[[#This Row],[AF 3 ($)]]/Tableau4[[#This Row],[Nombres appareils installés]]</f>
        <v>4050</v>
      </c>
      <c r="AA111" s="193">
        <f>Tableau4[[#This Row],[AF 3 par appareil ($)]]/Tableau4[[#This Row],[Surcoût par appareil ($)]]</f>
        <v>0.59686974975683083</v>
      </c>
      <c r="AB111" s="193">
        <f>Tableau4[[#This Row],[Couverture 3 (%)]]*Tableau4[[#This Row],[Nombres appareils installés]]</f>
        <v>1.1937394995136617</v>
      </c>
      <c r="AC111" s="188">
        <f>($AC$4+$AD$4*(Tableau4[[#This Row],[Capacité (BTU)]]/1000))*Tableau4[[#This Row],[Nombres appareils installés]]</f>
        <v>6880</v>
      </c>
      <c r="AD111" s="188">
        <f>Tableau4[[#This Row],[AF 4 ($)]]/Tableau4[[#This Row],[Nombres appareils installés]]</f>
        <v>3440</v>
      </c>
      <c r="AE111" s="194">
        <f>Tableau4[[#This Row],[Couverture 4 (%)]]*Tableau4[[#This Row],[Nombres appareils installés]]</f>
        <v>1.0139416983523448</v>
      </c>
      <c r="AF111" s="193">
        <f>Tableau4[[#This Row],[AF 4 par appareil  ($)]]/Tableau4[[#This Row],[Surcoût par appareil ($)]]</f>
        <v>0.50697084917617241</v>
      </c>
    </row>
    <row r="112" spans="2:32" x14ac:dyDescent="0.3">
      <c r="B112" s="195" t="s">
        <v>141</v>
      </c>
      <c r="C112" s="188" t="s">
        <v>188</v>
      </c>
      <c r="D112" s="188">
        <v>4</v>
      </c>
      <c r="E112" s="188">
        <v>310000</v>
      </c>
      <c r="F112" s="196">
        <f>Tableau4[[#This Row],[Economies totales (m3)]]/Tableau4[[#This Row],[Nombres appareils installés]]</f>
        <v>1565.5</v>
      </c>
      <c r="G112" s="190">
        <v>6262</v>
      </c>
      <c r="H112" s="188">
        <f t="shared" si="2"/>
        <v>4385.3999999999996</v>
      </c>
      <c r="I112" s="188">
        <v>2400</v>
      </c>
      <c r="J112" s="188">
        <f>Tableau4[[#This Row],[Surcoût moyens de l''équipement ($)]]+Tableau4[[#This Row],[Surcoût moyen de l''installation ($)]]</f>
        <v>6785.4</v>
      </c>
      <c r="K112" s="188">
        <f>Tableau4[[#This Row],[Surcoût par appareil ($)]]*Tableau4[[#This Row],[Nombres appareils installés]]</f>
        <v>27141.599999999999</v>
      </c>
      <c r="L112" s="190">
        <v>6800</v>
      </c>
      <c r="M112" s="188">
        <f t="shared" si="3"/>
        <v>9800</v>
      </c>
      <c r="N112" s="188">
        <f>Tableau4[[#This Row],[AF 0 ($)]]/Tableau4[[#This Row],[Nombres appareils installés]]</f>
        <v>2450</v>
      </c>
      <c r="O112" s="191">
        <f>(Tableau4[[#This Row],[AF accordée ($)]])/($J$6*D112)</f>
        <v>0.42463905680171854</v>
      </c>
      <c r="P112" s="191">
        <f>Tableau4[[#This Row],[Couverture 0 (%)]]*Tableau4[[#This Row],[Nombres appareils installés]]</f>
        <v>1.6985562272068742</v>
      </c>
      <c r="Q112" s="188">
        <f>($Q$4+$R$4*(Tableau4[[#This Row],[Capacité (BTU)]]/1000))*Tableau4[[#This Row],[Nombres appareils installés]]</f>
        <v>14200</v>
      </c>
      <c r="R112" s="188">
        <f>Tableau4[[#This Row],[AF 1 ($)]]/Tableau4[[#This Row],[Nombres appareils installés]]</f>
        <v>3550</v>
      </c>
      <c r="S112" s="191">
        <f>Tableau4[[#This Row],[AF 1 ($)]]/(J112*D112)</f>
        <v>0.52318212633006167</v>
      </c>
      <c r="T112" s="191">
        <f>Tableau4[[#This Row],[Couverture 1 (%)]]*Tableau4[[#This Row],[Nombres appareils installés]]</f>
        <v>2.0927285053202467</v>
      </c>
      <c r="U112" s="188">
        <f>($U$4+($V$4*(Tableau4[[#This Row],[Capacité (BTU)]]/1000)))*Tableau4[[#This Row],[Nombres appareils installés]]</f>
        <v>17300</v>
      </c>
      <c r="V112" s="188">
        <f>Tableau4[[#This Row],[AF 2 ($)]]/Tableau4[[#This Row],[Nombres appareils installés]]</f>
        <v>4325</v>
      </c>
      <c r="W112" s="192">
        <f>Tableau4[[#This Row],[AF 2 par appareil ($)]]/Tableau4[[#This Row],[Surcoût par appareil ($)]]</f>
        <v>0.63739794264155392</v>
      </c>
      <c r="X112" s="192">
        <f>Tableau4[[#This Row],[Couverture 2 (%)]]*Tableau4[[#This Row],[Nombres appareils installés]]</f>
        <v>2.5495917705662157</v>
      </c>
      <c r="Y112" s="188">
        <f>($Y$4+$Z$4*(Tableau4[[#This Row],[Capacité (BTU)]]/1000))*Tableau4[[#This Row],[Nombres appareils installés]]</f>
        <v>16200</v>
      </c>
      <c r="Z112" s="188">
        <f>Tableau4[[#This Row],[AF 3 ($)]]/Tableau4[[#This Row],[Nombres appareils installés]]</f>
        <v>4050</v>
      </c>
      <c r="AA112" s="193">
        <f>Tableau4[[#This Row],[AF 3 par appareil ($)]]/Tableau4[[#This Row],[Surcoût par appareil ($)]]</f>
        <v>0.59686974975683083</v>
      </c>
      <c r="AB112" s="193">
        <f>Tableau4[[#This Row],[Couverture 3 (%)]]*Tableau4[[#This Row],[Nombres appareils installés]]</f>
        <v>2.3874789990273233</v>
      </c>
      <c r="AC112" s="188">
        <f>($AC$4+$AD$4*(Tableau4[[#This Row],[Capacité (BTU)]]/1000))*Tableau4[[#This Row],[Nombres appareils installés]]</f>
        <v>13760</v>
      </c>
      <c r="AD112" s="188">
        <f>Tableau4[[#This Row],[AF 4 ($)]]/Tableau4[[#This Row],[Nombres appareils installés]]</f>
        <v>3440</v>
      </c>
      <c r="AE112" s="194">
        <f>Tableau4[[#This Row],[Couverture 4 (%)]]*Tableau4[[#This Row],[Nombres appareils installés]]</f>
        <v>2.0278833967046896</v>
      </c>
      <c r="AF112" s="193">
        <f>Tableau4[[#This Row],[AF 4 par appareil  ($)]]/Tableau4[[#This Row],[Surcoût par appareil ($)]]</f>
        <v>0.50697084917617241</v>
      </c>
    </row>
    <row r="113" spans="2:32" x14ac:dyDescent="0.3">
      <c r="B113" s="195" t="s">
        <v>141</v>
      </c>
      <c r="C113" s="188" t="s">
        <v>122</v>
      </c>
      <c r="D113" s="188">
        <v>8</v>
      </c>
      <c r="E113" s="188">
        <v>310000</v>
      </c>
      <c r="F113" s="196">
        <f>Tableau4[[#This Row],[Economies totales (m3)]]/Tableau4[[#This Row],[Nombres appareils installés]]</f>
        <v>1565.5</v>
      </c>
      <c r="G113" s="190">
        <v>12524</v>
      </c>
      <c r="H113" s="188">
        <f t="shared" si="2"/>
        <v>4385.3999999999996</v>
      </c>
      <c r="I113" s="188">
        <v>2400</v>
      </c>
      <c r="J113" s="188">
        <f>Tableau4[[#This Row],[Surcoût moyens de l''équipement ($)]]+Tableau4[[#This Row],[Surcoût moyen de l''installation ($)]]</f>
        <v>6785.4</v>
      </c>
      <c r="K113" s="188">
        <f>Tableau4[[#This Row],[Surcoût par appareil ($)]]*Tableau4[[#This Row],[Nombres appareils installés]]</f>
        <v>54283.199999999997</v>
      </c>
      <c r="L113" s="190">
        <v>13600</v>
      </c>
      <c r="M113" s="188">
        <f t="shared" si="3"/>
        <v>19600</v>
      </c>
      <c r="N113" s="188">
        <f>Tableau4[[#This Row],[AF 0 ($)]]/Tableau4[[#This Row],[Nombres appareils installés]]</f>
        <v>2450</v>
      </c>
      <c r="O113" s="191">
        <f>(Tableau4[[#This Row],[AF accordée ($)]])/($J$6*D113)</f>
        <v>0.42463905680171854</v>
      </c>
      <c r="P113" s="191">
        <f>Tableau4[[#This Row],[Couverture 0 (%)]]*Tableau4[[#This Row],[Nombres appareils installés]]</f>
        <v>3.3971124544137483</v>
      </c>
      <c r="Q113" s="188">
        <f>($Q$4+$R$4*(Tableau4[[#This Row],[Capacité (BTU)]]/1000))*Tableau4[[#This Row],[Nombres appareils installés]]</f>
        <v>28400</v>
      </c>
      <c r="R113" s="188">
        <f>Tableau4[[#This Row],[AF 1 ($)]]/Tableau4[[#This Row],[Nombres appareils installés]]</f>
        <v>3550</v>
      </c>
      <c r="S113" s="191">
        <f>Tableau4[[#This Row],[AF 1 ($)]]/(J113*D113)</f>
        <v>0.52318212633006167</v>
      </c>
      <c r="T113" s="191">
        <f>Tableau4[[#This Row],[Couverture 1 (%)]]*Tableau4[[#This Row],[Nombres appareils installés]]</f>
        <v>4.1854570106404934</v>
      </c>
      <c r="U113" s="188">
        <f>($U$4+($V$4*(Tableau4[[#This Row],[Capacité (BTU)]]/1000)))*Tableau4[[#This Row],[Nombres appareils installés]]</f>
        <v>34600</v>
      </c>
      <c r="V113" s="188">
        <f>Tableau4[[#This Row],[AF 2 ($)]]/Tableau4[[#This Row],[Nombres appareils installés]]</f>
        <v>4325</v>
      </c>
      <c r="W113" s="192">
        <f>Tableau4[[#This Row],[AF 2 par appareil ($)]]/Tableau4[[#This Row],[Surcoût par appareil ($)]]</f>
        <v>0.63739794264155392</v>
      </c>
      <c r="X113" s="192">
        <f>Tableau4[[#This Row],[Couverture 2 (%)]]*Tableau4[[#This Row],[Nombres appareils installés]]</f>
        <v>5.0991835411324313</v>
      </c>
      <c r="Y113" s="188">
        <f>($Y$4+$Z$4*(Tableau4[[#This Row],[Capacité (BTU)]]/1000))*Tableau4[[#This Row],[Nombres appareils installés]]</f>
        <v>32400</v>
      </c>
      <c r="Z113" s="188">
        <f>Tableau4[[#This Row],[AF 3 ($)]]/Tableau4[[#This Row],[Nombres appareils installés]]</f>
        <v>4050</v>
      </c>
      <c r="AA113" s="193">
        <f>Tableau4[[#This Row],[AF 3 par appareil ($)]]/Tableau4[[#This Row],[Surcoût par appareil ($)]]</f>
        <v>0.59686974975683083</v>
      </c>
      <c r="AB113" s="193">
        <f>Tableau4[[#This Row],[Couverture 3 (%)]]*Tableau4[[#This Row],[Nombres appareils installés]]</f>
        <v>4.7749579980546466</v>
      </c>
      <c r="AC113" s="188">
        <f>($AC$4+$AD$4*(Tableau4[[#This Row],[Capacité (BTU)]]/1000))*Tableau4[[#This Row],[Nombres appareils installés]]</f>
        <v>27520</v>
      </c>
      <c r="AD113" s="188">
        <f>Tableau4[[#This Row],[AF 4 ($)]]/Tableau4[[#This Row],[Nombres appareils installés]]</f>
        <v>3440</v>
      </c>
      <c r="AE113" s="194">
        <f>Tableau4[[#This Row],[Couverture 4 (%)]]*Tableau4[[#This Row],[Nombres appareils installés]]</f>
        <v>4.0557667934093793</v>
      </c>
      <c r="AF113" s="193">
        <f>Tableau4[[#This Row],[AF 4 par appareil  ($)]]/Tableau4[[#This Row],[Surcoût par appareil ($)]]</f>
        <v>0.50697084917617241</v>
      </c>
    </row>
    <row r="114" spans="2:32" x14ac:dyDescent="0.3">
      <c r="B114" s="195" t="s">
        <v>189</v>
      </c>
      <c r="C114" s="188" t="s">
        <v>190</v>
      </c>
      <c r="D114" s="188">
        <v>3</v>
      </c>
      <c r="E114" s="188">
        <v>50000</v>
      </c>
      <c r="F114" s="196">
        <f>Tableau4[[#This Row],[Economies totales (m3)]]/Tableau4[[#This Row],[Nombres appareils installés]]</f>
        <v>252.5</v>
      </c>
      <c r="G114" s="190">
        <v>757.5</v>
      </c>
      <c r="H114" s="188">
        <f t="shared" si="2"/>
        <v>1603.4</v>
      </c>
      <c r="I114" s="188">
        <v>2400</v>
      </c>
      <c r="J114" s="188">
        <f>Tableau4[[#This Row],[Surcoût moyens de l''équipement ($)]]+Tableau4[[#This Row],[Surcoût moyen de l''installation ($)]]</f>
        <v>4003.4</v>
      </c>
      <c r="K114" s="188">
        <f>Tableau4[[#This Row],[Surcoût par appareil ($)]]*Tableau4[[#This Row],[Nombres appareils installés]]</f>
        <v>12010.2</v>
      </c>
      <c r="L114" s="190">
        <v>5100</v>
      </c>
      <c r="M114" s="188">
        <f t="shared" si="3"/>
        <v>3450</v>
      </c>
      <c r="N114" s="188">
        <f>Tableau4[[#This Row],[AF 0 ($)]]/Tableau4[[#This Row],[Nombres appareils installés]]</f>
        <v>1150</v>
      </c>
      <c r="O114" s="191">
        <f>(Tableau4[[#This Row],[AF accordée ($)]])/($J$6*D114)</f>
        <v>0.42463905680171854</v>
      </c>
      <c r="P114" s="191">
        <f>Tableau4[[#This Row],[Couverture 0 (%)]]*Tableau4[[#This Row],[Nombres appareils installés]]</f>
        <v>1.2739171704051557</v>
      </c>
      <c r="Q114" s="188">
        <f>($Q$4+$R$4*(Tableau4[[#This Row],[Capacité (BTU)]]/1000))*Tableau4[[#This Row],[Nombres appareils installés]]</f>
        <v>6750</v>
      </c>
      <c r="R114" s="188">
        <f>Tableau4[[#This Row],[AF 1 ($)]]/Tableau4[[#This Row],[Nombres appareils installés]]</f>
        <v>2250</v>
      </c>
      <c r="S114" s="191">
        <f>Tableau4[[#This Row],[AF 1 ($)]]/(J114*D114)</f>
        <v>0.56202228106109808</v>
      </c>
      <c r="T114" s="191">
        <f>Tableau4[[#This Row],[Couverture 1 (%)]]*Tableau4[[#This Row],[Nombres appareils installés]]</f>
        <v>1.6860668431832941</v>
      </c>
      <c r="U114" s="188">
        <f>($U$4+($V$4*(Tableau4[[#This Row],[Capacité (BTU)]]/1000)))*Tableau4[[#This Row],[Nombres appareils installés]]</f>
        <v>7125</v>
      </c>
      <c r="V114" s="188">
        <f>Tableau4[[#This Row],[AF 2 ($)]]/Tableau4[[#This Row],[Nombres appareils installés]]</f>
        <v>2375</v>
      </c>
      <c r="W114" s="192">
        <f>Tableau4[[#This Row],[AF 2 par appareil ($)]]/Tableau4[[#This Row],[Surcoût par appareil ($)]]</f>
        <v>0.59324574112004791</v>
      </c>
      <c r="X114" s="192">
        <f>Tableau4[[#This Row],[Couverture 2 (%)]]*Tableau4[[#This Row],[Nombres appareils installés]]</f>
        <v>1.7797372233601436</v>
      </c>
      <c r="Y114" s="188">
        <f>($Y$4+$Z$4*(Tableau4[[#This Row],[Capacité (BTU)]]/1000))*Tableau4[[#This Row],[Nombres appareils installés]]</f>
        <v>8250</v>
      </c>
      <c r="Z114" s="188">
        <f>Tableau4[[#This Row],[AF 3 ($)]]/Tableau4[[#This Row],[Nombres appareils installés]]</f>
        <v>2750</v>
      </c>
      <c r="AA114" s="193">
        <f>Tableau4[[#This Row],[AF 3 par appareil ($)]]/Tableau4[[#This Row],[Surcoût par appareil ($)]]</f>
        <v>0.68691612129689761</v>
      </c>
      <c r="AB114" s="193">
        <f>Tableau4[[#This Row],[Couverture 3 (%)]]*Tableau4[[#This Row],[Nombres appareils installés]]</f>
        <v>2.0607483638906929</v>
      </c>
      <c r="AC114" s="188">
        <f>($AC$4+$AD$4*(Tableau4[[#This Row],[Capacité (BTU)]]/1000))*Tableau4[[#This Row],[Nombres appareils installés]]</f>
        <v>7200</v>
      </c>
      <c r="AD114" s="188">
        <f>Tableau4[[#This Row],[AF 4 ($)]]/Tableau4[[#This Row],[Nombres appareils installés]]</f>
        <v>2400</v>
      </c>
      <c r="AE114" s="194">
        <f>Tableau4[[#This Row],[Couverture 4 (%)]]*Tableau4[[#This Row],[Nombres appareils installés]]</f>
        <v>1.7984712993955139</v>
      </c>
      <c r="AF114" s="193">
        <f>Tableau4[[#This Row],[AF 4 par appareil  ($)]]/Tableau4[[#This Row],[Surcoût par appareil ($)]]</f>
        <v>0.59949043313183792</v>
      </c>
    </row>
    <row r="115" spans="2:32" x14ac:dyDescent="0.3">
      <c r="B115" s="195" t="s">
        <v>189</v>
      </c>
      <c r="C115" s="188" t="s">
        <v>191</v>
      </c>
      <c r="D115" s="188">
        <v>1</v>
      </c>
      <c r="E115" s="188">
        <v>55000</v>
      </c>
      <c r="F115" s="196">
        <f>Tableau4[[#This Row],[Economies totales (m3)]]/Tableau4[[#This Row],[Nombres appareils installés]]</f>
        <v>277.75</v>
      </c>
      <c r="G115" s="190">
        <v>277.75</v>
      </c>
      <c r="H115" s="188">
        <f t="shared" si="2"/>
        <v>1618.65</v>
      </c>
      <c r="I115" s="188">
        <v>2400</v>
      </c>
      <c r="J115" s="188">
        <f>Tableau4[[#This Row],[Surcoût moyens de l''équipement ($)]]+Tableau4[[#This Row],[Surcoût moyen de l''installation ($)]]</f>
        <v>4018.65</v>
      </c>
      <c r="K115" s="188">
        <f>Tableau4[[#This Row],[Surcoût par appareil ($)]]*Tableau4[[#This Row],[Nombres appareils installés]]</f>
        <v>4018.65</v>
      </c>
      <c r="L115" s="190">
        <v>1700</v>
      </c>
      <c r="M115" s="188">
        <f t="shared" si="3"/>
        <v>1175</v>
      </c>
      <c r="N115" s="188">
        <f>Tableau4[[#This Row],[AF 0 ($)]]/Tableau4[[#This Row],[Nombres appareils installés]]</f>
        <v>1175</v>
      </c>
      <c r="O115" s="191">
        <f>(Tableau4[[#This Row],[AF accordée ($)]])/($J$6*D115)</f>
        <v>0.42463905680171854</v>
      </c>
      <c r="P115" s="191">
        <f>Tableau4[[#This Row],[Couverture 0 (%)]]*Tableau4[[#This Row],[Nombres appareils installés]]</f>
        <v>0.42463905680171854</v>
      </c>
      <c r="Q115" s="188">
        <f>($Q$4+$R$4*(Tableau4[[#This Row],[Capacité (BTU)]]/1000))*Tableau4[[#This Row],[Nombres appareils installés]]</f>
        <v>2275</v>
      </c>
      <c r="R115" s="188">
        <f>Tableau4[[#This Row],[AF 1 ($)]]/Tableau4[[#This Row],[Nombres appareils installés]]</f>
        <v>2275</v>
      </c>
      <c r="S115" s="191">
        <f>Tableau4[[#This Row],[AF 1 ($)]]/(J115*D115)</f>
        <v>0.56611050974829857</v>
      </c>
      <c r="T115" s="191">
        <f>Tableau4[[#This Row],[Couverture 1 (%)]]*Tableau4[[#This Row],[Nombres appareils installés]]</f>
        <v>0.56611050974829857</v>
      </c>
      <c r="U115" s="188">
        <f>($U$4+($V$4*(Tableau4[[#This Row],[Capacité (BTU)]]/1000)))*Tableau4[[#This Row],[Nombres appareils installés]]</f>
        <v>2412.5</v>
      </c>
      <c r="V115" s="188">
        <f>Tableau4[[#This Row],[AF 2 ($)]]/Tableau4[[#This Row],[Nombres appareils installés]]</f>
        <v>2412.5</v>
      </c>
      <c r="W115" s="192">
        <f>Tableau4[[#This Row],[AF 2 par appareil ($)]]/Tableau4[[#This Row],[Surcoût par appareil ($)]]</f>
        <v>0.60032598011770122</v>
      </c>
      <c r="X115" s="192">
        <f>Tableau4[[#This Row],[Couverture 2 (%)]]*Tableau4[[#This Row],[Nombres appareils installés]]</f>
        <v>0.60032598011770122</v>
      </c>
      <c r="Y115" s="188">
        <f>($Y$4+$Z$4*(Tableau4[[#This Row],[Capacité (BTU)]]/1000))*Tableau4[[#This Row],[Nombres appareils installés]]</f>
        <v>2775</v>
      </c>
      <c r="Z115" s="188">
        <f>Tableau4[[#This Row],[AF 3 ($)]]/Tableau4[[#This Row],[Nombres appareils installés]]</f>
        <v>2775</v>
      </c>
      <c r="AA115" s="193">
        <f>Tableau4[[#This Row],[AF 3 par appareil ($)]]/Tableau4[[#This Row],[Surcoût par appareil ($)]]</f>
        <v>0.69053040200067184</v>
      </c>
      <c r="AB115" s="193">
        <f>Tableau4[[#This Row],[Couverture 3 (%)]]*Tableau4[[#This Row],[Nombres appareils installés]]</f>
        <v>0.69053040200067184</v>
      </c>
      <c r="AC115" s="188">
        <f>($AC$4+$AD$4*(Tableau4[[#This Row],[Capacité (BTU)]]/1000))*Tableau4[[#This Row],[Nombres appareils installés]]</f>
        <v>2420</v>
      </c>
      <c r="AD115" s="188">
        <f>Tableau4[[#This Row],[AF 4 ($)]]/Tableau4[[#This Row],[Nombres appareils installés]]</f>
        <v>2420</v>
      </c>
      <c r="AE115" s="194">
        <f>Tableau4[[#This Row],[Couverture 4 (%)]]*Tableau4[[#This Row],[Nombres appareils installés]]</f>
        <v>0.60219227850148682</v>
      </c>
      <c r="AF115" s="193">
        <f>Tableau4[[#This Row],[AF 4 par appareil  ($)]]/Tableau4[[#This Row],[Surcoût par appareil ($)]]</f>
        <v>0.60219227850148682</v>
      </c>
    </row>
    <row r="116" spans="2:32" x14ac:dyDescent="0.3">
      <c r="B116" s="195" t="s">
        <v>189</v>
      </c>
      <c r="C116" s="188" t="s">
        <v>192</v>
      </c>
      <c r="D116" s="188">
        <v>2</v>
      </c>
      <c r="E116" s="188">
        <v>55000</v>
      </c>
      <c r="F116" s="196">
        <f>Tableau4[[#This Row],[Economies totales (m3)]]/Tableau4[[#This Row],[Nombres appareils installés]]</f>
        <v>277.75</v>
      </c>
      <c r="G116" s="190">
        <v>555.5</v>
      </c>
      <c r="H116" s="188">
        <f t="shared" si="2"/>
        <v>1618.65</v>
      </c>
      <c r="I116" s="188">
        <v>2400</v>
      </c>
      <c r="J116" s="188">
        <f>Tableau4[[#This Row],[Surcoût moyens de l''équipement ($)]]+Tableau4[[#This Row],[Surcoût moyen de l''installation ($)]]</f>
        <v>4018.65</v>
      </c>
      <c r="K116" s="188">
        <f>Tableau4[[#This Row],[Surcoût par appareil ($)]]*Tableau4[[#This Row],[Nombres appareils installés]]</f>
        <v>8037.3</v>
      </c>
      <c r="L116" s="190">
        <v>3400</v>
      </c>
      <c r="M116" s="188">
        <f t="shared" si="3"/>
        <v>2350</v>
      </c>
      <c r="N116" s="188">
        <f>Tableau4[[#This Row],[AF 0 ($)]]/Tableau4[[#This Row],[Nombres appareils installés]]</f>
        <v>1175</v>
      </c>
      <c r="O116" s="191">
        <f>(Tableau4[[#This Row],[AF accordée ($)]])/($J$6*D116)</f>
        <v>0.42463905680171854</v>
      </c>
      <c r="P116" s="191">
        <f>Tableau4[[#This Row],[Couverture 0 (%)]]*Tableau4[[#This Row],[Nombres appareils installés]]</f>
        <v>0.84927811360343708</v>
      </c>
      <c r="Q116" s="188">
        <f>($Q$4+$R$4*(Tableau4[[#This Row],[Capacité (BTU)]]/1000))*Tableau4[[#This Row],[Nombres appareils installés]]</f>
        <v>4550</v>
      </c>
      <c r="R116" s="188">
        <f>Tableau4[[#This Row],[AF 1 ($)]]/Tableau4[[#This Row],[Nombres appareils installés]]</f>
        <v>2275</v>
      </c>
      <c r="S116" s="191">
        <f>Tableau4[[#This Row],[AF 1 ($)]]/(J116*D116)</f>
        <v>0.56611050974829857</v>
      </c>
      <c r="T116" s="191">
        <f>Tableau4[[#This Row],[Couverture 1 (%)]]*Tableau4[[#This Row],[Nombres appareils installés]]</f>
        <v>1.1322210194965971</v>
      </c>
      <c r="U116" s="188">
        <f>($U$4+($V$4*(Tableau4[[#This Row],[Capacité (BTU)]]/1000)))*Tableau4[[#This Row],[Nombres appareils installés]]</f>
        <v>4825</v>
      </c>
      <c r="V116" s="188">
        <f>Tableau4[[#This Row],[AF 2 ($)]]/Tableau4[[#This Row],[Nombres appareils installés]]</f>
        <v>2412.5</v>
      </c>
      <c r="W116" s="192">
        <f>Tableau4[[#This Row],[AF 2 par appareil ($)]]/Tableau4[[#This Row],[Surcoût par appareil ($)]]</f>
        <v>0.60032598011770122</v>
      </c>
      <c r="X116" s="192">
        <f>Tableau4[[#This Row],[Couverture 2 (%)]]*Tableau4[[#This Row],[Nombres appareils installés]]</f>
        <v>1.2006519602354024</v>
      </c>
      <c r="Y116" s="188">
        <f>($Y$4+$Z$4*(Tableau4[[#This Row],[Capacité (BTU)]]/1000))*Tableau4[[#This Row],[Nombres appareils installés]]</f>
        <v>5550</v>
      </c>
      <c r="Z116" s="188">
        <f>Tableau4[[#This Row],[AF 3 ($)]]/Tableau4[[#This Row],[Nombres appareils installés]]</f>
        <v>2775</v>
      </c>
      <c r="AA116" s="193">
        <f>Tableau4[[#This Row],[AF 3 par appareil ($)]]/Tableau4[[#This Row],[Surcoût par appareil ($)]]</f>
        <v>0.69053040200067184</v>
      </c>
      <c r="AB116" s="193">
        <f>Tableau4[[#This Row],[Couverture 3 (%)]]*Tableau4[[#This Row],[Nombres appareils installés]]</f>
        <v>1.3810608040013437</v>
      </c>
      <c r="AC116" s="188">
        <f>($AC$4+$AD$4*(Tableau4[[#This Row],[Capacité (BTU)]]/1000))*Tableau4[[#This Row],[Nombres appareils installés]]</f>
        <v>4840</v>
      </c>
      <c r="AD116" s="188">
        <f>Tableau4[[#This Row],[AF 4 ($)]]/Tableau4[[#This Row],[Nombres appareils installés]]</f>
        <v>2420</v>
      </c>
      <c r="AE116" s="194">
        <f>Tableau4[[#This Row],[Couverture 4 (%)]]*Tableau4[[#This Row],[Nombres appareils installés]]</f>
        <v>1.2043845570029736</v>
      </c>
      <c r="AF116" s="193">
        <f>Tableau4[[#This Row],[AF 4 par appareil  ($)]]/Tableau4[[#This Row],[Surcoût par appareil ($)]]</f>
        <v>0.60219227850148682</v>
      </c>
    </row>
    <row r="117" spans="2:32" x14ac:dyDescent="0.3">
      <c r="B117" s="195" t="s">
        <v>189</v>
      </c>
      <c r="C117" s="188" t="s">
        <v>193</v>
      </c>
      <c r="D117" s="188">
        <v>4</v>
      </c>
      <c r="E117" s="188">
        <v>55000</v>
      </c>
      <c r="F117" s="196">
        <f>Tableau4[[#This Row],[Economies totales (m3)]]/Tableau4[[#This Row],[Nombres appareils installés]]</f>
        <v>277.75</v>
      </c>
      <c r="G117" s="190">
        <v>1111</v>
      </c>
      <c r="H117" s="188">
        <f t="shared" si="2"/>
        <v>1618.65</v>
      </c>
      <c r="I117" s="188">
        <v>2400</v>
      </c>
      <c r="J117" s="188">
        <f>Tableau4[[#This Row],[Surcoût moyens de l''équipement ($)]]+Tableau4[[#This Row],[Surcoût moyen de l''installation ($)]]</f>
        <v>4018.65</v>
      </c>
      <c r="K117" s="188">
        <f>Tableau4[[#This Row],[Surcoût par appareil ($)]]*Tableau4[[#This Row],[Nombres appareils installés]]</f>
        <v>16074.6</v>
      </c>
      <c r="L117" s="190">
        <v>6800</v>
      </c>
      <c r="M117" s="188">
        <f t="shared" si="3"/>
        <v>4700</v>
      </c>
      <c r="N117" s="188">
        <f>Tableau4[[#This Row],[AF 0 ($)]]/Tableau4[[#This Row],[Nombres appareils installés]]</f>
        <v>1175</v>
      </c>
      <c r="O117" s="191">
        <f>(Tableau4[[#This Row],[AF accordée ($)]])/($J$6*D117)</f>
        <v>0.42463905680171854</v>
      </c>
      <c r="P117" s="191">
        <f>Tableau4[[#This Row],[Couverture 0 (%)]]*Tableau4[[#This Row],[Nombres appareils installés]]</f>
        <v>1.6985562272068742</v>
      </c>
      <c r="Q117" s="188">
        <f>($Q$4+$R$4*(Tableau4[[#This Row],[Capacité (BTU)]]/1000))*Tableau4[[#This Row],[Nombres appareils installés]]</f>
        <v>9100</v>
      </c>
      <c r="R117" s="188">
        <f>Tableau4[[#This Row],[AF 1 ($)]]/Tableau4[[#This Row],[Nombres appareils installés]]</f>
        <v>2275</v>
      </c>
      <c r="S117" s="191">
        <f>Tableau4[[#This Row],[AF 1 ($)]]/(J117*D117)</f>
        <v>0.56611050974829857</v>
      </c>
      <c r="T117" s="191">
        <f>Tableau4[[#This Row],[Couverture 1 (%)]]*Tableau4[[#This Row],[Nombres appareils installés]]</f>
        <v>2.2644420389931943</v>
      </c>
      <c r="U117" s="188">
        <f>($U$4+($V$4*(Tableau4[[#This Row],[Capacité (BTU)]]/1000)))*Tableau4[[#This Row],[Nombres appareils installés]]</f>
        <v>9650</v>
      </c>
      <c r="V117" s="188">
        <f>Tableau4[[#This Row],[AF 2 ($)]]/Tableau4[[#This Row],[Nombres appareils installés]]</f>
        <v>2412.5</v>
      </c>
      <c r="W117" s="192">
        <f>Tableau4[[#This Row],[AF 2 par appareil ($)]]/Tableau4[[#This Row],[Surcoût par appareil ($)]]</f>
        <v>0.60032598011770122</v>
      </c>
      <c r="X117" s="192">
        <f>Tableau4[[#This Row],[Couverture 2 (%)]]*Tableau4[[#This Row],[Nombres appareils installés]]</f>
        <v>2.4013039204708049</v>
      </c>
      <c r="Y117" s="188">
        <f>($Y$4+$Z$4*(Tableau4[[#This Row],[Capacité (BTU)]]/1000))*Tableau4[[#This Row],[Nombres appareils installés]]</f>
        <v>11100</v>
      </c>
      <c r="Z117" s="188">
        <f>Tableau4[[#This Row],[AF 3 ($)]]/Tableau4[[#This Row],[Nombres appareils installés]]</f>
        <v>2775</v>
      </c>
      <c r="AA117" s="193">
        <f>Tableau4[[#This Row],[AF 3 par appareil ($)]]/Tableau4[[#This Row],[Surcoût par appareil ($)]]</f>
        <v>0.69053040200067184</v>
      </c>
      <c r="AB117" s="193">
        <f>Tableau4[[#This Row],[Couverture 3 (%)]]*Tableau4[[#This Row],[Nombres appareils installés]]</f>
        <v>2.7621216080026874</v>
      </c>
      <c r="AC117" s="188">
        <f>($AC$4+$AD$4*(Tableau4[[#This Row],[Capacité (BTU)]]/1000))*Tableau4[[#This Row],[Nombres appareils installés]]</f>
        <v>9680</v>
      </c>
      <c r="AD117" s="188">
        <f>Tableau4[[#This Row],[AF 4 ($)]]/Tableau4[[#This Row],[Nombres appareils installés]]</f>
        <v>2420</v>
      </c>
      <c r="AE117" s="194">
        <f>Tableau4[[#This Row],[Couverture 4 (%)]]*Tableau4[[#This Row],[Nombres appareils installés]]</f>
        <v>2.4087691140059473</v>
      </c>
      <c r="AF117" s="193">
        <f>Tableau4[[#This Row],[AF 4 par appareil  ($)]]/Tableau4[[#This Row],[Surcoût par appareil ($)]]</f>
        <v>0.60219227850148682</v>
      </c>
    </row>
    <row r="118" spans="2:32" x14ac:dyDescent="0.3">
      <c r="B118" s="195" t="s">
        <v>189</v>
      </c>
      <c r="C118" s="188" t="s">
        <v>192</v>
      </c>
      <c r="D118" s="188">
        <v>2</v>
      </c>
      <c r="E118" s="188">
        <v>65000</v>
      </c>
      <c r="F118" s="196">
        <f>Tableau4[[#This Row],[Economies totales (m3)]]/Tableau4[[#This Row],[Nombres appareils installés]]</f>
        <v>328.25</v>
      </c>
      <c r="G118" s="190">
        <v>656.5</v>
      </c>
      <c r="H118" s="188">
        <f t="shared" si="2"/>
        <v>1653.65</v>
      </c>
      <c r="I118" s="188">
        <v>2400</v>
      </c>
      <c r="J118" s="188">
        <f>Tableau4[[#This Row],[Surcoût moyens de l''équipement ($)]]+Tableau4[[#This Row],[Surcoût moyen de l''installation ($)]]</f>
        <v>4053.65</v>
      </c>
      <c r="K118" s="188">
        <f>Tableau4[[#This Row],[Surcoût par appareil ($)]]*Tableau4[[#This Row],[Nombres appareils installés]]</f>
        <v>8107.3</v>
      </c>
      <c r="L118" s="190">
        <v>3400</v>
      </c>
      <c r="M118" s="188">
        <f t="shared" si="3"/>
        <v>2450</v>
      </c>
      <c r="N118" s="188">
        <f>Tableau4[[#This Row],[AF 0 ($)]]/Tableau4[[#This Row],[Nombres appareils installés]]</f>
        <v>1225</v>
      </c>
      <c r="O118" s="191">
        <f>(Tableau4[[#This Row],[AF accordée ($)]])/($J$6*D118)</f>
        <v>0.42463905680171854</v>
      </c>
      <c r="P118" s="191">
        <f>Tableau4[[#This Row],[Couverture 0 (%)]]*Tableau4[[#This Row],[Nombres appareils installés]]</f>
        <v>0.84927811360343708</v>
      </c>
      <c r="Q118" s="188">
        <f>($Q$4+$R$4*(Tableau4[[#This Row],[Capacité (BTU)]]/1000))*Tableau4[[#This Row],[Nombres appareils installés]]</f>
        <v>4650</v>
      </c>
      <c r="R118" s="188">
        <f>Tableau4[[#This Row],[AF 1 ($)]]/Tableau4[[#This Row],[Nombres appareils installés]]</f>
        <v>2325</v>
      </c>
      <c r="S118" s="191">
        <f>Tableau4[[#This Row],[AF 1 ($)]]/(J118*D118)</f>
        <v>0.57355716453073158</v>
      </c>
      <c r="T118" s="191">
        <f>Tableau4[[#This Row],[Couverture 1 (%)]]*Tableau4[[#This Row],[Nombres appareils installés]]</f>
        <v>1.1471143290614632</v>
      </c>
      <c r="U118" s="188">
        <f>($U$4+($V$4*(Tableau4[[#This Row],[Capacité (BTU)]]/1000)))*Tableau4[[#This Row],[Nombres appareils installés]]</f>
        <v>4975</v>
      </c>
      <c r="V118" s="188">
        <f>Tableau4[[#This Row],[AF 2 ($)]]/Tableau4[[#This Row],[Nombres appareils installés]]</f>
        <v>2487.5</v>
      </c>
      <c r="W118" s="192">
        <f>Tableau4[[#This Row],[AF 2 par appareil ($)]]/Tableau4[[#This Row],[Surcoût par appareil ($)]]</f>
        <v>0.61364449323449233</v>
      </c>
      <c r="X118" s="192">
        <f>Tableau4[[#This Row],[Couverture 2 (%)]]*Tableau4[[#This Row],[Nombres appareils installés]]</f>
        <v>1.2272889864689847</v>
      </c>
      <c r="Y118" s="188">
        <f>($Y$4+$Z$4*(Tableau4[[#This Row],[Capacité (BTU)]]/1000))*Tableau4[[#This Row],[Nombres appareils installés]]</f>
        <v>5650</v>
      </c>
      <c r="Z118" s="188">
        <f>Tableau4[[#This Row],[AF 3 ($)]]/Tableau4[[#This Row],[Nombres appareils installés]]</f>
        <v>2825</v>
      </c>
      <c r="AA118" s="193">
        <f>Tableau4[[#This Row],[AF 3 par appareil ($)]]/Tableau4[[#This Row],[Surcoût par appareil ($)]]</f>
        <v>0.69690279131153399</v>
      </c>
      <c r="AB118" s="193">
        <f>Tableau4[[#This Row],[Couverture 3 (%)]]*Tableau4[[#This Row],[Nombres appareils installés]]</f>
        <v>1.393805582623068</v>
      </c>
      <c r="AC118" s="188">
        <f>($AC$4+$AD$4*(Tableau4[[#This Row],[Capacité (BTU)]]/1000))*Tableau4[[#This Row],[Nombres appareils installés]]</f>
        <v>4920</v>
      </c>
      <c r="AD118" s="188">
        <f>Tableau4[[#This Row],[AF 4 ($)]]/Tableau4[[#This Row],[Nombres appareils installés]]</f>
        <v>2460</v>
      </c>
      <c r="AE118" s="194">
        <f>Tableau4[[#This Row],[Couverture 4 (%)]]*Tableau4[[#This Row],[Nombres appareils installés]]</f>
        <v>1.2137209675230964</v>
      </c>
      <c r="AF118" s="193">
        <f>Tableau4[[#This Row],[AF 4 par appareil  ($)]]/Tableau4[[#This Row],[Surcoût par appareil ($)]]</f>
        <v>0.60686048376154822</v>
      </c>
    </row>
    <row r="119" spans="2:32" x14ac:dyDescent="0.3">
      <c r="B119" s="195" t="s">
        <v>189</v>
      </c>
      <c r="C119" s="188" t="s">
        <v>194</v>
      </c>
      <c r="D119" s="188">
        <v>1</v>
      </c>
      <c r="E119" s="188">
        <v>135000</v>
      </c>
      <c r="F119" s="196">
        <f>Tableau4[[#This Row],[Economies totales (m3)]]/Tableau4[[#This Row],[Nombres appareils installés]]</f>
        <v>681.75</v>
      </c>
      <c r="G119" s="190">
        <v>681.75</v>
      </c>
      <c r="H119" s="188">
        <f t="shared" si="2"/>
        <v>2066.65</v>
      </c>
      <c r="I119" s="188">
        <v>2400</v>
      </c>
      <c r="J119" s="188">
        <f>Tableau4[[#This Row],[Surcoût moyens de l''équipement ($)]]+Tableau4[[#This Row],[Surcoût moyen de l''installation ($)]]</f>
        <v>4466.6499999999996</v>
      </c>
      <c r="K119" s="188">
        <f>Tableau4[[#This Row],[Surcoût par appareil ($)]]*Tableau4[[#This Row],[Nombres appareils installés]]</f>
        <v>4466.6499999999996</v>
      </c>
      <c r="L119" s="190">
        <v>1575</v>
      </c>
      <c r="M119" s="188">
        <f t="shared" si="3"/>
        <v>1575</v>
      </c>
      <c r="N119" s="188">
        <f>Tableau4[[#This Row],[AF 0 ($)]]/Tableau4[[#This Row],[Nombres appareils installés]]</f>
        <v>1575</v>
      </c>
      <c r="O119" s="191">
        <f>(Tableau4[[#This Row],[AF accordée ($)]])/($J$6*D119)</f>
        <v>0.39341559674276866</v>
      </c>
      <c r="P119" s="191">
        <f>Tableau4[[#This Row],[Couverture 0 (%)]]*Tableau4[[#This Row],[Nombres appareils installés]]</f>
        <v>0.39341559674276866</v>
      </c>
      <c r="Q119" s="188">
        <f>($Q$4+$R$4*(Tableau4[[#This Row],[Capacité (BTU)]]/1000))*Tableau4[[#This Row],[Nombres appareils installés]]</f>
        <v>2675</v>
      </c>
      <c r="R119" s="188">
        <f>Tableau4[[#This Row],[AF 1 ($)]]/Tableau4[[#This Row],[Nombres appareils installés]]</f>
        <v>2675</v>
      </c>
      <c r="S119" s="191">
        <f>Tableau4[[#This Row],[AF 1 ($)]]/(J119*D119)</f>
        <v>0.59888283165235701</v>
      </c>
      <c r="T119" s="191">
        <f>Tableau4[[#This Row],[Couverture 1 (%)]]*Tableau4[[#This Row],[Nombres appareils installés]]</f>
        <v>0.59888283165235701</v>
      </c>
      <c r="U119" s="188">
        <f>($U$4+($V$4*(Tableau4[[#This Row],[Capacité (BTU)]]/1000)))*Tableau4[[#This Row],[Nombres appareils installés]]</f>
        <v>3012.5</v>
      </c>
      <c r="V119" s="188">
        <f>Tableau4[[#This Row],[AF 2 ($)]]/Tableau4[[#This Row],[Nombres appareils installés]]</f>
        <v>3012.5</v>
      </c>
      <c r="W119" s="192">
        <f>Tableau4[[#This Row],[AF 2 par appareil ($)]]/Tableau4[[#This Row],[Surcoût par appareil ($)]]</f>
        <v>0.67444281508513093</v>
      </c>
      <c r="X119" s="192">
        <f>Tableau4[[#This Row],[Couverture 2 (%)]]*Tableau4[[#This Row],[Nombres appareils installés]]</f>
        <v>0.67444281508513093</v>
      </c>
      <c r="Y119" s="188">
        <f>($Y$4+$Z$4*(Tableau4[[#This Row],[Capacité (BTU)]]/1000))*Tableau4[[#This Row],[Nombres appareils installés]]</f>
        <v>3175</v>
      </c>
      <c r="Z119" s="188">
        <f>Tableau4[[#This Row],[AF 3 ($)]]/Tableau4[[#This Row],[Nombres appareils installés]]</f>
        <v>3175</v>
      </c>
      <c r="AA119" s="193">
        <f>Tableau4[[#This Row],[AF 3 par appareil ($)]]/Tableau4[[#This Row],[Surcoût par appareil ($)]]</f>
        <v>0.71082354784905921</v>
      </c>
      <c r="AB119" s="193">
        <f>Tableau4[[#This Row],[Couverture 3 (%)]]*Tableau4[[#This Row],[Nombres appareils installés]]</f>
        <v>0.71082354784905921</v>
      </c>
      <c r="AC119" s="188">
        <f>($AC$4+$AD$4*(Tableau4[[#This Row],[Capacité (BTU)]]/1000))*Tableau4[[#This Row],[Nombres appareils installés]]</f>
        <v>2740</v>
      </c>
      <c r="AD119" s="188">
        <f>Tableau4[[#This Row],[AF 4 ($)]]/Tableau4[[#This Row],[Nombres appareils installés]]</f>
        <v>2740</v>
      </c>
      <c r="AE119" s="194">
        <f>Tableau4[[#This Row],[Couverture 4 (%)]]*Tableau4[[#This Row],[Nombres appareils installés]]</f>
        <v>0.61343512475792827</v>
      </c>
      <c r="AF119" s="193">
        <f>Tableau4[[#This Row],[AF 4 par appareil  ($)]]/Tableau4[[#This Row],[Surcoût par appareil ($)]]</f>
        <v>0.61343512475792827</v>
      </c>
    </row>
    <row r="120" spans="2:32" x14ac:dyDescent="0.3">
      <c r="B120" s="195" t="s">
        <v>189</v>
      </c>
      <c r="C120" s="188" t="s">
        <v>195</v>
      </c>
      <c r="D120" s="188">
        <v>1</v>
      </c>
      <c r="E120" s="188">
        <v>135000</v>
      </c>
      <c r="F120" s="196">
        <f>Tableau4[[#This Row],[Economies totales (m3)]]/Tableau4[[#This Row],[Nombres appareils installés]]</f>
        <v>681.75</v>
      </c>
      <c r="G120" s="190">
        <v>681.75</v>
      </c>
      <c r="H120" s="188">
        <f t="shared" si="2"/>
        <v>2066.65</v>
      </c>
      <c r="I120" s="188">
        <v>2400</v>
      </c>
      <c r="J120" s="188">
        <f>Tableau4[[#This Row],[Surcoût moyens de l''équipement ($)]]+Tableau4[[#This Row],[Surcoût moyen de l''installation ($)]]</f>
        <v>4466.6499999999996</v>
      </c>
      <c r="K120" s="188">
        <f>Tableau4[[#This Row],[Surcoût par appareil ($)]]*Tableau4[[#This Row],[Nombres appareils installés]]</f>
        <v>4466.6499999999996</v>
      </c>
      <c r="L120" s="190">
        <v>1700</v>
      </c>
      <c r="M120" s="188">
        <f t="shared" si="3"/>
        <v>1575</v>
      </c>
      <c r="N120" s="188">
        <f>Tableau4[[#This Row],[AF 0 ($)]]/Tableau4[[#This Row],[Nombres appareils installés]]</f>
        <v>1575</v>
      </c>
      <c r="O120" s="191">
        <f>(Tableau4[[#This Row],[AF accordée ($)]])/($J$6*D120)</f>
        <v>0.42463905680171854</v>
      </c>
      <c r="P120" s="191">
        <f>Tableau4[[#This Row],[Couverture 0 (%)]]*Tableau4[[#This Row],[Nombres appareils installés]]</f>
        <v>0.42463905680171854</v>
      </c>
      <c r="Q120" s="188">
        <f>($Q$4+$R$4*(Tableau4[[#This Row],[Capacité (BTU)]]/1000))*Tableau4[[#This Row],[Nombres appareils installés]]</f>
        <v>2675</v>
      </c>
      <c r="R120" s="188">
        <f>Tableau4[[#This Row],[AF 1 ($)]]/Tableau4[[#This Row],[Nombres appareils installés]]</f>
        <v>2675</v>
      </c>
      <c r="S120" s="191">
        <f>Tableau4[[#This Row],[AF 1 ($)]]/(J120*D120)</f>
        <v>0.59888283165235701</v>
      </c>
      <c r="T120" s="191">
        <f>Tableau4[[#This Row],[Couverture 1 (%)]]*Tableau4[[#This Row],[Nombres appareils installés]]</f>
        <v>0.59888283165235701</v>
      </c>
      <c r="U120" s="188">
        <f>($U$4+($V$4*(Tableau4[[#This Row],[Capacité (BTU)]]/1000)))*Tableau4[[#This Row],[Nombres appareils installés]]</f>
        <v>3012.5</v>
      </c>
      <c r="V120" s="188">
        <f>Tableau4[[#This Row],[AF 2 ($)]]/Tableau4[[#This Row],[Nombres appareils installés]]</f>
        <v>3012.5</v>
      </c>
      <c r="W120" s="192">
        <f>Tableau4[[#This Row],[AF 2 par appareil ($)]]/Tableau4[[#This Row],[Surcoût par appareil ($)]]</f>
        <v>0.67444281508513093</v>
      </c>
      <c r="X120" s="192">
        <f>Tableau4[[#This Row],[Couverture 2 (%)]]*Tableau4[[#This Row],[Nombres appareils installés]]</f>
        <v>0.67444281508513093</v>
      </c>
      <c r="Y120" s="188">
        <f>($Y$4+$Z$4*(Tableau4[[#This Row],[Capacité (BTU)]]/1000))*Tableau4[[#This Row],[Nombres appareils installés]]</f>
        <v>3175</v>
      </c>
      <c r="Z120" s="188">
        <f>Tableau4[[#This Row],[AF 3 ($)]]/Tableau4[[#This Row],[Nombres appareils installés]]</f>
        <v>3175</v>
      </c>
      <c r="AA120" s="193">
        <f>Tableau4[[#This Row],[AF 3 par appareil ($)]]/Tableau4[[#This Row],[Surcoût par appareil ($)]]</f>
        <v>0.71082354784905921</v>
      </c>
      <c r="AB120" s="193">
        <f>Tableau4[[#This Row],[Couverture 3 (%)]]*Tableau4[[#This Row],[Nombres appareils installés]]</f>
        <v>0.71082354784905921</v>
      </c>
      <c r="AC120" s="188">
        <f>($AC$4+$AD$4*(Tableau4[[#This Row],[Capacité (BTU)]]/1000))*Tableau4[[#This Row],[Nombres appareils installés]]</f>
        <v>2740</v>
      </c>
      <c r="AD120" s="188">
        <f>Tableau4[[#This Row],[AF 4 ($)]]/Tableau4[[#This Row],[Nombres appareils installés]]</f>
        <v>2740</v>
      </c>
      <c r="AE120" s="194">
        <f>Tableau4[[#This Row],[Couverture 4 (%)]]*Tableau4[[#This Row],[Nombres appareils installés]]</f>
        <v>0.61343512475792827</v>
      </c>
      <c r="AF120" s="193">
        <f>Tableau4[[#This Row],[AF 4 par appareil  ($)]]/Tableau4[[#This Row],[Surcoût par appareil ($)]]</f>
        <v>0.61343512475792827</v>
      </c>
    </row>
    <row r="121" spans="2:32" x14ac:dyDescent="0.3">
      <c r="B121" s="195" t="s">
        <v>189</v>
      </c>
      <c r="C121" s="188" t="s">
        <v>196</v>
      </c>
      <c r="D121" s="188">
        <v>2</v>
      </c>
      <c r="E121" s="188">
        <v>135000</v>
      </c>
      <c r="F121" s="196">
        <f>Tableau4[[#This Row],[Economies totales (m3)]]/Tableau4[[#This Row],[Nombres appareils installés]]</f>
        <v>681.75</v>
      </c>
      <c r="G121" s="190">
        <v>1363.5</v>
      </c>
      <c r="H121" s="188">
        <f t="shared" si="2"/>
        <v>2066.65</v>
      </c>
      <c r="I121" s="188">
        <v>2400</v>
      </c>
      <c r="J121" s="188">
        <f>Tableau4[[#This Row],[Surcoût moyens de l''équipement ($)]]+Tableau4[[#This Row],[Surcoût moyen de l''installation ($)]]</f>
        <v>4466.6499999999996</v>
      </c>
      <c r="K121" s="188">
        <f>Tableau4[[#This Row],[Surcoût par appareil ($)]]*Tableau4[[#This Row],[Nombres appareils installés]]</f>
        <v>8933.2999999999993</v>
      </c>
      <c r="L121" s="190">
        <v>3400</v>
      </c>
      <c r="M121" s="188">
        <f t="shared" si="3"/>
        <v>3150</v>
      </c>
      <c r="N121" s="188">
        <f>Tableau4[[#This Row],[AF 0 ($)]]/Tableau4[[#This Row],[Nombres appareils installés]]</f>
        <v>1575</v>
      </c>
      <c r="O121" s="191">
        <f>(Tableau4[[#This Row],[AF accordée ($)]])/($J$6*D121)</f>
        <v>0.42463905680171854</v>
      </c>
      <c r="P121" s="191">
        <f>Tableau4[[#This Row],[Couverture 0 (%)]]*Tableau4[[#This Row],[Nombres appareils installés]]</f>
        <v>0.84927811360343708</v>
      </c>
      <c r="Q121" s="188">
        <f>($Q$4+$R$4*(Tableau4[[#This Row],[Capacité (BTU)]]/1000))*Tableau4[[#This Row],[Nombres appareils installés]]</f>
        <v>5350</v>
      </c>
      <c r="R121" s="188">
        <f>Tableau4[[#This Row],[AF 1 ($)]]/Tableau4[[#This Row],[Nombres appareils installés]]</f>
        <v>2675</v>
      </c>
      <c r="S121" s="191">
        <f>Tableau4[[#This Row],[AF 1 ($)]]/(J121*D121)</f>
        <v>0.59888283165235701</v>
      </c>
      <c r="T121" s="191">
        <f>Tableau4[[#This Row],[Couverture 1 (%)]]*Tableau4[[#This Row],[Nombres appareils installés]]</f>
        <v>1.197765663304714</v>
      </c>
      <c r="U121" s="188">
        <f>($U$4+($V$4*(Tableau4[[#This Row],[Capacité (BTU)]]/1000)))*Tableau4[[#This Row],[Nombres appareils installés]]</f>
        <v>6025</v>
      </c>
      <c r="V121" s="188">
        <f>Tableau4[[#This Row],[AF 2 ($)]]/Tableau4[[#This Row],[Nombres appareils installés]]</f>
        <v>3012.5</v>
      </c>
      <c r="W121" s="192">
        <f>Tableau4[[#This Row],[AF 2 par appareil ($)]]/Tableau4[[#This Row],[Surcoût par appareil ($)]]</f>
        <v>0.67444281508513093</v>
      </c>
      <c r="X121" s="192">
        <f>Tableau4[[#This Row],[Couverture 2 (%)]]*Tableau4[[#This Row],[Nombres appareils installés]]</f>
        <v>1.3488856301702619</v>
      </c>
      <c r="Y121" s="188">
        <f>($Y$4+$Z$4*(Tableau4[[#This Row],[Capacité (BTU)]]/1000))*Tableau4[[#This Row],[Nombres appareils installés]]</f>
        <v>6350</v>
      </c>
      <c r="Z121" s="188">
        <f>Tableau4[[#This Row],[AF 3 ($)]]/Tableau4[[#This Row],[Nombres appareils installés]]</f>
        <v>3175</v>
      </c>
      <c r="AA121" s="193">
        <f>Tableau4[[#This Row],[AF 3 par appareil ($)]]/Tableau4[[#This Row],[Surcoût par appareil ($)]]</f>
        <v>0.71082354784905921</v>
      </c>
      <c r="AB121" s="193">
        <f>Tableau4[[#This Row],[Couverture 3 (%)]]*Tableau4[[#This Row],[Nombres appareils installés]]</f>
        <v>1.4216470956981184</v>
      </c>
      <c r="AC121" s="188">
        <f>($AC$4+$AD$4*(Tableau4[[#This Row],[Capacité (BTU)]]/1000))*Tableau4[[#This Row],[Nombres appareils installés]]</f>
        <v>5480</v>
      </c>
      <c r="AD121" s="188">
        <f>Tableau4[[#This Row],[AF 4 ($)]]/Tableau4[[#This Row],[Nombres appareils installés]]</f>
        <v>2740</v>
      </c>
      <c r="AE121" s="194">
        <f>Tableau4[[#This Row],[Couverture 4 (%)]]*Tableau4[[#This Row],[Nombres appareils installés]]</f>
        <v>1.2268702495158565</v>
      </c>
      <c r="AF121" s="193">
        <f>Tableau4[[#This Row],[AF 4 par appareil  ($)]]/Tableau4[[#This Row],[Surcoût par appareil ($)]]</f>
        <v>0.61343512475792827</v>
      </c>
    </row>
    <row r="122" spans="2:32" x14ac:dyDescent="0.3">
      <c r="B122" s="195" t="s">
        <v>189</v>
      </c>
      <c r="C122" s="188" t="s">
        <v>197</v>
      </c>
      <c r="D122" s="188">
        <v>1</v>
      </c>
      <c r="E122" s="188">
        <v>155000</v>
      </c>
      <c r="F122" s="196">
        <f>Tableau4[[#This Row],[Economies totales (m3)]]/Tableau4[[#This Row],[Nombres appareils installés]]</f>
        <v>782.75</v>
      </c>
      <c r="G122" s="190">
        <v>782.75</v>
      </c>
      <c r="H122" s="188">
        <f t="shared" si="2"/>
        <v>2238.65</v>
      </c>
      <c r="I122" s="188">
        <v>2400</v>
      </c>
      <c r="J122" s="188">
        <f>Tableau4[[#This Row],[Surcoût moyens de l''équipement ($)]]+Tableau4[[#This Row],[Surcoût moyen de l''installation ($)]]</f>
        <v>4638.6499999999996</v>
      </c>
      <c r="K122" s="188">
        <f>Tableau4[[#This Row],[Surcoût par appareil ($)]]*Tableau4[[#This Row],[Nombres appareils installés]]</f>
        <v>4638.6499999999996</v>
      </c>
      <c r="L122" s="190">
        <v>1700</v>
      </c>
      <c r="M122" s="188">
        <f t="shared" si="3"/>
        <v>1675</v>
      </c>
      <c r="N122" s="188">
        <f>Tableau4[[#This Row],[AF 0 ($)]]/Tableau4[[#This Row],[Nombres appareils installés]]</f>
        <v>1675</v>
      </c>
      <c r="O122" s="191">
        <f>(Tableau4[[#This Row],[AF accordée ($)]])/($J$6*D122)</f>
        <v>0.42463905680171854</v>
      </c>
      <c r="P122" s="191">
        <f>Tableau4[[#This Row],[Couverture 0 (%)]]*Tableau4[[#This Row],[Nombres appareils installés]]</f>
        <v>0.42463905680171854</v>
      </c>
      <c r="Q122" s="188">
        <f>($Q$4+$R$4*(Tableau4[[#This Row],[Capacité (BTU)]]/1000))*Tableau4[[#This Row],[Nombres appareils installés]]</f>
        <v>2775</v>
      </c>
      <c r="R122" s="188">
        <f>Tableau4[[#This Row],[AF 1 ($)]]/Tableau4[[#This Row],[Nombres appareils installés]]</f>
        <v>2775</v>
      </c>
      <c r="S122" s="191">
        <f>Tableau4[[#This Row],[AF 1 ($)]]/(J122*D122)</f>
        <v>0.59823440009485518</v>
      </c>
      <c r="T122" s="191">
        <f>Tableau4[[#This Row],[Couverture 1 (%)]]*Tableau4[[#This Row],[Nombres appareils installés]]</f>
        <v>0.59823440009485518</v>
      </c>
      <c r="U122" s="188">
        <f>($U$4+($V$4*(Tableau4[[#This Row],[Capacité (BTU)]]/1000)))*Tableau4[[#This Row],[Nombres appareils installés]]</f>
        <v>3162.5</v>
      </c>
      <c r="V122" s="188">
        <f>Tableau4[[#This Row],[AF 2 ($)]]/Tableau4[[#This Row],[Nombres appareils installés]]</f>
        <v>3162.5</v>
      </c>
      <c r="W122" s="192">
        <f>Tableau4[[#This Row],[AF 2 par appareil ($)]]/Tableau4[[#This Row],[Surcoût par appareil ($)]]</f>
        <v>0.68177163614413683</v>
      </c>
      <c r="X122" s="192">
        <f>Tableau4[[#This Row],[Couverture 2 (%)]]*Tableau4[[#This Row],[Nombres appareils installés]]</f>
        <v>0.68177163614413683</v>
      </c>
      <c r="Y122" s="188">
        <f>($Y$4+$Z$4*(Tableau4[[#This Row],[Capacité (BTU)]]/1000))*Tableau4[[#This Row],[Nombres appareils installés]]</f>
        <v>3275</v>
      </c>
      <c r="Z122" s="188">
        <f>Tableau4[[#This Row],[AF 3 ($)]]/Tableau4[[#This Row],[Nombres appareils installés]]</f>
        <v>3275</v>
      </c>
      <c r="AA122" s="193">
        <f>Tableau4[[#This Row],[AF 3 par appareil ($)]]/Tableau4[[#This Row],[Surcoût par appareil ($)]]</f>
        <v>0.70602438209392826</v>
      </c>
      <c r="AB122" s="193">
        <f>Tableau4[[#This Row],[Couverture 3 (%)]]*Tableau4[[#This Row],[Nombres appareils installés]]</f>
        <v>0.70602438209392826</v>
      </c>
      <c r="AC122" s="188">
        <f>($AC$4+$AD$4*(Tableau4[[#This Row],[Capacité (BTU)]]/1000))*Tableau4[[#This Row],[Nombres appareils installés]]</f>
        <v>2820</v>
      </c>
      <c r="AD122" s="188">
        <f>Tableau4[[#This Row],[AF 4 ($)]]/Tableau4[[#This Row],[Nombres appareils installés]]</f>
        <v>2820</v>
      </c>
      <c r="AE122" s="194">
        <f>Tableau4[[#This Row],[Couverture 4 (%)]]*Tableau4[[#This Row],[Nombres appareils installés]]</f>
        <v>0.6079354984747718</v>
      </c>
      <c r="AF122" s="193">
        <f>Tableau4[[#This Row],[AF 4 par appareil  ($)]]/Tableau4[[#This Row],[Surcoût par appareil ($)]]</f>
        <v>0.6079354984747718</v>
      </c>
    </row>
    <row r="123" spans="2:32" x14ac:dyDescent="0.3">
      <c r="B123" s="195" t="s">
        <v>189</v>
      </c>
      <c r="C123" s="188" t="s">
        <v>196</v>
      </c>
      <c r="D123" s="188">
        <v>1</v>
      </c>
      <c r="E123" s="188">
        <v>155000</v>
      </c>
      <c r="F123" s="196">
        <f>Tableau4[[#This Row],[Economies totales (m3)]]/Tableau4[[#This Row],[Nombres appareils installés]]</f>
        <v>782.75</v>
      </c>
      <c r="G123" s="190">
        <v>782.75</v>
      </c>
      <c r="H123" s="188">
        <f t="shared" si="2"/>
        <v>2238.65</v>
      </c>
      <c r="I123" s="188">
        <v>2400</v>
      </c>
      <c r="J123" s="188">
        <f>Tableau4[[#This Row],[Surcoût moyens de l''équipement ($)]]+Tableau4[[#This Row],[Surcoût moyen de l''installation ($)]]</f>
        <v>4638.6499999999996</v>
      </c>
      <c r="K123" s="188">
        <f>Tableau4[[#This Row],[Surcoût par appareil ($)]]*Tableau4[[#This Row],[Nombres appareils installés]]</f>
        <v>4638.6499999999996</v>
      </c>
      <c r="L123" s="190">
        <v>1700</v>
      </c>
      <c r="M123" s="188">
        <f t="shared" si="3"/>
        <v>1675</v>
      </c>
      <c r="N123" s="188">
        <f>Tableau4[[#This Row],[AF 0 ($)]]/Tableau4[[#This Row],[Nombres appareils installés]]</f>
        <v>1675</v>
      </c>
      <c r="O123" s="191">
        <f>(Tableau4[[#This Row],[AF accordée ($)]])/($J$6*D123)</f>
        <v>0.42463905680171854</v>
      </c>
      <c r="P123" s="191">
        <f>Tableau4[[#This Row],[Couverture 0 (%)]]*Tableau4[[#This Row],[Nombres appareils installés]]</f>
        <v>0.42463905680171854</v>
      </c>
      <c r="Q123" s="188">
        <f>($Q$4+$R$4*(Tableau4[[#This Row],[Capacité (BTU)]]/1000))*Tableau4[[#This Row],[Nombres appareils installés]]</f>
        <v>2775</v>
      </c>
      <c r="R123" s="188">
        <f>Tableau4[[#This Row],[AF 1 ($)]]/Tableau4[[#This Row],[Nombres appareils installés]]</f>
        <v>2775</v>
      </c>
      <c r="S123" s="191">
        <f>Tableau4[[#This Row],[AF 1 ($)]]/(J123*D123)</f>
        <v>0.59823440009485518</v>
      </c>
      <c r="T123" s="191">
        <f>Tableau4[[#This Row],[Couverture 1 (%)]]*Tableau4[[#This Row],[Nombres appareils installés]]</f>
        <v>0.59823440009485518</v>
      </c>
      <c r="U123" s="188">
        <f>($U$4+($V$4*(Tableau4[[#This Row],[Capacité (BTU)]]/1000)))*Tableau4[[#This Row],[Nombres appareils installés]]</f>
        <v>3162.5</v>
      </c>
      <c r="V123" s="188">
        <f>Tableau4[[#This Row],[AF 2 ($)]]/Tableau4[[#This Row],[Nombres appareils installés]]</f>
        <v>3162.5</v>
      </c>
      <c r="W123" s="192">
        <f>Tableau4[[#This Row],[AF 2 par appareil ($)]]/Tableau4[[#This Row],[Surcoût par appareil ($)]]</f>
        <v>0.68177163614413683</v>
      </c>
      <c r="X123" s="192">
        <f>Tableau4[[#This Row],[Couverture 2 (%)]]*Tableau4[[#This Row],[Nombres appareils installés]]</f>
        <v>0.68177163614413683</v>
      </c>
      <c r="Y123" s="188">
        <f>($Y$4+$Z$4*(Tableau4[[#This Row],[Capacité (BTU)]]/1000))*Tableau4[[#This Row],[Nombres appareils installés]]</f>
        <v>3275</v>
      </c>
      <c r="Z123" s="188">
        <f>Tableau4[[#This Row],[AF 3 ($)]]/Tableau4[[#This Row],[Nombres appareils installés]]</f>
        <v>3275</v>
      </c>
      <c r="AA123" s="193">
        <f>Tableau4[[#This Row],[AF 3 par appareil ($)]]/Tableau4[[#This Row],[Surcoût par appareil ($)]]</f>
        <v>0.70602438209392826</v>
      </c>
      <c r="AB123" s="193">
        <f>Tableau4[[#This Row],[Couverture 3 (%)]]*Tableau4[[#This Row],[Nombres appareils installés]]</f>
        <v>0.70602438209392826</v>
      </c>
      <c r="AC123" s="188">
        <f>($AC$4+$AD$4*(Tableau4[[#This Row],[Capacité (BTU)]]/1000))*Tableau4[[#This Row],[Nombres appareils installés]]</f>
        <v>2820</v>
      </c>
      <c r="AD123" s="188">
        <f>Tableau4[[#This Row],[AF 4 ($)]]/Tableau4[[#This Row],[Nombres appareils installés]]</f>
        <v>2820</v>
      </c>
      <c r="AE123" s="194">
        <f>Tableau4[[#This Row],[Couverture 4 (%)]]*Tableau4[[#This Row],[Nombres appareils installés]]</f>
        <v>0.6079354984747718</v>
      </c>
      <c r="AF123" s="193">
        <f>Tableau4[[#This Row],[AF 4 par appareil  ($)]]/Tableau4[[#This Row],[Surcoût par appareil ($)]]</f>
        <v>0.6079354984747718</v>
      </c>
    </row>
    <row r="124" spans="2:32" x14ac:dyDescent="0.3">
      <c r="B124" s="195" t="s">
        <v>189</v>
      </c>
      <c r="C124" s="188" t="s">
        <v>198</v>
      </c>
      <c r="D124" s="188">
        <v>2</v>
      </c>
      <c r="E124" s="188">
        <v>155000</v>
      </c>
      <c r="F124" s="196">
        <f>Tableau4[[#This Row],[Economies totales (m3)]]/Tableau4[[#This Row],[Nombres appareils installés]]</f>
        <v>782.75</v>
      </c>
      <c r="G124" s="190">
        <v>1565.5</v>
      </c>
      <c r="H124" s="188">
        <f t="shared" si="2"/>
        <v>2238.65</v>
      </c>
      <c r="I124" s="188">
        <v>2400</v>
      </c>
      <c r="J124" s="188">
        <f>Tableau4[[#This Row],[Surcoût moyens de l''équipement ($)]]+Tableau4[[#This Row],[Surcoût moyen de l''installation ($)]]</f>
        <v>4638.6499999999996</v>
      </c>
      <c r="K124" s="188">
        <f>Tableau4[[#This Row],[Surcoût par appareil ($)]]*Tableau4[[#This Row],[Nombres appareils installés]]</f>
        <v>9277.2999999999993</v>
      </c>
      <c r="L124" s="190">
        <v>3400</v>
      </c>
      <c r="M124" s="188">
        <f t="shared" si="3"/>
        <v>3350</v>
      </c>
      <c r="N124" s="188">
        <f>Tableau4[[#This Row],[AF 0 ($)]]/Tableau4[[#This Row],[Nombres appareils installés]]</f>
        <v>1675</v>
      </c>
      <c r="O124" s="191">
        <f>(Tableau4[[#This Row],[AF accordée ($)]])/($J$6*D124)</f>
        <v>0.42463905680171854</v>
      </c>
      <c r="P124" s="191">
        <f>Tableau4[[#This Row],[Couverture 0 (%)]]*Tableau4[[#This Row],[Nombres appareils installés]]</f>
        <v>0.84927811360343708</v>
      </c>
      <c r="Q124" s="188">
        <f>($Q$4+$R$4*(Tableau4[[#This Row],[Capacité (BTU)]]/1000))*Tableau4[[#This Row],[Nombres appareils installés]]</f>
        <v>5550</v>
      </c>
      <c r="R124" s="188">
        <f>Tableau4[[#This Row],[AF 1 ($)]]/Tableau4[[#This Row],[Nombres appareils installés]]</f>
        <v>2775</v>
      </c>
      <c r="S124" s="191">
        <f>Tableau4[[#This Row],[AF 1 ($)]]/(J124*D124)</f>
        <v>0.59823440009485518</v>
      </c>
      <c r="T124" s="191">
        <f>Tableau4[[#This Row],[Couverture 1 (%)]]*Tableau4[[#This Row],[Nombres appareils installés]]</f>
        <v>1.1964688001897104</v>
      </c>
      <c r="U124" s="188">
        <f>($U$4+($V$4*(Tableau4[[#This Row],[Capacité (BTU)]]/1000)))*Tableau4[[#This Row],[Nombres appareils installés]]</f>
        <v>6325</v>
      </c>
      <c r="V124" s="188">
        <f>Tableau4[[#This Row],[AF 2 ($)]]/Tableau4[[#This Row],[Nombres appareils installés]]</f>
        <v>3162.5</v>
      </c>
      <c r="W124" s="192">
        <f>Tableau4[[#This Row],[AF 2 par appareil ($)]]/Tableau4[[#This Row],[Surcoût par appareil ($)]]</f>
        <v>0.68177163614413683</v>
      </c>
      <c r="X124" s="192">
        <f>Tableau4[[#This Row],[Couverture 2 (%)]]*Tableau4[[#This Row],[Nombres appareils installés]]</f>
        <v>1.3635432722882737</v>
      </c>
      <c r="Y124" s="188">
        <f>($Y$4+$Z$4*(Tableau4[[#This Row],[Capacité (BTU)]]/1000))*Tableau4[[#This Row],[Nombres appareils installés]]</f>
        <v>6550</v>
      </c>
      <c r="Z124" s="188">
        <f>Tableau4[[#This Row],[AF 3 ($)]]/Tableau4[[#This Row],[Nombres appareils installés]]</f>
        <v>3275</v>
      </c>
      <c r="AA124" s="193">
        <f>Tableau4[[#This Row],[AF 3 par appareil ($)]]/Tableau4[[#This Row],[Surcoût par appareil ($)]]</f>
        <v>0.70602438209392826</v>
      </c>
      <c r="AB124" s="193">
        <f>Tableau4[[#This Row],[Couverture 3 (%)]]*Tableau4[[#This Row],[Nombres appareils installés]]</f>
        <v>1.4120487641878565</v>
      </c>
      <c r="AC124" s="188">
        <f>($AC$4+$AD$4*(Tableau4[[#This Row],[Capacité (BTU)]]/1000))*Tableau4[[#This Row],[Nombres appareils installés]]</f>
        <v>5640</v>
      </c>
      <c r="AD124" s="188">
        <f>Tableau4[[#This Row],[AF 4 ($)]]/Tableau4[[#This Row],[Nombres appareils installés]]</f>
        <v>2820</v>
      </c>
      <c r="AE124" s="194">
        <f>Tableau4[[#This Row],[Couverture 4 (%)]]*Tableau4[[#This Row],[Nombres appareils installés]]</f>
        <v>1.2158709969495436</v>
      </c>
      <c r="AF124" s="193">
        <f>Tableau4[[#This Row],[AF 4 par appareil  ($)]]/Tableau4[[#This Row],[Surcoût par appareil ($)]]</f>
        <v>0.6079354984747718</v>
      </c>
    </row>
    <row r="125" spans="2:32" x14ac:dyDescent="0.3">
      <c r="B125" s="195" t="s">
        <v>189</v>
      </c>
      <c r="C125" s="188" t="s">
        <v>199</v>
      </c>
      <c r="D125" s="188">
        <v>3</v>
      </c>
      <c r="E125" s="188">
        <v>155000</v>
      </c>
      <c r="F125" s="196">
        <f>Tableau4[[#This Row],[Economies totales (m3)]]/Tableau4[[#This Row],[Nombres appareils installés]]</f>
        <v>782.75</v>
      </c>
      <c r="G125" s="190">
        <v>2348.25</v>
      </c>
      <c r="H125" s="188">
        <f t="shared" si="2"/>
        <v>2238.65</v>
      </c>
      <c r="I125" s="188">
        <v>2400</v>
      </c>
      <c r="J125" s="188">
        <f>Tableau4[[#This Row],[Surcoût moyens de l''équipement ($)]]+Tableau4[[#This Row],[Surcoût moyen de l''installation ($)]]</f>
        <v>4638.6499999999996</v>
      </c>
      <c r="K125" s="188">
        <f>Tableau4[[#This Row],[Surcoût par appareil ($)]]*Tableau4[[#This Row],[Nombres appareils installés]]</f>
        <v>13915.949999999999</v>
      </c>
      <c r="L125" s="190">
        <v>5100</v>
      </c>
      <c r="M125" s="188">
        <f t="shared" si="3"/>
        <v>5025</v>
      </c>
      <c r="N125" s="188">
        <f>Tableau4[[#This Row],[AF 0 ($)]]/Tableau4[[#This Row],[Nombres appareils installés]]</f>
        <v>1675</v>
      </c>
      <c r="O125" s="191">
        <f>(Tableau4[[#This Row],[AF accordée ($)]])/($J$6*D125)</f>
        <v>0.42463905680171854</v>
      </c>
      <c r="P125" s="191">
        <f>Tableau4[[#This Row],[Couverture 0 (%)]]*Tableau4[[#This Row],[Nombres appareils installés]]</f>
        <v>1.2739171704051557</v>
      </c>
      <c r="Q125" s="188">
        <f>($Q$4+$R$4*(Tableau4[[#This Row],[Capacité (BTU)]]/1000))*Tableau4[[#This Row],[Nombres appareils installés]]</f>
        <v>8325</v>
      </c>
      <c r="R125" s="188">
        <f>Tableau4[[#This Row],[AF 1 ($)]]/Tableau4[[#This Row],[Nombres appareils installés]]</f>
        <v>2775</v>
      </c>
      <c r="S125" s="191">
        <f>Tableau4[[#This Row],[AF 1 ($)]]/(J125*D125)</f>
        <v>0.59823440009485518</v>
      </c>
      <c r="T125" s="191">
        <f>Tableau4[[#This Row],[Couverture 1 (%)]]*Tableau4[[#This Row],[Nombres appareils installés]]</f>
        <v>1.7947032002845655</v>
      </c>
      <c r="U125" s="188">
        <f>($U$4+($V$4*(Tableau4[[#This Row],[Capacité (BTU)]]/1000)))*Tableau4[[#This Row],[Nombres appareils installés]]</f>
        <v>9487.5</v>
      </c>
      <c r="V125" s="188">
        <f>Tableau4[[#This Row],[AF 2 ($)]]/Tableau4[[#This Row],[Nombres appareils installés]]</f>
        <v>3162.5</v>
      </c>
      <c r="W125" s="192">
        <f>Tableau4[[#This Row],[AF 2 par appareil ($)]]/Tableau4[[#This Row],[Surcoût par appareil ($)]]</f>
        <v>0.68177163614413683</v>
      </c>
      <c r="X125" s="192">
        <f>Tableau4[[#This Row],[Couverture 2 (%)]]*Tableau4[[#This Row],[Nombres appareils installés]]</f>
        <v>2.0453149084324105</v>
      </c>
      <c r="Y125" s="188">
        <f>($Y$4+$Z$4*(Tableau4[[#This Row],[Capacité (BTU)]]/1000))*Tableau4[[#This Row],[Nombres appareils installés]]</f>
        <v>9825</v>
      </c>
      <c r="Z125" s="188">
        <f>Tableau4[[#This Row],[AF 3 ($)]]/Tableau4[[#This Row],[Nombres appareils installés]]</f>
        <v>3275</v>
      </c>
      <c r="AA125" s="193">
        <f>Tableau4[[#This Row],[AF 3 par appareil ($)]]/Tableau4[[#This Row],[Surcoût par appareil ($)]]</f>
        <v>0.70602438209392826</v>
      </c>
      <c r="AB125" s="193">
        <f>Tableau4[[#This Row],[Couverture 3 (%)]]*Tableau4[[#This Row],[Nombres appareils installés]]</f>
        <v>2.1180731462817848</v>
      </c>
      <c r="AC125" s="188">
        <f>($AC$4+$AD$4*(Tableau4[[#This Row],[Capacité (BTU)]]/1000))*Tableau4[[#This Row],[Nombres appareils installés]]</f>
        <v>8460</v>
      </c>
      <c r="AD125" s="188">
        <f>Tableau4[[#This Row],[AF 4 ($)]]/Tableau4[[#This Row],[Nombres appareils installés]]</f>
        <v>2820</v>
      </c>
      <c r="AE125" s="194">
        <f>Tableau4[[#This Row],[Couverture 4 (%)]]*Tableau4[[#This Row],[Nombres appareils installés]]</f>
        <v>1.8238064954243154</v>
      </c>
      <c r="AF125" s="193">
        <f>Tableau4[[#This Row],[AF 4 par appareil  ($)]]/Tableau4[[#This Row],[Surcoût par appareil ($)]]</f>
        <v>0.6079354984747718</v>
      </c>
    </row>
    <row r="126" spans="2:32" x14ac:dyDescent="0.3">
      <c r="B126" s="195" t="s">
        <v>189</v>
      </c>
      <c r="C126" s="188" t="s">
        <v>200</v>
      </c>
      <c r="D126" s="188">
        <v>1</v>
      </c>
      <c r="E126" s="188">
        <v>180000</v>
      </c>
      <c r="F126" s="196">
        <f>Tableau4[[#This Row],[Economies totales (m3)]]/Tableau4[[#This Row],[Nombres appareils installés]]</f>
        <v>909</v>
      </c>
      <c r="G126" s="190">
        <v>909</v>
      </c>
      <c r="H126" s="188">
        <f t="shared" si="2"/>
        <v>2487.4</v>
      </c>
      <c r="I126" s="188">
        <v>2400</v>
      </c>
      <c r="J126" s="188">
        <f>Tableau4[[#This Row],[Surcoût moyens de l''équipement ($)]]+Tableau4[[#This Row],[Surcoût moyen de l''installation ($)]]</f>
        <v>4887.3999999999996</v>
      </c>
      <c r="K126" s="188">
        <f>Tableau4[[#This Row],[Surcoût par appareil ($)]]*Tableau4[[#This Row],[Nombres appareils installés]]</f>
        <v>4887.3999999999996</v>
      </c>
      <c r="L126" s="190">
        <v>1700</v>
      </c>
      <c r="M126" s="188">
        <f t="shared" si="3"/>
        <v>1800</v>
      </c>
      <c r="N126" s="188">
        <f>Tableau4[[#This Row],[AF 0 ($)]]/Tableau4[[#This Row],[Nombres appareils installés]]</f>
        <v>1800</v>
      </c>
      <c r="O126" s="191">
        <f>(Tableau4[[#This Row],[AF accordée ($)]])/($J$6*D126)</f>
        <v>0.42463905680171854</v>
      </c>
      <c r="P126" s="191">
        <f>Tableau4[[#This Row],[Couverture 0 (%)]]*Tableau4[[#This Row],[Nombres appareils installés]]</f>
        <v>0.42463905680171854</v>
      </c>
      <c r="Q126" s="188">
        <f>($Q$4+$R$4*(Tableau4[[#This Row],[Capacité (BTU)]]/1000))*Tableau4[[#This Row],[Nombres appareils installés]]</f>
        <v>2900</v>
      </c>
      <c r="R126" s="188">
        <f>Tableau4[[#This Row],[AF 1 ($)]]/Tableau4[[#This Row],[Nombres appareils installés]]</f>
        <v>2900</v>
      </c>
      <c r="S126" s="191">
        <f>Tableau4[[#This Row],[AF 1 ($)]]/(J126*D126)</f>
        <v>0.59336252404141265</v>
      </c>
      <c r="T126" s="191">
        <f>Tableau4[[#This Row],[Couverture 1 (%)]]*Tableau4[[#This Row],[Nombres appareils installés]]</f>
        <v>0.59336252404141265</v>
      </c>
      <c r="U126" s="188">
        <f>($U$4+($V$4*(Tableau4[[#This Row],[Capacité (BTU)]]/1000)))*Tableau4[[#This Row],[Nombres appareils installés]]</f>
        <v>3350</v>
      </c>
      <c r="V126" s="188">
        <f>Tableau4[[#This Row],[AF 2 ($)]]/Tableau4[[#This Row],[Nombres appareils installés]]</f>
        <v>3350</v>
      </c>
      <c r="W126" s="192">
        <f>Tableau4[[#This Row],[AF 2 par appareil ($)]]/Tableau4[[#This Row],[Surcoût par appareil ($)]]</f>
        <v>0.68543601915128705</v>
      </c>
      <c r="X126" s="192">
        <f>Tableau4[[#This Row],[Couverture 2 (%)]]*Tableau4[[#This Row],[Nombres appareils installés]]</f>
        <v>0.68543601915128705</v>
      </c>
      <c r="Y126" s="188">
        <f>($Y$4+$Z$4*(Tableau4[[#This Row],[Capacité (BTU)]]/1000))*Tableau4[[#This Row],[Nombres appareils installés]]</f>
        <v>3400</v>
      </c>
      <c r="Z126" s="188">
        <f>Tableau4[[#This Row],[AF 3 ($)]]/Tableau4[[#This Row],[Nombres appareils installés]]</f>
        <v>3400</v>
      </c>
      <c r="AA126" s="193">
        <f>Tableau4[[#This Row],[AF 3 par appareil ($)]]/Tableau4[[#This Row],[Surcoût par appareil ($)]]</f>
        <v>0.69566640749682862</v>
      </c>
      <c r="AB126" s="193">
        <f>Tableau4[[#This Row],[Couverture 3 (%)]]*Tableau4[[#This Row],[Nombres appareils installés]]</f>
        <v>0.69566640749682862</v>
      </c>
      <c r="AC126" s="188">
        <f>($AC$4+$AD$4*(Tableau4[[#This Row],[Capacité (BTU)]]/1000))*Tableau4[[#This Row],[Nombres appareils installés]]</f>
        <v>2920</v>
      </c>
      <c r="AD126" s="188">
        <f>Tableau4[[#This Row],[AF 4 ($)]]/Tableau4[[#This Row],[Nombres appareils installés]]</f>
        <v>2920</v>
      </c>
      <c r="AE126" s="194">
        <f>Tableau4[[#This Row],[Couverture 4 (%)]]*Tableau4[[#This Row],[Nombres appareils installés]]</f>
        <v>0.59745467937962926</v>
      </c>
      <c r="AF126" s="193">
        <f>Tableau4[[#This Row],[AF 4 par appareil  ($)]]/Tableau4[[#This Row],[Surcoût par appareil ($)]]</f>
        <v>0.59745467937962926</v>
      </c>
    </row>
    <row r="127" spans="2:32" x14ac:dyDescent="0.3">
      <c r="B127" s="195" t="s">
        <v>189</v>
      </c>
      <c r="C127" s="188" t="s">
        <v>201</v>
      </c>
      <c r="D127" s="188">
        <v>1</v>
      </c>
      <c r="E127" s="188">
        <v>180000</v>
      </c>
      <c r="F127" s="196">
        <f>Tableau4[[#This Row],[Economies totales (m3)]]/Tableau4[[#This Row],[Nombres appareils installés]]</f>
        <v>909</v>
      </c>
      <c r="G127" s="190">
        <v>909</v>
      </c>
      <c r="H127" s="188">
        <f t="shared" si="2"/>
        <v>2487.4</v>
      </c>
      <c r="I127" s="188">
        <v>2400</v>
      </c>
      <c r="J127" s="188">
        <f>Tableau4[[#This Row],[Surcoût moyens de l''équipement ($)]]+Tableau4[[#This Row],[Surcoût moyen de l''installation ($)]]</f>
        <v>4887.3999999999996</v>
      </c>
      <c r="K127" s="188">
        <f>Tableau4[[#This Row],[Surcoût par appareil ($)]]*Tableau4[[#This Row],[Nombres appareils installés]]</f>
        <v>4887.3999999999996</v>
      </c>
      <c r="L127" s="190">
        <v>1700</v>
      </c>
      <c r="M127" s="188">
        <f t="shared" si="3"/>
        <v>1800</v>
      </c>
      <c r="N127" s="188">
        <f>Tableau4[[#This Row],[AF 0 ($)]]/Tableau4[[#This Row],[Nombres appareils installés]]</f>
        <v>1800</v>
      </c>
      <c r="O127" s="191">
        <f>(Tableau4[[#This Row],[AF accordée ($)]])/($J$6*D127)</f>
        <v>0.42463905680171854</v>
      </c>
      <c r="P127" s="191">
        <f>Tableau4[[#This Row],[Couverture 0 (%)]]*Tableau4[[#This Row],[Nombres appareils installés]]</f>
        <v>0.42463905680171854</v>
      </c>
      <c r="Q127" s="188">
        <f>($Q$4+$R$4*(Tableau4[[#This Row],[Capacité (BTU)]]/1000))*Tableau4[[#This Row],[Nombres appareils installés]]</f>
        <v>2900</v>
      </c>
      <c r="R127" s="188">
        <f>Tableau4[[#This Row],[AF 1 ($)]]/Tableau4[[#This Row],[Nombres appareils installés]]</f>
        <v>2900</v>
      </c>
      <c r="S127" s="191">
        <f>Tableau4[[#This Row],[AF 1 ($)]]/(J127*D127)</f>
        <v>0.59336252404141265</v>
      </c>
      <c r="T127" s="191">
        <f>Tableau4[[#This Row],[Couverture 1 (%)]]*Tableau4[[#This Row],[Nombres appareils installés]]</f>
        <v>0.59336252404141265</v>
      </c>
      <c r="U127" s="188">
        <f>($U$4+($V$4*(Tableau4[[#This Row],[Capacité (BTU)]]/1000)))*Tableau4[[#This Row],[Nombres appareils installés]]</f>
        <v>3350</v>
      </c>
      <c r="V127" s="188">
        <f>Tableau4[[#This Row],[AF 2 ($)]]/Tableau4[[#This Row],[Nombres appareils installés]]</f>
        <v>3350</v>
      </c>
      <c r="W127" s="192">
        <f>Tableau4[[#This Row],[AF 2 par appareil ($)]]/Tableau4[[#This Row],[Surcoût par appareil ($)]]</f>
        <v>0.68543601915128705</v>
      </c>
      <c r="X127" s="192">
        <f>Tableau4[[#This Row],[Couverture 2 (%)]]*Tableau4[[#This Row],[Nombres appareils installés]]</f>
        <v>0.68543601915128705</v>
      </c>
      <c r="Y127" s="188">
        <f>($Y$4+$Z$4*(Tableau4[[#This Row],[Capacité (BTU)]]/1000))*Tableau4[[#This Row],[Nombres appareils installés]]</f>
        <v>3400</v>
      </c>
      <c r="Z127" s="188">
        <f>Tableau4[[#This Row],[AF 3 ($)]]/Tableau4[[#This Row],[Nombres appareils installés]]</f>
        <v>3400</v>
      </c>
      <c r="AA127" s="193">
        <f>Tableau4[[#This Row],[AF 3 par appareil ($)]]/Tableau4[[#This Row],[Surcoût par appareil ($)]]</f>
        <v>0.69566640749682862</v>
      </c>
      <c r="AB127" s="193">
        <f>Tableau4[[#This Row],[Couverture 3 (%)]]*Tableau4[[#This Row],[Nombres appareils installés]]</f>
        <v>0.69566640749682862</v>
      </c>
      <c r="AC127" s="188">
        <f>($AC$4+$AD$4*(Tableau4[[#This Row],[Capacité (BTU)]]/1000))*Tableau4[[#This Row],[Nombres appareils installés]]</f>
        <v>2920</v>
      </c>
      <c r="AD127" s="188">
        <f>Tableau4[[#This Row],[AF 4 ($)]]/Tableau4[[#This Row],[Nombres appareils installés]]</f>
        <v>2920</v>
      </c>
      <c r="AE127" s="194">
        <f>Tableau4[[#This Row],[Couverture 4 (%)]]*Tableau4[[#This Row],[Nombres appareils installés]]</f>
        <v>0.59745467937962926</v>
      </c>
      <c r="AF127" s="193">
        <f>Tableau4[[#This Row],[AF 4 par appareil  ($)]]/Tableau4[[#This Row],[Surcoût par appareil ($)]]</f>
        <v>0.59745467937962926</v>
      </c>
    </row>
    <row r="128" spans="2:32" x14ac:dyDescent="0.3">
      <c r="B128" s="195" t="s">
        <v>189</v>
      </c>
      <c r="C128" s="188" t="s">
        <v>202</v>
      </c>
      <c r="D128" s="188">
        <v>1</v>
      </c>
      <c r="E128" s="188">
        <v>180000</v>
      </c>
      <c r="F128" s="196">
        <f>Tableau4[[#This Row],[Economies totales (m3)]]/Tableau4[[#This Row],[Nombres appareils installés]]</f>
        <v>909</v>
      </c>
      <c r="G128" s="190">
        <v>909</v>
      </c>
      <c r="H128" s="188">
        <f t="shared" si="2"/>
        <v>2487.4</v>
      </c>
      <c r="I128" s="188">
        <v>2400</v>
      </c>
      <c r="J128" s="188">
        <f>Tableau4[[#This Row],[Surcoût moyens de l''équipement ($)]]+Tableau4[[#This Row],[Surcoût moyen de l''installation ($)]]</f>
        <v>4887.3999999999996</v>
      </c>
      <c r="K128" s="188">
        <f>Tableau4[[#This Row],[Surcoût par appareil ($)]]*Tableau4[[#This Row],[Nombres appareils installés]]</f>
        <v>4887.3999999999996</v>
      </c>
      <c r="L128" s="190">
        <v>1700</v>
      </c>
      <c r="M128" s="188">
        <f t="shared" si="3"/>
        <v>1800</v>
      </c>
      <c r="N128" s="188">
        <f>Tableau4[[#This Row],[AF 0 ($)]]/Tableau4[[#This Row],[Nombres appareils installés]]</f>
        <v>1800</v>
      </c>
      <c r="O128" s="191">
        <f>(Tableau4[[#This Row],[AF accordée ($)]])/($J$6*D128)</f>
        <v>0.42463905680171854</v>
      </c>
      <c r="P128" s="191">
        <f>Tableau4[[#This Row],[Couverture 0 (%)]]*Tableau4[[#This Row],[Nombres appareils installés]]</f>
        <v>0.42463905680171854</v>
      </c>
      <c r="Q128" s="188">
        <f>($Q$4+$R$4*(Tableau4[[#This Row],[Capacité (BTU)]]/1000))*Tableau4[[#This Row],[Nombres appareils installés]]</f>
        <v>2900</v>
      </c>
      <c r="R128" s="188">
        <f>Tableau4[[#This Row],[AF 1 ($)]]/Tableau4[[#This Row],[Nombres appareils installés]]</f>
        <v>2900</v>
      </c>
      <c r="S128" s="191">
        <f>Tableau4[[#This Row],[AF 1 ($)]]/(J128*D128)</f>
        <v>0.59336252404141265</v>
      </c>
      <c r="T128" s="191">
        <f>Tableau4[[#This Row],[Couverture 1 (%)]]*Tableau4[[#This Row],[Nombres appareils installés]]</f>
        <v>0.59336252404141265</v>
      </c>
      <c r="U128" s="188">
        <f>($U$4+($V$4*(Tableau4[[#This Row],[Capacité (BTU)]]/1000)))*Tableau4[[#This Row],[Nombres appareils installés]]</f>
        <v>3350</v>
      </c>
      <c r="V128" s="188">
        <f>Tableau4[[#This Row],[AF 2 ($)]]/Tableau4[[#This Row],[Nombres appareils installés]]</f>
        <v>3350</v>
      </c>
      <c r="W128" s="192">
        <f>Tableau4[[#This Row],[AF 2 par appareil ($)]]/Tableau4[[#This Row],[Surcoût par appareil ($)]]</f>
        <v>0.68543601915128705</v>
      </c>
      <c r="X128" s="192">
        <f>Tableau4[[#This Row],[Couverture 2 (%)]]*Tableau4[[#This Row],[Nombres appareils installés]]</f>
        <v>0.68543601915128705</v>
      </c>
      <c r="Y128" s="188">
        <f>($Y$4+$Z$4*(Tableau4[[#This Row],[Capacité (BTU)]]/1000))*Tableau4[[#This Row],[Nombres appareils installés]]</f>
        <v>3400</v>
      </c>
      <c r="Z128" s="188">
        <f>Tableau4[[#This Row],[AF 3 ($)]]/Tableau4[[#This Row],[Nombres appareils installés]]</f>
        <v>3400</v>
      </c>
      <c r="AA128" s="193">
        <f>Tableau4[[#This Row],[AF 3 par appareil ($)]]/Tableau4[[#This Row],[Surcoût par appareil ($)]]</f>
        <v>0.69566640749682862</v>
      </c>
      <c r="AB128" s="193">
        <f>Tableau4[[#This Row],[Couverture 3 (%)]]*Tableau4[[#This Row],[Nombres appareils installés]]</f>
        <v>0.69566640749682862</v>
      </c>
      <c r="AC128" s="188">
        <f>($AC$4+$AD$4*(Tableau4[[#This Row],[Capacité (BTU)]]/1000))*Tableau4[[#This Row],[Nombres appareils installés]]</f>
        <v>2920</v>
      </c>
      <c r="AD128" s="188">
        <f>Tableau4[[#This Row],[AF 4 ($)]]/Tableau4[[#This Row],[Nombres appareils installés]]</f>
        <v>2920</v>
      </c>
      <c r="AE128" s="194">
        <f>Tableau4[[#This Row],[Couverture 4 (%)]]*Tableau4[[#This Row],[Nombres appareils installés]]</f>
        <v>0.59745467937962926</v>
      </c>
      <c r="AF128" s="193">
        <f>Tableau4[[#This Row],[AF 4 par appareil  ($)]]/Tableau4[[#This Row],[Surcoût par appareil ($)]]</f>
        <v>0.59745467937962926</v>
      </c>
    </row>
    <row r="129" spans="2:32" x14ac:dyDescent="0.3">
      <c r="B129" s="195" t="s">
        <v>189</v>
      </c>
      <c r="C129" s="188" t="s">
        <v>203</v>
      </c>
      <c r="D129" s="188">
        <v>2</v>
      </c>
      <c r="E129" s="188">
        <v>180000</v>
      </c>
      <c r="F129" s="196">
        <f>Tableau4[[#This Row],[Economies totales (m3)]]/Tableau4[[#This Row],[Nombres appareils installés]]</f>
        <v>909</v>
      </c>
      <c r="G129" s="190">
        <v>1818</v>
      </c>
      <c r="H129" s="188">
        <f t="shared" si="2"/>
        <v>2487.4</v>
      </c>
      <c r="I129" s="188">
        <v>2400</v>
      </c>
      <c r="J129" s="188">
        <f>Tableau4[[#This Row],[Surcoût moyens de l''équipement ($)]]+Tableau4[[#This Row],[Surcoût moyen de l''installation ($)]]</f>
        <v>4887.3999999999996</v>
      </c>
      <c r="K129" s="188">
        <f>Tableau4[[#This Row],[Surcoût par appareil ($)]]*Tableau4[[#This Row],[Nombres appareils installés]]</f>
        <v>9774.7999999999993</v>
      </c>
      <c r="L129" s="190">
        <v>3400</v>
      </c>
      <c r="M129" s="188">
        <f t="shared" si="3"/>
        <v>3600</v>
      </c>
      <c r="N129" s="188">
        <f>Tableau4[[#This Row],[AF 0 ($)]]/Tableau4[[#This Row],[Nombres appareils installés]]</f>
        <v>1800</v>
      </c>
      <c r="O129" s="191">
        <f>(Tableau4[[#This Row],[AF accordée ($)]])/($J$6*D129)</f>
        <v>0.42463905680171854</v>
      </c>
      <c r="P129" s="191">
        <f>Tableau4[[#This Row],[Couverture 0 (%)]]*Tableau4[[#This Row],[Nombres appareils installés]]</f>
        <v>0.84927811360343708</v>
      </c>
      <c r="Q129" s="188">
        <f>($Q$4+$R$4*(Tableau4[[#This Row],[Capacité (BTU)]]/1000))*Tableau4[[#This Row],[Nombres appareils installés]]</f>
        <v>5800</v>
      </c>
      <c r="R129" s="188">
        <f>Tableau4[[#This Row],[AF 1 ($)]]/Tableau4[[#This Row],[Nombres appareils installés]]</f>
        <v>2900</v>
      </c>
      <c r="S129" s="191">
        <f>Tableau4[[#This Row],[AF 1 ($)]]/(J129*D129)</f>
        <v>0.59336252404141265</v>
      </c>
      <c r="T129" s="191">
        <f>Tableau4[[#This Row],[Couverture 1 (%)]]*Tableau4[[#This Row],[Nombres appareils installés]]</f>
        <v>1.1867250480828253</v>
      </c>
      <c r="U129" s="188">
        <f>($U$4+($V$4*(Tableau4[[#This Row],[Capacité (BTU)]]/1000)))*Tableau4[[#This Row],[Nombres appareils installés]]</f>
        <v>6700</v>
      </c>
      <c r="V129" s="188">
        <f>Tableau4[[#This Row],[AF 2 ($)]]/Tableau4[[#This Row],[Nombres appareils installés]]</f>
        <v>3350</v>
      </c>
      <c r="W129" s="192">
        <f>Tableau4[[#This Row],[AF 2 par appareil ($)]]/Tableau4[[#This Row],[Surcoût par appareil ($)]]</f>
        <v>0.68543601915128705</v>
      </c>
      <c r="X129" s="192">
        <f>Tableau4[[#This Row],[Couverture 2 (%)]]*Tableau4[[#This Row],[Nombres appareils installés]]</f>
        <v>1.3708720383025741</v>
      </c>
      <c r="Y129" s="188">
        <f>($Y$4+$Z$4*(Tableau4[[#This Row],[Capacité (BTU)]]/1000))*Tableau4[[#This Row],[Nombres appareils installés]]</f>
        <v>6800</v>
      </c>
      <c r="Z129" s="188">
        <f>Tableau4[[#This Row],[AF 3 ($)]]/Tableau4[[#This Row],[Nombres appareils installés]]</f>
        <v>3400</v>
      </c>
      <c r="AA129" s="193">
        <f>Tableau4[[#This Row],[AF 3 par appareil ($)]]/Tableau4[[#This Row],[Surcoût par appareil ($)]]</f>
        <v>0.69566640749682862</v>
      </c>
      <c r="AB129" s="193">
        <f>Tableau4[[#This Row],[Couverture 3 (%)]]*Tableau4[[#This Row],[Nombres appareils installés]]</f>
        <v>1.3913328149936572</v>
      </c>
      <c r="AC129" s="188">
        <f>($AC$4+$AD$4*(Tableau4[[#This Row],[Capacité (BTU)]]/1000))*Tableau4[[#This Row],[Nombres appareils installés]]</f>
        <v>5840</v>
      </c>
      <c r="AD129" s="188">
        <f>Tableau4[[#This Row],[AF 4 ($)]]/Tableau4[[#This Row],[Nombres appareils installés]]</f>
        <v>2920</v>
      </c>
      <c r="AE129" s="194">
        <f>Tableau4[[#This Row],[Couverture 4 (%)]]*Tableau4[[#This Row],[Nombres appareils installés]]</f>
        <v>1.1949093587592585</v>
      </c>
      <c r="AF129" s="193">
        <f>Tableau4[[#This Row],[AF 4 par appareil  ($)]]/Tableau4[[#This Row],[Surcoût par appareil ($)]]</f>
        <v>0.59745467937962926</v>
      </c>
    </row>
    <row r="130" spans="2:32" x14ac:dyDescent="0.3">
      <c r="B130" s="195" t="s">
        <v>189</v>
      </c>
      <c r="C130" s="188" t="s">
        <v>122</v>
      </c>
      <c r="D130" s="188">
        <v>6</v>
      </c>
      <c r="E130" s="188">
        <v>180000</v>
      </c>
      <c r="F130" s="196">
        <f>Tableau4[[#This Row],[Economies totales (m3)]]/Tableau4[[#This Row],[Nombres appareils installés]]</f>
        <v>909</v>
      </c>
      <c r="G130" s="190">
        <v>5454</v>
      </c>
      <c r="H130" s="188">
        <f t="shared" si="2"/>
        <v>2487.4</v>
      </c>
      <c r="I130" s="188">
        <v>2400</v>
      </c>
      <c r="J130" s="188">
        <f>Tableau4[[#This Row],[Surcoût moyens de l''équipement ($)]]+Tableau4[[#This Row],[Surcoût moyen de l''installation ($)]]</f>
        <v>4887.3999999999996</v>
      </c>
      <c r="K130" s="188">
        <f>Tableau4[[#This Row],[Surcoût par appareil ($)]]*Tableau4[[#This Row],[Nombres appareils installés]]</f>
        <v>29324.399999999998</v>
      </c>
      <c r="L130" s="190">
        <v>10200</v>
      </c>
      <c r="M130" s="188">
        <f t="shared" si="3"/>
        <v>10800</v>
      </c>
      <c r="N130" s="188">
        <f>Tableau4[[#This Row],[AF 0 ($)]]/Tableau4[[#This Row],[Nombres appareils installés]]</f>
        <v>1800</v>
      </c>
      <c r="O130" s="191">
        <f>(Tableau4[[#This Row],[AF accordée ($)]])/($J$6*D130)</f>
        <v>0.42463905680171854</v>
      </c>
      <c r="P130" s="191">
        <f>Tableau4[[#This Row],[Couverture 0 (%)]]*Tableau4[[#This Row],[Nombres appareils installés]]</f>
        <v>2.5478343408103115</v>
      </c>
      <c r="Q130" s="188">
        <f>($Q$4+$R$4*(Tableau4[[#This Row],[Capacité (BTU)]]/1000))*Tableau4[[#This Row],[Nombres appareils installés]]</f>
        <v>17400</v>
      </c>
      <c r="R130" s="188">
        <f>Tableau4[[#This Row],[AF 1 ($)]]/Tableau4[[#This Row],[Nombres appareils installés]]</f>
        <v>2900</v>
      </c>
      <c r="S130" s="191">
        <f>Tableau4[[#This Row],[AF 1 ($)]]/(J130*D130)</f>
        <v>0.59336252404141265</v>
      </c>
      <c r="T130" s="191">
        <f>Tableau4[[#This Row],[Couverture 1 (%)]]*Tableau4[[#This Row],[Nombres appareils installés]]</f>
        <v>3.5601751442484759</v>
      </c>
      <c r="U130" s="188">
        <f>($U$4+($V$4*(Tableau4[[#This Row],[Capacité (BTU)]]/1000)))*Tableau4[[#This Row],[Nombres appareils installés]]</f>
        <v>20100</v>
      </c>
      <c r="V130" s="188">
        <f>Tableau4[[#This Row],[AF 2 ($)]]/Tableau4[[#This Row],[Nombres appareils installés]]</f>
        <v>3350</v>
      </c>
      <c r="W130" s="192">
        <f>Tableau4[[#This Row],[AF 2 par appareil ($)]]/Tableau4[[#This Row],[Surcoût par appareil ($)]]</f>
        <v>0.68543601915128705</v>
      </c>
      <c r="X130" s="192">
        <f>Tableau4[[#This Row],[Couverture 2 (%)]]*Tableau4[[#This Row],[Nombres appareils installés]]</f>
        <v>4.1126161149077225</v>
      </c>
      <c r="Y130" s="188">
        <f>($Y$4+$Z$4*(Tableau4[[#This Row],[Capacité (BTU)]]/1000))*Tableau4[[#This Row],[Nombres appareils installés]]</f>
        <v>20400</v>
      </c>
      <c r="Z130" s="188">
        <f>Tableau4[[#This Row],[AF 3 ($)]]/Tableau4[[#This Row],[Nombres appareils installés]]</f>
        <v>3400</v>
      </c>
      <c r="AA130" s="193">
        <f>Tableau4[[#This Row],[AF 3 par appareil ($)]]/Tableau4[[#This Row],[Surcoût par appareil ($)]]</f>
        <v>0.69566640749682862</v>
      </c>
      <c r="AB130" s="193">
        <f>Tableau4[[#This Row],[Couverture 3 (%)]]*Tableau4[[#This Row],[Nombres appareils installés]]</f>
        <v>4.1739984449809722</v>
      </c>
      <c r="AC130" s="188">
        <f>($AC$4+$AD$4*(Tableau4[[#This Row],[Capacité (BTU)]]/1000))*Tableau4[[#This Row],[Nombres appareils installés]]</f>
        <v>17520</v>
      </c>
      <c r="AD130" s="188">
        <f>Tableau4[[#This Row],[AF 4 ($)]]/Tableau4[[#This Row],[Nombres appareils installés]]</f>
        <v>2920</v>
      </c>
      <c r="AE130" s="194">
        <f>Tableau4[[#This Row],[Couverture 4 (%)]]*Tableau4[[#This Row],[Nombres appareils installés]]</f>
        <v>3.5847280762777753</v>
      </c>
      <c r="AF130" s="193">
        <f>Tableau4[[#This Row],[AF 4 par appareil  ($)]]/Tableau4[[#This Row],[Surcoût par appareil ($)]]</f>
        <v>0.59745467937962926</v>
      </c>
    </row>
    <row r="131" spans="2:32" x14ac:dyDescent="0.3">
      <c r="B131" s="195" t="s">
        <v>189</v>
      </c>
      <c r="C131" s="188" t="s">
        <v>204</v>
      </c>
      <c r="D131" s="188">
        <v>2</v>
      </c>
      <c r="E131" s="188">
        <v>200000</v>
      </c>
      <c r="F131" s="196">
        <f>Tableau4[[#This Row],[Economies totales (m3)]]/Tableau4[[#This Row],[Nombres appareils installés]]</f>
        <v>1010</v>
      </c>
      <c r="G131" s="190">
        <v>2020</v>
      </c>
      <c r="H131" s="188">
        <f t="shared" si="2"/>
        <v>2713.4</v>
      </c>
      <c r="I131" s="188">
        <v>2400</v>
      </c>
      <c r="J131" s="188">
        <f>Tableau4[[#This Row],[Surcoût moyens de l''équipement ($)]]+Tableau4[[#This Row],[Surcoût moyen de l''installation ($)]]</f>
        <v>5113.3999999999996</v>
      </c>
      <c r="K131" s="188">
        <f>Tableau4[[#This Row],[Surcoût par appareil ($)]]*Tableau4[[#This Row],[Nombres appareils installés]]</f>
        <v>10226.799999999999</v>
      </c>
      <c r="L131" s="190">
        <v>3800</v>
      </c>
      <c r="M131" s="188">
        <f t="shared" si="3"/>
        <v>3800</v>
      </c>
      <c r="N131" s="188">
        <f>Tableau4[[#This Row],[AF 0 ($)]]/Tableau4[[#This Row],[Nombres appareils installés]]</f>
        <v>1900</v>
      </c>
      <c r="O131" s="191">
        <f>(Tableau4[[#This Row],[AF accordée ($)]])/($J$6*D131)</f>
        <v>0.47459659289603834</v>
      </c>
      <c r="P131" s="191">
        <f>Tableau4[[#This Row],[Couverture 0 (%)]]*Tableau4[[#This Row],[Nombres appareils installés]]</f>
        <v>0.94919318579207668</v>
      </c>
      <c r="Q131" s="188">
        <f>($Q$4+$R$4*(Tableau4[[#This Row],[Capacité (BTU)]]/1000))*Tableau4[[#This Row],[Nombres appareils installés]]</f>
        <v>6000</v>
      </c>
      <c r="R131" s="188">
        <f>Tableau4[[#This Row],[AF 1 ($)]]/Tableau4[[#This Row],[Nombres appareils installés]]</f>
        <v>3000</v>
      </c>
      <c r="S131" s="191">
        <f>Tableau4[[#This Row],[AF 1 ($)]]/(J131*D131)</f>
        <v>0.58669378495717139</v>
      </c>
      <c r="T131" s="191">
        <f>Tableau4[[#This Row],[Couverture 1 (%)]]*Tableau4[[#This Row],[Nombres appareils installés]]</f>
        <v>1.1733875699143428</v>
      </c>
      <c r="U131" s="188">
        <f>($U$4+($V$4*(Tableau4[[#This Row],[Capacité (BTU)]]/1000)))*Tableau4[[#This Row],[Nombres appareils installés]]</f>
        <v>7000</v>
      </c>
      <c r="V131" s="188">
        <f>Tableau4[[#This Row],[AF 2 ($)]]/Tableau4[[#This Row],[Nombres appareils installés]]</f>
        <v>3500</v>
      </c>
      <c r="W131" s="192">
        <f>Tableau4[[#This Row],[AF 2 par appareil ($)]]/Tableau4[[#This Row],[Surcoût par appareil ($)]]</f>
        <v>0.68447608245003333</v>
      </c>
      <c r="X131" s="192">
        <f>Tableau4[[#This Row],[Couverture 2 (%)]]*Tableau4[[#This Row],[Nombres appareils installés]]</f>
        <v>1.3689521649000667</v>
      </c>
      <c r="Y131" s="188">
        <f>($Y$4+$Z$4*(Tableau4[[#This Row],[Capacité (BTU)]]/1000))*Tableau4[[#This Row],[Nombres appareils installés]]</f>
        <v>7000</v>
      </c>
      <c r="Z131" s="188">
        <f>Tableau4[[#This Row],[AF 3 ($)]]/Tableau4[[#This Row],[Nombres appareils installés]]</f>
        <v>3500</v>
      </c>
      <c r="AA131" s="193">
        <f>Tableau4[[#This Row],[AF 3 par appareil ($)]]/Tableau4[[#This Row],[Surcoût par appareil ($)]]</f>
        <v>0.68447608245003333</v>
      </c>
      <c r="AB131" s="193">
        <f>Tableau4[[#This Row],[Couverture 3 (%)]]*Tableau4[[#This Row],[Nombres appareils installés]]</f>
        <v>1.3689521649000667</v>
      </c>
      <c r="AC131" s="188">
        <f>($AC$4+$AD$4*(Tableau4[[#This Row],[Capacité (BTU)]]/1000))*Tableau4[[#This Row],[Nombres appareils installés]]</f>
        <v>6000</v>
      </c>
      <c r="AD131" s="188">
        <f>Tableau4[[#This Row],[AF 4 ($)]]/Tableau4[[#This Row],[Nombres appareils installés]]</f>
        <v>3000</v>
      </c>
      <c r="AE131" s="194">
        <f>Tableau4[[#This Row],[Couverture 4 (%)]]*Tableau4[[#This Row],[Nombres appareils installés]]</f>
        <v>1.1733875699143428</v>
      </c>
      <c r="AF131" s="193">
        <f>Tableau4[[#This Row],[AF 4 par appareil  ($)]]/Tableau4[[#This Row],[Surcoût par appareil ($)]]</f>
        <v>0.58669378495717139</v>
      </c>
    </row>
    <row r="132" spans="2:32" x14ac:dyDescent="0.3">
      <c r="B132" s="195" t="s">
        <v>189</v>
      </c>
      <c r="C132" s="188" t="s">
        <v>205</v>
      </c>
      <c r="D132" s="188">
        <v>4</v>
      </c>
      <c r="E132" s="188">
        <v>200000</v>
      </c>
      <c r="F132" s="196">
        <f>Tableau4[[#This Row],[Economies totales (m3)]]/Tableau4[[#This Row],[Nombres appareils installés]]</f>
        <v>1010</v>
      </c>
      <c r="G132" s="190">
        <v>4040</v>
      </c>
      <c r="H132" s="188">
        <f t="shared" si="2"/>
        <v>2713.4</v>
      </c>
      <c r="I132" s="188">
        <v>2400</v>
      </c>
      <c r="J132" s="188">
        <f>Tableau4[[#This Row],[Surcoût moyens de l''équipement ($)]]+Tableau4[[#This Row],[Surcoût moyen de l''installation ($)]]</f>
        <v>5113.3999999999996</v>
      </c>
      <c r="K132" s="188">
        <f>Tableau4[[#This Row],[Surcoût par appareil ($)]]*Tableau4[[#This Row],[Nombres appareils installés]]</f>
        <v>20453.599999999999</v>
      </c>
      <c r="L132" s="190">
        <v>6800</v>
      </c>
      <c r="M132" s="188">
        <f t="shared" si="3"/>
        <v>7600</v>
      </c>
      <c r="N132" s="188">
        <f>Tableau4[[#This Row],[AF 0 ($)]]/Tableau4[[#This Row],[Nombres appareils installés]]</f>
        <v>1900</v>
      </c>
      <c r="O132" s="191">
        <f>(Tableau4[[#This Row],[AF accordée ($)]])/($J$6*D132)</f>
        <v>0.42463905680171854</v>
      </c>
      <c r="P132" s="191">
        <f>Tableau4[[#This Row],[Couverture 0 (%)]]*Tableau4[[#This Row],[Nombres appareils installés]]</f>
        <v>1.6985562272068742</v>
      </c>
      <c r="Q132" s="188">
        <f>($Q$4+$R$4*(Tableau4[[#This Row],[Capacité (BTU)]]/1000))*Tableau4[[#This Row],[Nombres appareils installés]]</f>
        <v>12000</v>
      </c>
      <c r="R132" s="188">
        <f>Tableau4[[#This Row],[AF 1 ($)]]/Tableau4[[#This Row],[Nombres appareils installés]]</f>
        <v>3000</v>
      </c>
      <c r="S132" s="191">
        <f>Tableau4[[#This Row],[AF 1 ($)]]/(J132*D132)</f>
        <v>0.58669378495717139</v>
      </c>
      <c r="T132" s="191">
        <f>Tableau4[[#This Row],[Couverture 1 (%)]]*Tableau4[[#This Row],[Nombres appareils installés]]</f>
        <v>2.3467751398286856</v>
      </c>
      <c r="U132" s="188">
        <f>($U$4+($V$4*(Tableau4[[#This Row],[Capacité (BTU)]]/1000)))*Tableau4[[#This Row],[Nombres appareils installés]]</f>
        <v>14000</v>
      </c>
      <c r="V132" s="188">
        <f>Tableau4[[#This Row],[AF 2 ($)]]/Tableau4[[#This Row],[Nombres appareils installés]]</f>
        <v>3500</v>
      </c>
      <c r="W132" s="192">
        <f>Tableau4[[#This Row],[AF 2 par appareil ($)]]/Tableau4[[#This Row],[Surcoût par appareil ($)]]</f>
        <v>0.68447608245003333</v>
      </c>
      <c r="X132" s="192">
        <f>Tableau4[[#This Row],[Couverture 2 (%)]]*Tableau4[[#This Row],[Nombres appareils installés]]</f>
        <v>2.7379043298001333</v>
      </c>
      <c r="Y132" s="188">
        <f>($Y$4+$Z$4*(Tableau4[[#This Row],[Capacité (BTU)]]/1000))*Tableau4[[#This Row],[Nombres appareils installés]]</f>
        <v>14000</v>
      </c>
      <c r="Z132" s="188">
        <f>Tableau4[[#This Row],[AF 3 ($)]]/Tableau4[[#This Row],[Nombres appareils installés]]</f>
        <v>3500</v>
      </c>
      <c r="AA132" s="193">
        <f>Tableau4[[#This Row],[AF 3 par appareil ($)]]/Tableau4[[#This Row],[Surcoût par appareil ($)]]</f>
        <v>0.68447608245003333</v>
      </c>
      <c r="AB132" s="193">
        <f>Tableau4[[#This Row],[Couverture 3 (%)]]*Tableau4[[#This Row],[Nombres appareils installés]]</f>
        <v>2.7379043298001333</v>
      </c>
      <c r="AC132" s="188">
        <f>($AC$4+$AD$4*(Tableau4[[#This Row],[Capacité (BTU)]]/1000))*Tableau4[[#This Row],[Nombres appareils installés]]</f>
        <v>12000</v>
      </c>
      <c r="AD132" s="188">
        <f>Tableau4[[#This Row],[AF 4 ($)]]/Tableau4[[#This Row],[Nombres appareils installés]]</f>
        <v>3000</v>
      </c>
      <c r="AE132" s="194">
        <f>Tableau4[[#This Row],[Couverture 4 (%)]]*Tableau4[[#This Row],[Nombres appareils installés]]</f>
        <v>2.3467751398286856</v>
      </c>
      <c r="AF132" s="193">
        <f>Tableau4[[#This Row],[AF 4 par appareil  ($)]]/Tableau4[[#This Row],[Surcoût par appareil ($)]]</f>
        <v>0.58669378495717139</v>
      </c>
    </row>
    <row r="133" spans="2:32" x14ac:dyDescent="0.3">
      <c r="B133" s="195" t="s">
        <v>189</v>
      </c>
      <c r="C133" s="188" t="s">
        <v>197</v>
      </c>
      <c r="D133" s="188">
        <v>1</v>
      </c>
      <c r="E133" s="188">
        <v>215000</v>
      </c>
      <c r="F133" s="196">
        <f>Tableau4[[#This Row],[Economies totales (m3)]]/Tableau4[[#This Row],[Nombres appareils installés]]</f>
        <v>1085.75</v>
      </c>
      <c r="G133" s="190">
        <v>1085.75</v>
      </c>
      <c r="H133" s="188">
        <f t="shared" si="2"/>
        <v>2898.6499999999996</v>
      </c>
      <c r="I133" s="188">
        <v>2400</v>
      </c>
      <c r="J133" s="188">
        <f>Tableau4[[#This Row],[Surcoût moyens de l''équipement ($)]]+Tableau4[[#This Row],[Surcoût moyen de l''installation ($)]]</f>
        <v>5298.65</v>
      </c>
      <c r="K133" s="188">
        <f>Tableau4[[#This Row],[Surcoût par appareil ($)]]*Tableau4[[#This Row],[Nombres appareils installés]]</f>
        <v>5298.65</v>
      </c>
      <c r="L133" s="190">
        <v>1700</v>
      </c>
      <c r="M133" s="188">
        <f t="shared" si="3"/>
        <v>1975</v>
      </c>
      <c r="N133" s="188">
        <f>Tableau4[[#This Row],[AF 0 ($)]]/Tableau4[[#This Row],[Nombres appareils installés]]</f>
        <v>1975</v>
      </c>
      <c r="O133" s="191">
        <f>(Tableau4[[#This Row],[AF accordée ($)]])/($J$6*D133)</f>
        <v>0.42463905680171854</v>
      </c>
      <c r="P133" s="191">
        <f>Tableau4[[#This Row],[Couverture 0 (%)]]*Tableau4[[#This Row],[Nombres appareils installés]]</f>
        <v>0.42463905680171854</v>
      </c>
      <c r="Q133" s="188">
        <f>($Q$4+$R$4*(Tableau4[[#This Row],[Capacité (BTU)]]/1000))*Tableau4[[#This Row],[Nombres appareils installés]]</f>
        <v>3075</v>
      </c>
      <c r="R133" s="188">
        <f>Tableau4[[#This Row],[AF 1 ($)]]/Tableau4[[#This Row],[Nombres appareils installés]]</f>
        <v>3075</v>
      </c>
      <c r="S133" s="191">
        <f>Tableau4[[#This Row],[AF 1 ($)]]/(J133*D133)</f>
        <v>0.58033650080680932</v>
      </c>
      <c r="T133" s="191">
        <f>Tableau4[[#This Row],[Couverture 1 (%)]]*Tableau4[[#This Row],[Nombres appareils installés]]</f>
        <v>0.58033650080680932</v>
      </c>
      <c r="U133" s="188">
        <f>($U$4+($V$4*(Tableau4[[#This Row],[Capacité (BTU)]]/1000)))*Tableau4[[#This Row],[Nombres appareils installés]]</f>
        <v>3612.5</v>
      </c>
      <c r="V133" s="188">
        <f>Tableau4[[#This Row],[AF 2 ($)]]/Tableau4[[#This Row],[Nombres appareils installés]]</f>
        <v>3612.5</v>
      </c>
      <c r="W133" s="192">
        <f>Tableau4[[#This Row],[AF 2 par appareil ($)]]/Tableau4[[#This Row],[Surcoût par appareil ($)]]</f>
        <v>0.68177743387466627</v>
      </c>
      <c r="X133" s="192">
        <f>Tableau4[[#This Row],[Couverture 2 (%)]]*Tableau4[[#This Row],[Nombres appareils installés]]</f>
        <v>0.68177743387466627</v>
      </c>
      <c r="Y133" s="188">
        <f>($Y$4+$Z$4*(Tableau4[[#This Row],[Capacité (BTU)]]/1000))*Tableau4[[#This Row],[Nombres appareils installés]]</f>
        <v>3575</v>
      </c>
      <c r="Z133" s="188">
        <f>Tableau4[[#This Row],[AF 3 ($)]]/Tableau4[[#This Row],[Nombres appareils installés]]</f>
        <v>3575</v>
      </c>
      <c r="AA133" s="193">
        <f>Tableau4[[#This Row],[AF 3 par appareil ($)]]/Tableau4[[#This Row],[Surcoût par appareil ($)]]</f>
        <v>0.67470015947458317</v>
      </c>
      <c r="AB133" s="193">
        <f>Tableau4[[#This Row],[Couverture 3 (%)]]*Tableau4[[#This Row],[Nombres appareils installés]]</f>
        <v>0.67470015947458317</v>
      </c>
      <c r="AC133" s="188">
        <f>($AC$4+$AD$4*(Tableau4[[#This Row],[Capacité (BTU)]]/1000))*Tableau4[[#This Row],[Nombres appareils installés]]</f>
        <v>3060</v>
      </c>
      <c r="AD133" s="188">
        <f>Tableau4[[#This Row],[AF 4 ($)]]/Tableau4[[#This Row],[Nombres appareils installés]]</f>
        <v>3060</v>
      </c>
      <c r="AE133" s="194">
        <f>Tableau4[[#This Row],[Couverture 4 (%)]]*Tableau4[[#This Row],[Nombres appareils installés]]</f>
        <v>0.57750559104677612</v>
      </c>
      <c r="AF133" s="193">
        <f>Tableau4[[#This Row],[AF 4 par appareil  ($)]]/Tableau4[[#This Row],[Surcoût par appareil ($)]]</f>
        <v>0.57750559104677612</v>
      </c>
    </row>
    <row r="134" spans="2:32" x14ac:dyDescent="0.3">
      <c r="B134" s="195" t="s">
        <v>189</v>
      </c>
      <c r="C134" s="188" t="s">
        <v>206</v>
      </c>
      <c r="D134" s="188">
        <v>10</v>
      </c>
      <c r="E134" s="188">
        <v>215000</v>
      </c>
      <c r="F134" s="196">
        <f>Tableau4[[#This Row],[Economies totales (m3)]]/Tableau4[[#This Row],[Nombres appareils installés]]</f>
        <v>1085.75</v>
      </c>
      <c r="G134" s="190">
        <v>10857.5</v>
      </c>
      <c r="H134" s="188">
        <f t="shared" ref="H134:H187" si="4">(0.00000003*E134^2 - 0.0001*E134 + 1533.4)</f>
        <v>2898.6499999999996</v>
      </c>
      <c r="I134" s="188">
        <v>2400</v>
      </c>
      <c r="J134" s="188">
        <f>Tableau4[[#This Row],[Surcoût moyens de l''équipement ($)]]+Tableau4[[#This Row],[Surcoût moyen de l''installation ($)]]</f>
        <v>5298.65</v>
      </c>
      <c r="K134" s="188">
        <f>Tableau4[[#This Row],[Surcoût par appareil ($)]]*Tableau4[[#This Row],[Nombres appareils installés]]</f>
        <v>52986.5</v>
      </c>
      <c r="L134" s="190">
        <v>17000</v>
      </c>
      <c r="M134" s="188">
        <f t="shared" ref="M134:M187" si="5">($M$4+$N$4*(E134/1000))*D134</f>
        <v>19750</v>
      </c>
      <c r="N134" s="188">
        <f>Tableau4[[#This Row],[AF 0 ($)]]/Tableau4[[#This Row],[Nombres appareils installés]]</f>
        <v>1975</v>
      </c>
      <c r="O134" s="191">
        <f>(Tableau4[[#This Row],[AF accordée ($)]])/($J$6*D134)</f>
        <v>0.42463905680171854</v>
      </c>
      <c r="P134" s="191">
        <f>Tableau4[[#This Row],[Couverture 0 (%)]]*Tableau4[[#This Row],[Nombres appareils installés]]</f>
        <v>4.2463905680171852</v>
      </c>
      <c r="Q134" s="188">
        <f>($Q$4+$R$4*(Tableau4[[#This Row],[Capacité (BTU)]]/1000))*Tableau4[[#This Row],[Nombres appareils installés]]</f>
        <v>30750</v>
      </c>
      <c r="R134" s="188">
        <f>Tableau4[[#This Row],[AF 1 ($)]]/Tableau4[[#This Row],[Nombres appareils installés]]</f>
        <v>3075</v>
      </c>
      <c r="S134" s="191">
        <f>Tableau4[[#This Row],[AF 1 ($)]]/(J134*D134)</f>
        <v>0.58033650080680932</v>
      </c>
      <c r="T134" s="191">
        <f>Tableau4[[#This Row],[Couverture 1 (%)]]*Tableau4[[#This Row],[Nombres appareils installés]]</f>
        <v>5.8033650080680932</v>
      </c>
      <c r="U134" s="188">
        <f>($U$4+($V$4*(Tableau4[[#This Row],[Capacité (BTU)]]/1000)))*Tableau4[[#This Row],[Nombres appareils installés]]</f>
        <v>36125</v>
      </c>
      <c r="V134" s="188">
        <f>Tableau4[[#This Row],[AF 2 ($)]]/Tableau4[[#This Row],[Nombres appareils installés]]</f>
        <v>3612.5</v>
      </c>
      <c r="W134" s="192">
        <f>Tableau4[[#This Row],[AF 2 par appareil ($)]]/Tableau4[[#This Row],[Surcoût par appareil ($)]]</f>
        <v>0.68177743387466627</v>
      </c>
      <c r="X134" s="192">
        <f>Tableau4[[#This Row],[Couverture 2 (%)]]*Tableau4[[#This Row],[Nombres appareils installés]]</f>
        <v>6.8177743387466627</v>
      </c>
      <c r="Y134" s="188">
        <f>($Y$4+$Z$4*(Tableau4[[#This Row],[Capacité (BTU)]]/1000))*Tableau4[[#This Row],[Nombres appareils installés]]</f>
        <v>35750</v>
      </c>
      <c r="Z134" s="188">
        <f>Tableau4[[#This Row],[AF 3 ($)]]/Tableau4[[#This Row],[Nombres appareils installés]]</f>
        <v>3575</v>
      </c>
      <c r="AA134" s="193">
        <f>Tableau4[[#This Row],[AF 3 par appareil ($)]]/Tableau4[[#This Row],[Surcoût par appareil ($)]]</f>
        <v>0.67470015947458317</v>
      </c>
      <c r="AB134" s="193">
        <f>Tableau4[[#This Row],[Couverture 3 (%)]]*Tableau4[[#This Row],[Nombres appareils installés]]</f>
        <v>6.7470015947458322</v>
      </c>
      <c r="AC134" s="188">
        <f>($AC$4+$AD$4*(Tableau4[[#This Row],[Capacité (BTU)]]/1000))*Tableau4[[#This Row],[Nombres appareils installés]]</f>
        <v>30600</v>
      </c>
      <c r="AD134" s="188">
        <f>Tableau4[[#This Row],[AF 4 ($)]]/Tableau4[[#This Row],[Nombres appareils installés]]</f>
        <v>3060</v>
      </c>
      <c r="AE134" s="194">
        <f>Tableau4[[#This Row],[Couverture 4 (%)]]*Tableau4[[#This Row],[Nombres appareils installés]]</f>
        <v>5.7750559104677617</v>
      </c>
      <c r="AF134" s="193">
        <f>Tableau4[[#This Row],[AF 4 par appareil  ($)]]/Tableau4[[#This Row],[Surcoût par appareil ($)]]</f>
        <v>0.57750559104677612</v>
      </c>
    </row>
    <row r="135" spans="2:32" x14ac:dyDescent="0.3">
      <c r="B135" s="195" t="s">
        <v>189</v>
      </c>
      <c r="C135" s="188" t="s">
        <v>197</v>
      </c>
      <c r="D135" s="188">
        <v>1</v>
      </c>
      <c r="E135" s="188">
        <v>260000</v>
      </c>
      <c r="F135" s="196">
        <f>Tableau4[[#This Row],[Economies totales (m3)]]/Tableau4[[#This Row],[Nombres appareils installés]]</f>
        <v>1313</v>
      </c>
      <c r="G135" s="190">
        <v>1313</v>
      </c>
      <c r="H135" s="188">
        <f t="shared" si="4"/>
        <v>3535.3999999999996</v>
      </c>
      <c r="I135" s="188">
        <v>2400</v>
      </c>
      <c r="J135" s="188">
        <f>Tableau4[[#This Row],[Surcoût moyens de l''équipement ($)]]+Tableau4[[#This Row],[Surcoût moyen de l''installation ($)]]</f>
        <v>5935.4</v>
      </c>
      <c r="K135" s="188">
        <f>Tableau4[[#This Row],[Surcoût par appareil ($)]]*Tableau4[[#This Row],[Nombres appareils installés]]</f>
        <v>5935.4</v>
      </c>
      <c r="L135" s="190">
        <v>1700</v>
      </c>
      <c r="M135" s="188">
        <f t="shared" si="5"/>
        <v>2200</v>
      </c>
      <c r="N135" s="188">
        <f>Tableau4[[#This Row],[AF 0 ($)]]/Tableau4[[#This Row],[Nombres appareils installés]]</f>
        <v>2200</v>
      </c>
      <c r="O135" s="191">
        <f>(Tableau4[[#This Row],[AF accordée ($)]])/($J$6*D135)</f>
        <v>0.42463905680171854</v>
      </c>
      <c r="P135" s="191">
        <f>Tableau4[[#This Row],[Couverture 0 (%)]]*Tableau4[[#This Row],[Nombres appareils installés]]</f>
        <v>0.42463905680171854</v>
      </c>
      <c r="Q135" s="188">
        <f>($Q$4+$R$4*(Tableau4[[#This Row],[Capacité (BTU)]]/1000))*Tableau4[[#This Row],[Nombres appareils installés]]</f>
        <v>3300</v>
      </c>
      <c r="R135" s="188">
        <f>Tableau4[[#This Row],[AF 1 ($)]]/Tableau4[[#This Row],[Nombres appareils installés]]</f>
        <v>3300</v>
      </c>
      <c r="S135" s="191">
        <f>Tableau4[[#This Row],[AF 1 ($)]]/(J135*D135)</f>
        <v>0.55598611719513436</v>
      </c>
      <c r="T135" s="191">
        <f>Tableau4[[#This Row],[Couverture 1 (%)]]*Tableau4[[#This Row],[Nombres appareils installés]]</f>
        <v>0.55598611719513436</v>
      </c>
      <c r="U135" s="188">
        <f>($U$4+($V$4*(Tableau4[[#This Row],[Capacité (BTU)]]/1000)))*Tableau4[[#This Row],[Nombres appareils installés]]</f>
        <v>3950</v>
      </c>
      <c r="V135" s="188">
        <f>Tableau4[[#This Row],[AF 2 ($)]]/Tableau4[[#This Row],[Nombres appareils installés]]</f>
        <v>3950</v>
      </c>
      <c r="W135" s="192">
        <f>Tableau4[[#This Row],[AF 2 par appareil ($)]]/Tableau4[[#This Row],[Surcoût par appareil ($)]]</f>
        <v>0.66549853421841831</v>
      </c>
      <c r="X135" s="192">
        <f>Tableau4[[#This Row],[Couverture 2 (%)]]*Tableau4[[#This Row],[Nombres appareils installés]]</f>
        <v>0.66549853421841831</v>
      </c>
      <c r="Y135" s="188">
        <f>($Y$4+$Z$4*(Tableau4[[#This Row],[Capacité (BTU)]]/1000))*Tableau4[[#This Row],[Nombres appareils installés]]</f>
        <v>3800</v>
      </c>
      <c r="Z135" s="188">
        <f>Tableau4[[#This Row],[AF 3 ($)]]/Tableau4[[#This Row],[Nombres appareils installés]]</f>
        <v>3800</v>
      </c>
      <c r="AA135" s="193">
        <f>Tableau4[[#This Row],[AF 3 par appareil ($)]]/Tableau4[[#This Row],[Surcoût par appareil ($)]]</f>
        <v>0.64022643798227585</v>
      </c>
      <c r="AB135" s="193">
        <f>Tableau4[[#This Row],[Couverture 3 (%)]]*Tableau4[[#This Row],[Nombres appareils installés]]</f>
        <v>0.64022643798227585</v>
      </c>
      <c r="AC135" s="188">
        <f>($AC$4+$AD$4*(Tableau4[[#This Row],[Capacité (BTU)]]/1000))*Tableau4[[#This Row],[Nombres appareils installés]]</f>
        <v>3240</v>
      </c>
      <c r="AD135" s="188">
        <f>Tableau4[[#This Row],[AF 4 ($)]]/Tableau4[[#This Row],[Nombres appareils installés]]</f>
        <v>3240</v>
      </c>
      <c r="AE135" s="194">
        <f>Tableau4[[#This Row],[Couverture 4 (%)]]*Tableau4[[#This Row],[Nombres appareils installés]]</f>
        <v>0.54587727870067737</v>
      </c>
      <c r="AF135" s="193">
        <f>Tableau4[[#This Row],[AF 4 par appareil  ($)]]/Tableau4[[#This Row],[Surcoût par appareil ($)]]</f>
        <v>0.54587727870067737</v>
      </c>
    </row>
    <row r="136" spans="2:32" x14ac:dyDescent="0.3">
      <c r="B136" s="195" t="s">
        <v>189</v>
      </c>
      <c r="C136" s="188" t="s">
        <v>207</v>
      </c>
      <c r="D136" s="188">
        <v>1</v>
      </c>
      <c r="E136" s="188">
        <v>260000</v>
      </c>
      <c r="F136" s="196">
        <f>Tableau4[[#This Row],[Economies totales (m3)]]/Tableau4[[#This Row],[Nombres appareils installés]]</f>
        <v>1313</v>
      </c>
      <c r="G136" s="190">
        <v>1313</v>
      </c>
      <c r="H136" s="188">
        <f t="shared" si="4"/>
        <v>3535.3999999999996</v>
      </c>
      <c r="I136" s="188">
        <v>2400</v>
      </c>
      <c r="J136" s="188">
        <f>Tableau4[[#This Row],[Surcoût moyens de l''équipement ($)]]+Tableau4[[#This Row],[Surcoût moyen de l''installation ($)]]</f>
        <v>5935.4</v>
      </c>
      <c r="K136" s="188">
        <f>Tableau4[[#This Row],[Surcoût par appareil ($)]]*Tableau4[[#This Row],[Nombres appareils installés]]</f>
        <v>5935.4</v>
      </c>
      <c r="L136" s="190">
        <v>1700</v>
      </c>
      <c r="M136" s="188">
        <f t="shared" si="5"/>
        <v>2200</v>
      </c>
      <c r="N136" s="188">
        <f>Tableau4[[#This Row],[AF 0 ($)]]/Tableau4[[#This Row],[Nombres appareils installés]]</f>
        <v>2200</v>
      </c>
      <c r="O136" s="191">
        <f>(Tableau4[[#This Row],[AF accordée ($)]])/($J$6*D136)</f>
        <v>0.42463905680171854</v>
      </c>
      <c r="P136" s="191">
        <f>Tableau4[[#This Row],[Couverture 0 (%)]]*Tableau4[[#This Row],[Nombres appareils installés]]</f>
        <v>0.42463905680171854</v>
      </c>
      <c r="Q136" s="188">
        <f>($Q$4+$R$4*(Tableau4[[#This Row],[Capacité (BTU)]]/1000))*Tableau4[[#This Row],[Nombres appareils installés]]</f>
        <v>3300</v>
      </c>
      <c r="R136" s="188">
        <f>Tableau4[[#This Row],[AF 1 ($)]]/Tableau4[[#This Row],[Nombres appareils installés]]</f>
        <v>3300</v>
      </c>
      <c r="S136" s="191">
        <f>Tableau4[[#This Row],[AF 1 ($)]]/(J136*D136)</f>
        <v>0.55598611719513436</v>
      </c>
      <c r="T136" s="191">
        <f>Tableau4[[#This Row],[Couverture 1 (%)]]*Tableau4[[#This Row],[Nombres appareils installés]]</f>
        <v>0.55598611719513436</v>
      </c>
      <c r="U136" s="188">
        <f>($U$4+($V$4*(Tableau4[[#This Row],[Capacité (BTU)]]/1000)))*Tableau4[[#This Row],[Nombres appareils installés]]</f>
        <v>3950</v>
      </c>
      <c r="V136" s="188">
        <f>Tableau4[[#This Row],[AF 2 ($)]]/Tableau4[[#This Row],[Nombres appareils installés]]</f>
        <v>3950</v>
      </c>
      <c r="W136" s="192">
        <f>Tableau4[[#This Row],[AF 2 par appareil ($)]]/Tableau4[[#This Row],[Surcoût par appareil ($)]]</f>
        <v>0.66549853421841831</v>
      </c>
      <c r="X136" s="192">
        <f>Tableau4[[#This Row],[Couverture 2 (%)]]*Tableau4[[#This Row],[Nombres appareils installés]]</f>
        <v>0.66549853421841831</v>
      </c>
      <c r="Y136" s="188">
        <f>($Y$4+$Z$4*(Tableau4[[#This Row],[Capacité (BTU)]]/1000))*Tableau4[[#This Row],[Nombres appareils installés]]</f>
        <v>3800</v>
      </c>
      <c r="Z136" s="188">
        <f>Tableau4[[#This Row],[AF 3 ($)]]/Tableau4[[#This Row],[Nombres appareils installés]]</f>
        <v>3800</v>
      </c>
      <c r="AA136" s="193">
        <f>Tableau4[[#This Row],[AF 3 par appareil ($)]]/Tableau4[[#This Row],[Surcoût par appareil ($)]]</f>
        <v>0.64022643798227585</v>
      </c>
      <c r="AB136" s="193">
        <f>Tableau4[[#This Row],[Couverture 3 (%)]]*Tableau4[[#This Row],[Nombres appareils installés]]</f>
        <v>0.64022643798227585</v>
      </c>
      <c r="AC136" s="188">
        <f>($AC$4+$AD$4*(Tableau4[[#This Row],[Capacité (BTU)]]/1000))*Tableau4[[#This Row],[Nombres appareils installés]]</f>
        <v>3240</v>
      </c>
      <c r="AD136" s="188">
        <f>Tableau4[[#This Row],[AF 4 ($)]]/Tableau4[[#This Row],[Nombres appareils installés]]</f>
        <v>3240</v>
      </c>
      <c r="AE136" s="194">
        <f>Tableau4[[#This Row],[Couverture 4 (%)]]*Tableau4[[#This Row],[Nombres appareils installés]]</f>
        <v>0.54587727870067737</v>
      </c>
      <c r="AF136" s="193">
        <f>Tableau4[[#This Row],[AF 4 par appareil  ($)]]/Tableau4[[#This Row],[Surcoût par appareil ($)]]</f>
        <v>0.54587727870067737</v>
      </c>
    </row>
    <row r="137" spans="2:32" x14ac:dyDescent="0.3">
      <c r="B137" s="195" t="s">
        <v>189</v>
      </c>
      <c r="C137" s="188" t="s">
        <v>208</v>
      </c>
      <c r="D137" s="188">
        <v>1</v>
      </c>
      <c r="E137" s="188">
        <v>260000</v>
      </c>
      <c r="F137" s="196">
        <f>Tableau4[[#This Row],[Economies totales (m3)]]/Tableau4[[#This Row],[Nombres appareils installés]]</f>
        <v>1313</v>
      </c>
      <c r="G137" s="190">
        <v>1313</v>
      </c>
      <c r="H137" s="188">
        <f t="shared" si="4"/>
        <v>3535.3999999999996</v>
      </c>
      <c r="I137" s="188">
        <v>2400</v>
      </c>
      <c r="J137" s="188">
        <f>Tableau4[[#This Row],[Surcoût moyens de l''équipement ($)]]+Tableau4[[#This Row],[Surcoût moyen de l''installation ($)]]</f>
        <v>5935.4</v>
      </c>
      <c r="K137" s="188">
        <f>Tableau4[[#This Row],[Surcoût par appareil ($)]]*Tableau4[[#This Row],[Nombres appareils installés]]</f>
        <v>5935.4</v>
      </c>
      <c r="L137" s="190">
        <v>1700</v>
      </c>
      <c r="M137" s="188">
        <f t="shared" si="5"/>
        <v>2200</v>
      </c>
      <c r="N137" s="188">
        <f>Tableau4[[#This Row],[AF 0 ($)]]/Tableau4[[#This Row],[Nombres appareils installés]]</f>
        <v>2200</v>
      </c>
      <c r="O137" s="191">
        <f>(Tableau4[[#This Row],[AF accordée ($)]])/($J$6*D137)</f>
        <v>0.42463905680171854</v>
      </c>
      <c r="P137" s="191">
        <f>Tableau4[[#This Row],[Couverture 0 (%)]]*Tableau4[[#This Row],[Nombres appareils installés]]</f>
        <v>0.42463905680171854</v>
      </c>
      <c r="Q137" s="188">
        <f>($Q$4+$R$4*(Tableau4[[#This Row],[Capacité (BTU)]]/1000))*Tableau4[[#This Row],[Nombres appareils installés]]</f>
        <v>3300</v>
      </c>
      <c r="R137" s="188">
        <f>Tableau4[[#This Row],[AF 1 ($)]]/Tableau4[[#This Row],[Nombres appareils installés]]</f>
        <v>3300</v>
      </c>
      <c r="S137" s="191">
        <f>Tableau4[[#This Row],[AF 1 ($)]]/(J137*D137)</f>
        <v>0.55598611719513436</v>
      </c>
      <c r="T137" s="191">
        <f>Tableau4[[#This Row],[Couverture 1 (%)]]*Tableau4[[#This Row],[Nombres appareils installés]]</f>
        <v>0.55598611719513436</v>
      </c>
      <c r="U137" s="188">
        <f>($U$4+($V$4*(Tableau4[[#This Row],[Capacité (BTU)]]/1000)))*Tableau4[[#This Row],[Nombres appareils installés]]</f>
        <v>3950</v>
      </c>
      <c r="V137" s="188">
        <f>Tableau4[[#This Row],[AF 2 ($)]]/Tableau4[[#This Row],[Nombres appareils installés]]</f>
        <v>3950</v>
      </c>
      <c r="W137" s="192">
        <f>Tableau4[[#This Row],[AF 2 par appareil ($)]]/Tableau4[[#This Row],[Surcoût par appareil ($)]]</f>
        <v>0.66549853421841831</v>
      </c>
      <c r="X137" s="192">
        <f>Tableau4[[#This Row],[Couverture 2 (%)]]*Tableau4[[#This Row],[Nombres appareils installés]]</f>
        <v>0.66549853421841831</v>
      </c>
      <c r="Y137" s="188">
        <f>($Y$4+$Z$4*(Tableau4[[#This Row],[Capacité (BTU)]]/1000))*Tableau4[[#This Row],[Nombres appareils installés]]</f>
        <v>3800</v>
      </c>
      <c r="Z137" s="188">
        <f>Tableau4[[#This Row],[AF 3 ($)]]/Tableau4[[#This Row],[Nombres appareils installés]]</f>
        <v>3800</v>
      </c>
      <c r="AA137" s="193">
        <f>Tableau4[[#This Row],[AF 3 par appareil ($)]]/Tableau4[[#This Row],[Surcoût par appareil ($)]]</f>
        <v>0.64022643798227585</v>
      </c>
      <c r="AB137" s="193">
        <f>Tableau4[[#This Row],[Couverture 3 (%)]]*Tableau4[[#This Row],[Nombres appareils installés]]</f>
        <v>0.64022643798227585</v>
      </c>
      <c r="AC137" s="188">
        <f>($AC$4+$AD$4*(Tableau4[[#This Row],[Capacité (BTU)]]/1000))*Tableau4[[#This Row],[Nombres appareils installés]]</f>
        <v>3240</v>
      </c>
      <c r="AD137" s="188">
        <f>Tableau4[[#This Row],[AF 4 ($)]]/Tableau4[[#This Row],[Nombres appareils installés]]</f>
        <v>3240</v>
      </c>
      <c r="AE137" s="194">
        <f>Tableau4[[#This Row],[Couverture 4 (%)]]*Tableau4[[#This Row],[Nombres appareils installés]]</f>
        <v>0.54587727870067737</v>
      </c>
      <c r="AF137" s="193">
        <f>Tableau4[[#This Row],[AF 4 par appareil  ($)]]/Tableau4[[#This Row],[Surcoût par appareil ($)]]</f>
        <v>0.54587727870067737</v>
      </c>
    </row>
    <row r="138" spans="2:32" x14ac:dyDescent="0.3">
      <c r="B138" s="195" t="s">
        <v>189</v>
      </c>
      <c r="C138" s="188" t="s">
        <v>209</v>
      </c>
      <c r="D138" s="188">
        <v>2</v>
      </c>
      <c r="E138" s="188">
        <v>260000</v>
      </c>
      <c r="F138" s="196">
        <f>Tableau4[[#This Row],[Economies totales (m3)]]/Tableau4[[#This Row],[Nombres appareils installés]]</f>
        <v>1313</v>
      </c>
      <c r="G138" s="190">
        <v>2626</v>
      </c>
      <c r="H138" s="188">
        <f t="shared" si="4"/>
        <v>3535.3999999999996</v>
      </c>
      <c r="I138" s="188">
        <v>2400</v>
      </c>
      <c r="J138" s="188">
        <f>Tableau4[[#This Row],[Surcoût moyens de l''équipement ($)]]+Tableau4[[#This Row],[Surcoût moyen de l''installation ($)]]</f>
        <v>5935.4</v>
      </c>
      <c r="K138" s="188">
        <f>Tableau4[[#This Row],[Surcoût par appareil ($)]]*Tableau4[[#This Row],[Nombres appareils installés]]</f>
        <v>11870.8</v>
      </c>
      <c r="L138" s="190">
        <v>3400</v>
      </c>
      <c r="M138" s="188">
        <f t="shared" si="5"/>
        <v>4400</v>
      </c>
      <c r="N138" s="188">
        <f>Tableau4[[#This Row],[AF 0 ($)]]/Tableau4[[#This Row],[Nombres appareils installés]]</f>
        <v>2200</v>
      </c>
      <c r="O138" s="191">
        <f>(Tableau4[[#This Row],[AF accordée ($)]])/($J$6*D138)</f>
        <v>0.42463905680171854</v>
      </c>
      <c r="P138" s="191">
        <f>Tableau4[[#This Row],[Couverture 0 (%)]]*Tableau4[[#This Row],[Nombres appareils installés]]</f>
        <v>0.84927811360343708</v>
      </c>
      <c r="Q138" s="188">
        <f>($Q$4+$R$4*(Tableau4[[#This Row],[Capacité (BTU)]]/1000))*Tableau4[[#This Row],[Nombres appareils installés]]</f>
        <v>6600</v>
      </c>
      <c r="R138" s="188">
        <f>Tableau4[[#This Row],[AF 1 ($)]]/Tableau4[[#This Row],[Nombres appareils installés]]</f>
        <v>3300</v>
      </c>
      <c r="S138" s="191">
        <f>Tableau4[[#This Row],[AF 1 ($)]]/(J138*D138)</f>
        <v>0.55598611719513436</v>
      </c>
      <c r="T138" s="191">
        <f>Tableau4[[#This Row],[Couverture 1 (%)]]*Tableau4[[#This Row],[Nombres appareils installés]]</f>
        <v>1.1119722343902687</v>
      </c>
      <c r="U138" s="188">
        <f>($U$4+($V$4*(Tableau4[[#This Row],[Capacité (BTU)]]/1000)))*Tableau4[[#This Row],[Nombres appareils installés]]</f>
        <v>7900</v>
      </c>
      <c r="V138" s="188">
        <f>Tableau4[[#This Row],[AF 2 ($)]]/Tableau4[[#This Row],[Nombres appareils installés]]</f>
        <v>3950</v>
      </c>
      <c r="W138" s="192">
        <f>Tableau4[[#This Row],[AF 2 par appareil ($)]]/Tableau4[[#This Row],[Surcoût par appareil ($)]]</f>
        <v>0.66549853421841831</v>
      </c>
      <c r="X138" s="192">
        <f>Tableau4[[#This Row],[Couverture 2 (%)]]*Tableau4[[#This Row],[Nombres appareils installés]]</f>
        <v>1.3309970684368366</v>
      </c>
      <c r="Y138" s="188">
        <f>($Y$4+$Z$4*(Tableau4[[#This Row],[Capacité (BTU)]]/1000))*Tableau4[[#This Row],[Nombres appareils installés]]</f>
        <v>7600</v>
      </c>
      <c r="Z138" s="188">
        <f>Tableau4[[#This Row],[AF 3 ($)]]/Tableau4[[#This Row],[Nombres appareils installés]]</f>
        <v>3800</v>
      </c>
      <c r="AA138" s="193">
        <f>Tableau4[[#This Row],[AF 3 par appareil ($)]]/Tableau4[[#This Row],[Surcoût par appareil ($)]]</f>
        <v>0.64022643798227585</v>
      </c>
      <c r="AB138" s="193">
        <f>Tableau4[[#This Row],[Couverture 3 (%)]]*Tableau4[[#This Row],[Nombres appareils installés]]</f>
        <v>1.2804528759645517</v>
      </c>
      <c r="AC138" s="188">
        <f>($AC$4+$AD$4*(Tableau4[[#This Row],[Capacité (BTU)]]/1000))*Tableau4[[#This Row],[Nombres appareils installés]]</f>
        <v>6480</v>
      </c>
      <c r="AD138" s="188">
        <f>Tableau4[[#This Row],[AF 4 ($)]]/Tableau4[[#This Row],[Nombres appareils installés]]</f>
        <v>3240</v>
      </c>
      <c r="AE138" s="194">
        <f>Tableau4[[#This Row],[Couverture 4 (%)]]*Tableau4[[#This Row],[Nombres appareils installés]]</f>
        <v>1.0917545574013547</v>
      </c>
      <c r="AF138" s="193">
        <f>Tableau4[[#This Row],[AF 4 par appareil  ($)]]/Tableau4[[#This Row],[Surcoût par appareil ($)]]</f>
        <v>0.54587727870067737</v>
      </c>
    </row>
    <row r="139" spans="2:32" x14ac:dyDescent="0.3">
      <c r="B139" s="195" t="s">
        <v>189</v>
      </c>
      <c r="C139" s="188" t="s">
        <v>122</v>
      </c>
      <c r="D139" s="188">
        <v>2</v>
      </c>
      <c r="E139" s="188">
        <v>260000</v>
      </c>
      <c r="F139" s="196">
        <f>Tableau4[[#This Row],[Economies totales (m3)]]/Tableau4[[#This Row],[Nombres appareils installés]]</f>
        <v>1313</v>
      </c>
      <c r="G139" s="190">
        <v>2626</v>
      </c>
      <c r="H139" s="188">
        <f t="shared" si="4"/>
        <v>3535.3999999999996</v>
      </c>
      <c r="I139" s="188">
        <v>2400</v>
      </c>
      <c r="J139" s="188">
        <f>Tableau4[[#This Row],[Surcoût moyens de l''équipement ($)]]+Tableau4[[#This Row],[Surcoût moyen de l''installation ($)]]</f>
        <v>5935.4</v>
      </c>
      <c r="K139" s="188">
        <f>Tableau4[[#This Row],[Surcoût par appareil ($)]]*Tableau4[[#This Row],[Nombres appareils installés]]</f>
        <v>11870.8</v>
      </c>
      <c r="L139" s="190">
        <v>3400</v>
      </c>
      <c r="M139" s="188">
        <f t="shared" si="5"/>
        <v>4400</v>
      </c>
      <c r="N139" s="188">
        <f>Tableau4[[#This Row],[AF 0 ($)]]/Tableau4[[#This Row],[Nombres appareils installés]]</f>
        <v>2200</v>
      </c>
      <c r="O139" s="191">
        <f>(Tableau4[[#This Row],[AF accordée ($)]])/($J$6*D139)</f>
        <v>0.42463905680171854</v>
      </c>
      <c r="P139" s="191">
        <f>Tableau4[[#This Row],[Couverture 0 (%)]]*Tableau4[[#This Row],[Nombres appareils installés]]</f>
        <v>0.84927811360343708</v>
      </c>
      <c r="Q139" s="188">
        <f>($Q$4+$R$4*(Tableau4[[#This Row],[Capacité (BTU)]]/1000))*Tableau4[[#This Row],[Nombres appareils installés]]</f>
        <v>6600</v>
      </c>
      <c r="R139" s="188">
        <f>Tableau4[[#This Row],[AF 1 ($)]]/Tableau4[[#This Row],[Nombres appareils installés]]</f>
        <v>3300</v>
      </c>
      <c r="S139" s="191">
        <f>Tableau4[[#This Row],[AF 1 ($)]]/(J139*D139)</f>
        <v>0.55598611719513436</v>
      </c>
      <c r="T139" s="191">
        <f>Tableau4[[#This Row],[Couverture 1 (%)]]*Tableau4[[#This Row],[Nombres appareils installés]]</f>
        <v>1.1119722343902687</v>
      </c>
      <c r="U139" s="188">
        <f>($U$4+($V$4*(Tableau4[[#This Row],[Capacité (BTU)]]/1000)))*Tableau4[[#This Row],[Nombres appareils installés]]</f>
        <v>7900</v>
      </c>
      <c r="V139" s="188">
        <f>Tableau4[[#This Row],[AF 2 ($)]]/Tableau4[[#This Row],[Nombres appareils installés]]</f>
        <v>3950</v>
      </c>
      <c r="W139" s="192">
        <f>Tableau4[[#This Row],[AF 2 par appareil ($)]]/Tableau4[[#This Row],[Surcoût par appareil ($)]]</f>
        <v>0.66549853421841831</v>
      </c>
      <c r="X139" s="192">
        <f>Tableau4[[#This Row],[Couverture 2 (%)]]*Tableau4[[#This Row],[Nombres appareils installés]]</f>
        <v>1.3309970684368366</v>
      </c>
      <c r="Y139" s="188">
        <f>($Y$4+$Z$4*(Tableau4[[#This Row],[Capacité (BTU)]]/1000))*Tableau4[[#This Row],[Nombres appareils installés]]</f>
        <v>7600</v>
      </c>
      <c r="Z139" s="188">
        <f>Tableau4[[#This Row],[AF 3 ($)]]/Tableau4[[#This Row],[Nombres appareils installés]]</f>
        <v>3800</v>
      </c>
      <c r="AA139" s="193">
        <f>Tableau4[[#This Row],[AF 3 par appareil ($)]]/Tableau4[[#This Row],[Surcoût par appareil ($)]]</f>
        <v>0.64022643798227585</v>
      </c>
      <c r="AB139" s="193">
        <f>Tableau4[[#This Row],[Couverture 3 (%)]]*Tableau4[[#This Row],[Nombres appareils installés]]</f>
        <v>1.2804528759645517</v>
      </c>
      <c r="AC139" s="188">
        <f>($AC$4+$AD$4*(Tableau4[[#This Row],[Capacité (BTU)]]/1000))*Tableau4[[#This Row],[Nombres appareils installés]]</f>
        <v>6480</v>
      </c>
      <c r="AD139" s="188">
        <f>Tableau4[[#This Row],[AF 4 ($)]]/Tableau4[[#This Row],[Nombres appareils installés]]</f>
        <v>3240</v>
      </c>
      <c r="AE139" s="194">
        <f>Tableau4[[#This Row],[Couverture 4 (%)]]*Tableau4[[#This Row],[Nombres appareils installés]]</f>
        <v>1.0917545574013547</v>
      </c>
      <c r="AF139" s="193">
        <f>Tableau4[[#This Row],[AF 4 par appareil  ($)]]/Tableau4[[#This Row],[Surcoût par appareil ($)]]</f>
        <v>0.54587727870067737</v>
      </c>
    </row>
    <row r="140" spans="2:32" x14ac:dyDescent="0.3">
      <c r="B140" s="195" t="s">
        <v>189</v>
      </c>
      <c r="C140" s="188" t="s">
        <v>194</v>
      </c>
      <c r="D140" s="188">
        <v>6</v>
      </c>
      <c r="E140" s="188">
        <v>260000</v>
      </c>
      <c r="F140" s="196">
        <f>Tableau4[[#This Row],[Economies totales (m3)]]/Tableau4[[#This Row],[Nombres appareils installés]]</f>
        <v>1313</v>
      </c>
      <c r="G140" s="190">
        <v>7878</v>
      </c>
      <c r="H140" s="188">
        <f t="shared" si="4"/>
        <v>3535.3999999999996</v>
      </c>
      <c r="I140" s="188">
        <v>2400</v>
      </c>
      <c r="J140" s="188">
        <f>Tableau4[[#This Row],[Surcoût moyens de l''équipement ($)]]+Tableau4[[#This Row],[Surcoût moyen de l''installation ($)]]</f>
        <v>5935.4</v>
      </c>
      <c r="K140" s="188">
        <f>Tableau4[[#This Row],[Surcoût par appareil ($)]]*Tableau4[[#This Row],[Nombres appareils installés]]</f>
        <v>35612.399999999994</v>
      </c>
      <c r="L140" s="190">
        <v>13200</v>
      </c>
      <c r="M140" s="188">
        <f t="shared" si="5"/>
        <v>13200</v>
      </c>
      <c r="N140" s="188">
        <f>Tableau4[[#This Row],[AF 0 ($)]]/Tableau4[[#This Row],[Nombres appareils installés]]</f>
        <v>2200</v>
      </c>
      <c r="O140" s="191">
        <f>(Tableau4[[#This Row],[AF accordée ($)]])/($J$6*D140)</f>
        <v>0.54953289703751806</v>
      </c>
      <c r="P140" s="191">
        <f>Tableau4[[#This Row],[Couverture 0 (%)]]*Tableau4[[#This Row],[Nombres appareils installés]]</f>
        <v>3.2971973822251082</v>
      </c>
      <c r="Q140" s="188">
        <f>($Q$4+$R$4*(Tableau4[[#This Row],[Capacité (BTU)]]/1000))*Tableau4[[#This Row],[Nombres appareils installés]]</f>
        <v>19800</v>
      </c>
      <c r="R140" s="188">
        <f>Tableau4[[#This Row],[AF 1 ($)]]/Tableau4[[#This Row],[Nombres appareils installés]]</f>
        <v>3300</v>
      </c>
      <c r="S140" s="191">
        <f>Tableau4[[#This Row],[AF 1 ($)]]/(J140*D140)</f>
        <v>0.55598611719513436</v>
      </c>
      <c r="T140" s="191">
        <f>Tableau4[[#This Row],[Couverture 1 (%)]]*Tableau4[[#This Row],[Nombres appareils installés]]</f>
        <v>3.3359167031708061</v>
      </c>
      <c r="U140" s="188">
        <f>($U$4+($V$4*(Tableau4[[#This Row],[Capacité (BTU)]]/1000)))*Tableau4[[#This Row],[Nombres appareils installés]]</f>
        <v>23700</v>
      </c>
      <c r="V140" s="188">
        <f>Tableau4[[#This Row],[AF 2 ($)]]/Tableau4[[#This Row],[Nombres appareils installés]]</f>
        <v>3950</v>
      </c>
      <c r="W140" s="192">
        <f>Tableau4[[#This Row],[AF 2 par appareil ($)]]/Tableau4[[#This Row],[Surcoût par appareil ($)]]</f>
        <v>0.66549853421841831</v>
      </c>
      <c r="X140" s="192">
        <f>Tableau4[[#This Row],[Couverture 2 (%)]]*Tableau4[[#This Row],[Nombres appareils installés]]</f>
        <v>3.9929912053105099</v>
      </c>
      <c r="Y140" s="188">
        <f>($Y$4+$Z$4*(Tableau4[[#This Row],[Capacité (BTU)]]/1000))*Tableau4[[#This Row],[Nombres appareils installés]]</f>
        <v>22800</v>
      </c>
      <c r="Z140" s="188">
        <f>Tableau4[[#This Row],[AF 3 ($)]]/Tableau4[[#This Row],[Nombres appareils installés]]</f>
        <v>3800</v>
      </c>
      <c r="AA140" s="193">
        <f>Tableau4[[#This Row],[AF 3 par appareil ($)]]/Tableau4[[#This Row],[Surcoût par appareil ($)]]</f>
        <v>0.64022643798227585</v>
      </c>
      <c r="AB140" s="193">
        <f>Tableau4[[#This Row],[Couverture 3 (%)]]*Tableau4[[#This Row],[Nombres appareils installés]]</f>
        <v>3.8413586278936549</v>
      </c>
      <c r="AC140" s="188">
        <f>($AC$4+$AD$4*(Tableau4[[#This Row],[Capacité (BTU)]]/1000))*Tableau4[[#This Row],[Nombres appareils installés]]</f>
        <v>19440</v>
      </c>
      <c r="AD140" s="188">
        <f>Tableau4[[#This Row],[AF 4 ($)]]/Tableau4[[#This Row],[Nombres appareils installés]]</f>
        <v>3240</v>
      </c>
      <c r="AE140" s="194">
        <f>Tableau4[[#This Row],[Couverture 4 (%)]]*Tableau4[[#This Row],[Nombres appareils installés]]</f>
        <v>3.2752636722040642</v>
      </c>
      <c r="AF140" s="193">
        <f>Tableau4[[#This Row],[AF 4 par appareil  ($)]]/Tableau4[[#This Row],[Surcoût par appareil ($)]]</f>
        <v>0.54587727870067737</v>
      </c>
    </row>
    <row r="141" spans="2:32" x14ac:dyDescent="0.3">
      <c r="B141" s="195" t="s">
        <v>189</v>
      </c>
      <c r="C141" s="188" t="s">
        <v>210</v>
      </c>
      <c r="D141" s="188">
        <v>6</v>
      </c>
      <c r="E141" s="188">
        <v>260000</v>
      </c>
      <c r="F141" s="196">
        <f>Tableau4[[#This Row],[Economies totales (m3)]]/Tableau4[[#This Row],[Nombres appareils installés]]</f>
        <v>1313</v>
      </c>
      <c r="G141" s="190">
        <v>7878</v>
      </c>
      <c r="H141" s="188">
        <f t="shared" si="4"/>
        <v>3535.3999999999996</v>
      </c>
      <c r="I141" s="188">
        <v>2400</v>
      </c>
      <c r="J141" s="188">
        <f>Tableau4[[#This Row],[Surcoût moyens de l''équipement ($)]]+Tableau4[[#This Row],[Surcoût moyen de l''installation ($)]]</f>
        <v>5935.4</v>
      </c>
      <c r="K141" s="188">
        <f>Tableau4[[#This Row],[Surcoût par appareil ($)]]*Tableau4[[#This Row],[Nombres appareils installés]]</f>
        <v>35612.399999999994</v>
      </c>
      <c r="L141" s="190">
        <v>10200</v>
      </c>
      <c r="M141" s="188">
        <f t="shared" si="5"/>
        <v>13200</v>
      </c>
      <c r="N141" s="188">
        <f>Tableau4[[#This Row],[AF 0 ($)]]/Tableau4[[#This Row],[Nombres appareils installés]]</f>
        <v>2200</v>
      </c>
      <c r="O141" s="191">
        <f>(Tableau4[[#This Row],[AF accordée ($)]])/($J$6*D141)</f>
        <v>0.42463905680171854</v>
      </c>
      <c r="P141" s="191">
        <f>Tableau4[[#This Row],[Couverture 0 (%)]]*Tableau4[[#This Row],[Nombres appareils installés]]</f>
        <v>2.5478343408103115</v>
      </c>
      <c r="Q141" s="188">
        <f>($Q$4+$R$4*(Tableau4[[#This Row],[Capacité (BTU)]]/1000))*Tableau4[[#This Row],[Nombres appareils installés]]</f>
        <v>19800</v>
      </c>
      <c r="R141" s="188">
        <f>Tableau4[[#This Row],[AF 1 ($)]]/Tableau4[[#This Row],[Nombres appareils installés]]</f>
        <v>3300</v>
      </c>
      <c r="S141" s="191">
        <f>Tableau4[[#This Row],[AF 1 ($)]]/(J141*D141)</f>
        <v>0.55598611719513436</v>
      </c>
      <c r="T141" s="191">
        <f>Tableau4[[#This Row],[Couverture 1 (%)]]*Tableau4[[#This Row],[Nombres appareils installés]]</f>
        <v>3.3359167031708061</v>
      </c>
      <c r="U141" s="188">
        <f>($U$4+($V$4*(Tableau4[[#This Row],[Capacité (BTU)]]/1000)))*Tableau4[[#This Row],[Nombres appareils installés]]</f>
        <v>23700</v>
      </c>
      <c r="V141" s="188">
        <f>Tableau4[[#This Row],[AF 2 ($)]]/Tableau4[[#This Row],[Nombres appareils installés]]</f>
        <v>3950</v>
      </c>
      <c r="W141" s="192">
        <f>Tableau4[[#This Row],[AF 2 par appareil ($)]]/Tableau4[[#This Row],[Surcoût par appareil ($)]]</f>
        <v>0.66549853421841831</v>
      </c>
      <c r="X141" s="192">
        <f>Tableau4[[#This Row],[Couverture 2 (%)]]*Tableau4[[#This Row],[Nombres appareils installés]]</f>
        <v>3.9929912053105099</v>
      </c>
      <c r="Y141" s="188">
        <f>($Y$4+$Z$4*(Tableau4[[#This Row],[Capacité (BTU)]]/1000))*Tableau4[[#This Row],[Nombres appareils installés]]</f>
        <v>22800</v>
      </c>
      <c r="Z141" s="188">
        <f>Tableau4[[#This Row],[AF 3 ($)]]/Tableau4[[#This Row],[Nombres appareils installés]]</f>
        <v>3800</v>
      </c>
      <c r="AA141" s="193">
        <f>Tableau4[[#This Row],[AF 3 par appareil ($)]]/Tableau4[[#This Row],[Surcoût par appareil ($)]]</f>
        <v>0.64022643798227585</v>
      </c>
      <c r="AB141" s="193">
        <f>Tableau4[[#This Row],[Couverture 3 (%)]]*Tableau4[[#This Row],[Nombres appareils installés]]</f>
        <v>3.8413586278936549</v>
      </c>
      <c r="AC141" s="188">
        <f>($AC$4+$AD$4*(Tableau4[[#This Row],[Capacité (BTU)]]/1000))*Tableau4[[#This Row],[Nombres appareils installés]]</f>
        <v>19440</v>
      </c>
      <c r="AD141" s="188">
        <f>Tableau4[[#This Row],[AF 4 ($)]]/Tableau4[[#This Row],[Nombres appareils installés]]</f>
        <v>3240</v>
      </c>
      <c r="AE141" s="194">
        <f>Tableau4[[#This Row],[Couverture 4 (%)]]*Tableau4[[#This Row],[Nombres appareils installés]]</f>
        <v>3.2752636722040642</v>
      </c>
      <c r="AF141" s="193">
        <f>Tableau4[[#This Row],[AF 4 par appareil  ($)]]/Tableau4[[#This Row],[Surcoût par appareil ($)]]</f>
        <v>0.54587727870067737</v>
      </c>
    </row>
    <row r="142" spans="2:32" x14ac:dyDescent="0.3">
      <c r="B142" s="195" t="s">
        <v>189</v>
      </c>
      <c r="C142" s="188" t="s">
        <v>210</v>
      </c>
      <c r="D142" s="188">
        <v>2</v>
      </c>
      <c r="E142" s="188">
        <v>310000</v>
      </c>
      <c r="F142" s="196">
        <f>Tableau4[[#This Row],[Economies totales (m3)]]/Tableau4[[#This Row],[Nombres appareils installés]]</f>
        <v>1565.5</v>
      </c>
      <c r="G142" s="190">
        <v>3131</v>
      </c>
      <c r="H142" s="188">
        <f t="shared" si="4"/>
        <v>4385.3999999999996</v>
      </c>
      <c r="I142" s="188">
        <v>2400</v>
      </c>
      <c r="J142" s="188">
        <f>Tableau4[[#This Row],[Surcoût moyens de l''équipement ($)]]+Tableau4[[#This Row],[Surcoût moyen de l''installation ($)]]</f>
        <v>6785.4</v>
      </c>
      <c r="K142" s="188">
        <f>Tableau4[[#This Row],[Surcoût par appareil ($)]]*Tableau4[[#This Row],[Nombres appareils installés]]</f>
        <v>13570.8</v>
      </c>
      <c r="L142" s="190">
        <v>3400</v>
      </c>
      <c r="M142" s="188">
        <f t="shared" si="5"/>
        <v>4900</v>
      </c>
      <c r="N142" s="188">
        <f>Tableau4[[#This Row],[AF 0 ($)]]/Tableau4[[#This Row],[Nombres appareils installés]]</f>
        <v>2450</v>
      </c>
      <c r="O142" s="191">
        <f>(Tableau4[[#This Row],[AF accordée ($)]])/($J$6*D142)</f>
        <v>0.42463905680171854</v>
      </c>
      <c r="P142" s="191">
        <f>Tableau4[[#This Row],[Couverture 0 (%)]]*Tableau4[[#This Row],[Nombres appareils installés]]</f>
        <v>0.84927811360343708</v>
      </c>
      <c r="Q142" s="188">
        <f>($Q$4+$R$4*(Tableau4[[#This Row],[Capacité (BTU)]]/1000))*Tableau4[[#This Row],[Nombres appareils installés]]</f>
        <v>7100</v>
      </c>
      <c r="R142" s="188">
        <f>Tableau4[[#This Row],[AF 1 ($)]]/Tableau4[[#This Row],[Nombres appareils installés]]</f>
        <v>3550</v>
      </c>
      <c r="S142" s="191">
        <f>Tableau4[[#This Row],[AF 1 ($)]]/(J142*D142)</f>
        <v>0.52318212633006167</v>
      </c>
      <c r="T142" s="191">
        <f>Tableau4[[#This Row],[Couverture 1 (%)]]*Tableau4[[#This Row],[Nombres appareils installés]]</f>
        <v>1.0463642526601233</v>
      </c>
      <c r="U142" s="188">
        <f>($U$4+($V$4*(Tableau4[[#This Row],[Capacité (BTU)]]/1000)))*Tableau4[[#This Row],[Nombres appareils installés]]</f>
        <v>8650</v>
      </c>
      <c r="V142" s="188">
        <f>Tableau4[[#This Row],[AF 2 ($)]]/Tableau4[[#This Row],[Nombres appareils installés]]</f>
        <v>4325</v>
      </c>
      <c r="W142" s="192">
        <f>Tableau4[[#This Row],[AF 2 par appareil ($)]]/Tableau4[[#This Row],[Surcoût par appareil ($)]]</f>
        <v>0.63739794264155392</v>
      </c>
      <c r="X142" s="192">
        <f>Tableau4[[#This Row],[Couverture 2 (%)]]*Tableau4[[#This Row],[Nombres appareils installés]]</f>
        <v>1.2747958852831078</v>
      </c>
      <c r="Y142" s="188">
        <f>($Y$4+$Z$4*(Tableau4[[#This Row],[Capacité (BTU)]]/1000))*Tableau4[[#This Row],[Nombres appareils installés]]</f>
        <v>8100</v>
      </c>
      <c r="Z142" s="188">
        <f>Tableau4[[#This Row],[AF 3 ($)]]/Tableau4[[#This Row],[Nombres appareils installés]]</f>
        <v>4050</v>
      </c>
      <c r="AA142" s="193">
        <f>Tableau4[[#This Row],[AF 3 par appareil ($)]]/Tableau4[[#This Row],[Surcoût par appareil ($)]]</f>
        <v>0.59686974975683083</v>
      </c>
      <c r="AB142" s="193">
        <f>Tableau4[[#This Row],[Couverture 3 (%)]]*Tableau4[[#This Row],[Nombres appareils installés]]</f>
        <v>1.1937394995136617</v>
      </c>
      <c r="AC142" s="188">
        <f>($AC$4+$AD$4*(Tableau4[[#This Row],[Capacité (BTU)]]/1000))*Tableau4[[#This Row],[Nombres appareils installés]]</f>
        <v>6880</v>
      </c>
      <c r="AD142" s="188">
        <f>Tableau4[[#This Row],[AF 4 ($)]]/Tableau4[[#This Row],[Nombres appareils installés]]</f>
        <v>3440</v>
      </c>
      <c r="AE142" s="194">
        <f>Tableau4[[#This Row],[Couverture 4 (%)]]*Tableau4[[#This Row],[Nombres appareils installés]]</f>
        <v>1.0139416983523448</v>
      </c>
      <c r="AF142" s="193">
        <f>Tableau4[[#This Row],[AF 4 par appareil  ($)]]/Tableau4[[#This Row],[Surcoût par appareil ($)]]</f>
        <v>0.50697084917617241</v>
      </c>
    </row>
    <row r="143" spans="2:32" x14ac:dyDescent="0.3">
      <c r="B143" s="195" t="s">
        <v>189</v>
      </c>
      <c r="C143" s="188" t="s">
        <v>211</v>
      </c>
      <c r="D143" s="188">
        <v>8</v>
      </c>
      <c r="E143" s="188">
        <v>310000</v>
      </c>
      <c r="F143" s="196">
        <f>Tableau4[[#This Row],[Economies totales (m3)]]/Tableau4[[#This Row],[Nombres appareils installés]]</f>
        <v>1565.5</v>
      </c>
      <c r="G143" s="190">
        <v>12524</v>
      </c>
      <c r="H143" s="188">
        <f t="shared" si="4"/>
        <v>4385.3999999999996</v>
      </c>
      <c r="I143" s="188">
        <v>2400</v>
      </c>
      <c r="J143" s="188">
        <f>Tableau4[[#This Row],[Surcoût moyens de l''équipement ($)]]+Tableau4[[#This Row],[Surcoût moyen de l''installation ($)]]</f>
        <v>6785.4</v>
      </c>
      <c r="K143" s="188">
        <f>Tableau4[[#This Row],[Surcoût par appareil ($)]]*Tableau4[[#This Row],[Nombres appareils installés]]</f>
        <v>54283.199999999997</v>
      </c>
      <c r="L143" s="190">
        <v>13600</v>
      </c>
      <c r="M143" s="188">
        <f t="shared" si="5"/>
        <v>19600</v>
      </c>
      <c r="N143" s="188">
        <f>Tableau4[[#This Row],[AF 0 ($)]]/Tableau4[[#This Row],[Nombres appareils installés]]</f>
        <v>2450</v>
      </c>
      <c r="O143" s="191">
        <f>(Tableau4[[#This Row],[AF accordée ($)]])/($J$6*D143)</f>
        <v>0.42463905680171854</v>
      </c>
      <c r="P143" s="191">
        <f>Tableau4[[#This Row],[Couverture 0 (%)]]*Tableau4[[#This Row],[Nombres appareils installés]]</f>
        <v>3.3971124544137483</v>
      </c>
      <c r="Q143" s="188">
        <f>($Q$4+$R$4*(Tableau4[[#This Row],[Capacité (BTU)]]/1000))*Tableau4[[#This Row],[Nombres appareils installés]]</f>
        <v>28400</v>
      </c>
      <c r="R143" s="188">
        <f>Tableau4[[#This Row],[AF 1 ($)]]/Tableau4[[#This Row],[Nombres appareils installés]]</f>
        <v>3550</v>
      </c>
      <c r="S143" s="191">
        <f>Tableau4[[#This Row],[AF 1 ($)]]/(J143*D143)</f>
        <v>0.52318212633006167</v>
      </c>
      <c r="T143" s="191">
        <f>Tableau4[[#This Row],[Couverture 1 (%)]]*Tableau4[[#This Row],[Nombres appareils installés]]</f>
        <v>4.1854570106404934</v>
      </c>
      <c r="U143" s="188">
        <f>($U$4+($V$4*(Tableau4[[#This Row],[Capacité (BTU)]]/1000)))*Tableau4[[#This Row],[Nombres appareils installés]]</f>
        <v>34600</v>
      </c>
      <c r="V143" s="188">
        <f>Tableau4[[#This Row],[AF 2 ($)]]/Tableau4[[#This Row],[Nombres appareils installés]]</f>
        <v>4325</v>
      </c>
      <c r="W143" s="192">
        <f>Tableau4[[#This Row],[AF 2 par appareil ($)]]/Tableau4[[#This Row],[Surcoût par appareil ($)]]</f>
        <v>0.63739794264155392</v>
      </c>
      <c r="X143" s="192">
        <f>Tableau4[[#This Row],[Couverture 2 (%)]]*Tableau4[[#This Row],[Nombres appareils installés]]</f>
        <v>5.0991835411324313</v>
      </c>
      <c r="Y143" s="188">
        <f>($Y$4+$Z$4*(Tableau4[[#This Row],[Capacité (BTU)]]/1000))*Tableau4[[#This Row],[Nombres appareils installés]]</f>
        <v>32400</v>
      </c>
      <c r="Z143" s="188">
        <f>Tableau4[[#This Row],[AF 3 ($)]]/Tableau4[[#This Row],[Nombres appareils installés]]</f>
        <v>4050</v>
      </c>
      <c r="AA143" s="193">
        <f>Tableau4[[#This Row],[AF 3 par appareil ($)]]/Tableau4[[#This Row],[Surcoût par appareil ($)]]</f>
        <v>0.59686974975683083</v>
      </c>
      <c r="AB143" s="193">
        <f>Tableau4[[#This Row],[Couverture 3 (%)]]*Tableau4[[#This Row],[Nombres appareils installés]]</f>
        <v>4.7749579980546466</v>
      </c>
      <c r="AC143" s="188">
        <f>($AC$4+$AD$4*(Tableau4[[#This Row],[Capacité (BTU)]]/1000))*Tableau4[[#This Row],[Nombres appareils installés]]</f>
        <v>27520</v>
      </c>
      <c r="AD143" s="188">
        <f>Tableau4[[#This Row],[AF 4 ($)]]/Tableau4[[#This Row],[Nombres appareils installés]]</f>
        <v>3440</v>
      </c>
      <c r="AE143" s="194">
        <f>Tableau4[[#This Row],[Couverture 4 (%)]]*Tableau4[[#This Row],[Nombres appareils installés]]</f>
        <v>4.0557667934093793</v>
      </c>
      <c r="AF143" s="193">
        <f>Tableau4[[#This Row],[AF 4 par appareil  ($)]]/Tableau4[[#This Row],[Surcoût par appareil ($)]]</f>
        <v>0.50697084917617241</v>
      </c>
    </row>
    <row r="144" spans="2:32" x14ac:dyDescent="0.3">
      <c r="B144" s="195" t="s">
        <v>189</v>
      </c>
      <c r="C144" s="188" t="s">
        <v>122</v>
      </c>
      <c r="D144" s="188">
        <v>14</v>
      </c>
      <c r="E144" s="188">
        <v>310000</v>
      </c>
      <c r="F144" s="196">
        <f>Tableau4[[#This Row],[Economies totales (m3)]]/Tableau4[[#This Row],[Nombres appareils installés]]</f>
        <v>1565.5</v>
      </c>
      <c r="G144" s="190">
        <v>21917</v>
      </c>
      <c r="H144" s="188">
        <f t="shared" si="4"/>
        <v>4385.3999999999996</v>
      </c>
      <c r="I144" s="188">
        <v>2400</v>
      </c>
      <c r="J144" s="188">
        <f>Tableau4[[#This Row],[Surcoût moyens de l''équipement ($)]]+Tableau4[[#This Row],[Surcoût moyen de l''installation ($)]]</f>
        <v>6785.4</v>
      </c>
      <c r="K144" s="188">
        <f>Tableau4[[#This Row],[Surcoût par appareil ($)]]*Tableau4[[#This Row],[Nombres appareils installés]]</f>
        <v>94995.599999999991</v>
      </c>
      <c r="L144" s="190">
        <v>23800</v>
      </c>
      <c r="M144" s="188">
        <f t="shared" si="5"/>
        <v>34300</v>
      </c>
      <c r="N144" s="188">
        <f>Tableau4[[#This Row],[AF 0 ($)]]/Tableau4[[#This Row],[Nombres appareils installés]]</f>
        <v>2450</v>
      </c>
      <c r="O144" s="191">
        <f>(Tableau4[[#This Row],[AF accordée ($)]])/($J$6*D144)</f>
        <v>0.42463905680171854</v>
      </c>
      <c r="P144" s="191">
        <f>Tableau4[[#This Row],[Couverture 0 (%)]]*Tableau4[[#This Row],[Nombres appareils installés]]</f>
        <v>5.9449467952240598</v>
      </c>
      <c r="Q144" s="188">
        <f>($Q$4+$R$4*(Tableau4[[#This Row],[Capacité (BTU)]]/1000))*Tableau4[[#This Row],[Nombres appareils installés]]</f>
        <v>49700</v>
      </c>
      <c r="R144" s="188">
        <f>Tableau4[[#This Row],[AF 1 ($)]]/Tableau4[[#This Row],[Nombres appareils installés]]</f>
        <v>3550</v>
      </c>
      <c r="S144" s="191">
        <f>Tableau4[[#This Row],[AF 1 ($)]]/(J144*D144)</f>
        <v>0.52318212633006167</v>
      </c>
      <c r="T144" s="191">
        <f>Tableau4[[#This Row],[Couverture 1 (%)]]*Tableau4[[#This Row],[Nombres appareils installés]]</f>
        <v>7.3245497686208632</v>
      </c>
      <c r="U144" s="188">
        <f>($U$4+($V$4*(Tableau4[[#This Row],[Capacité (BTU)]]/1000)))*Tableau4[[#This Row],[Nombres appareils installés]]</f>
        <v>60550</v>
      </c>
      <c r="V144" s="188">
        <f>Tableau4[[#This Row],[AF 2 ($)]]/Tableau4[[#This Row],[Nombres appareils installés]]</f>
        <v>4325</v>
      </c>
      <c r="W144" s="192">
        <f>Tableau4[[#This Row],[AF 2 par appareil ($)]]/Tableau4[[#This Row],[Surcoût par appareil ($)]]</f>
        <v>0.63739794264155392</v>
      </c>
      <c r="X144" s="192">
        <f>Tableau4[[#This Row],[Couverture 2 (%)]]*Tableau4[[#This Row],[Nombres appareils installés]]</f>
        <v>8.9235711969817544</v>
      </c>
      <c r="Y144" s="188">
        <f>($Y$4+$Z$4*(Tableau4[[#This Row],[Capacité (BTU)]]/1000))*Tableau4[[#This Row],[Nombres appareils installés]]</f>
        <v>56700</v>
      </c>
      <c r="Z144" s="188">
        <f>Tableau4[[#This Row],[AF 3 ($)]]/Tableau4[[#This Row],[Nombres appareils installés]]</f>
        <v>4050</v>
      </c>
      <c r="AA144" s="193">
        <f>Tableau4[[#This Row],[AF 3 par appareil ($)]]/Tableau4[[#This Row],[Surcoût par appareil ($)]]</f>
        <v>0.59686974975683083</v>
      </c>
      <c r="AB144" s="193">
        <f>Tableau4[[#This Row],[Couverture 3 (%)]]*Tableau4[[#This Row],[Nombres appareils installés]]</f>
        <v>8.3561764965956318</v>
      </c>
      <c r="AC144" s="188">
        <f>($AC$4+$AD$4*(Tableau4[[#This Row],[Capacité (BTU)]]/1000))*Tableau4[[#This Row],[Nombres appareils installés]]</f>
        <v>48160</v>
      </c>
      <c r="AD144" s="188">
        <f>Tableau4[[#This Row],[AF 4 ($)]]/Tableau4[[#This Row],[Nombres appareils installés]]</f>
        <v>3440</v>
      </c>
      <c r="AE144" s="194">
        <f>Tableau4[[#This Row],[Couverture 4 (%)]]*Tableau4[[#This Row],[Nombres appareils installés]]</f>
        <v>7.0975918884664138</v>
      </c>
      <c r="AF144" s="193">
        <f>Tableau4[[#This Row],[AF 4 par appareil  ($)]]/Tableau4[[#This Row],[Surcoût par appareil ($)]]</f>
        <v>0.50697084917617241</v>
      </c>
    </row>
    <row r="145" spans="2:32" x14ac:dyDescent="0.3">
      <c r="B145" s="195" t="s">
        <v>189</v>
      </c>
      <c r="C145" s="188" t="s">
        <v>205</v>
      </c>
      <c r="D145" s="188">
        <v>2</v>
      </c>
      <c r="E145" s="188">
        <v>400000</v>
      </c>
      <c r="F145" s="196">
        <f>Tableau4[[#This Row],[Economies totales (m3)]]/Tableau4[[#This Row],[Nombres appareils installés]]</f>
        <v>2020</v>
      </c>
      <c r="G145" s="190">
        <v>4040</v>
      </c>
      <c r="H145" s="188">
        <f t="shared" si="4"/>
        <v>6293.4</v>
      </c>
      <c r="I145" s="188">
        <v>2400</v>
      </c>
      <c r="J145" s="188">
        <f>Tableau4[[#This Row],[Surcoût moyens de l''équipement ($)]]+Tableau4[[#This Row],[Surcoût moyen de l''installation ($)]]</f>
        <v>8693.4</v>
      </c>
      <c r="K145" s="188">
        <f>Tableau4[[#This Row],[Surcoût par appareil ($)]]*Tableau4[[#This Row],[Nombres appareils installés]]</f>
        <v>17386.8</v>
      </c>
      <c r="L145" s="190">
        <v>3400</v>
      </c>
      <c r="M145" s="188">
        <f t="shared" si="5"/>
        <v>5800</v>
      </c>
      <c r="N145" s="188">
        <f>Tableau4[[#This Row],[AF 0 ($)]]/Tableau4[[#This Row],[Nombres appareils installés]]</f>
        <v>2900</v>
      </c>
      <c r="O145" s="191">
        <f>(Tableau4[[#This Row],[AF accordée ($)]])/($J$6*D145)</f>
        <v>0.42463905680171854</v>
      </c>
      <c r="P145" s="191">
        <f>Tableau4[[#This Row],[Couverture 0 (%)]]*Tableau4[[#This Row],[Nombres appareils installés]]</f>
        <v>0.84927811360343708</v>
      </c>
      <c r="Q145" s="188">
        <f>($Q$4+$R$4*(Tableau4[[#This Row],[Capacité (BTU)]]/1000))*Tableau4[[#This Row],[Nombres appareils installés]]</f>
        <v>8000</v>
      </c>
      <c r="R145" s="188">
        <f>Tableau4[[#This Row],[AF 1 ($)]]/Tableau4[[#This Row],[Nombres appareils installés]]</f>
        <v>4000</v>
      </c>
      <c r="S145" s="191">
        <f>Tableau4[[#This Row],[AF 1 ($)]]/(J145*D145)</f>
        <v>0.46011917086525411</v>
      </c>
      <c r="T145" s="191">
        <f>Tableau4[[#This Row],[Couverture 1 (%)]]*Tableau4[[#This Row],[Nombres appareils installés]]</f>
        <v>0.92023834173050822</v>
      </c>
      <c r="U145" s="188">
        <f>($U$4+($V$4*(Tableau4[[#This Row],[Capacité (BTU)]]/1000)))*Tableau4[[#This Row],[Nombres appareils installés]]</f>
        <v>10000</v>
      </c>
      <c r="V145" s="188">
        <f>Tableau4[[#This Row],[AF 2 ($)]]/Tableau4[[#This Row],[Nombres appareils installés]]</f>
        <v>5000</v>
      </c>
      <c r="W145" s="192">
        <f>Tableau4[[#This Row],[AF 2 par appareil ($)]]/Tableau4[[#This Row],[Surcoût par appareil ($)]]</f>
        <v>0.57514896358156764</v>
      </c>
      <c r="X145" s="192">
        <f>Tableau4[[#This Row],[Couverture 2 (%)]]*Tableau4[[#This Row],[Nombres appareils installés]]</f>
        <v>1.1502979271631353</v>
      </c>
      <c r="Y145" s="188">
        <f>($Y$4+$Z$4*(Tableau4[[#This Row],[Capacité (BTU)]]/1000))*Tableau4[[#This Row],[Nombres appareils installés]]</f>
        <v>9000</v>
      </c>
      <c r="Z145" s="188">
        <f>Tableau4[[#This Row],[AF 3 ($)]]/Tableau4[[#This Row],[Nombres appareils installés]]</f>
        <v>4500</v>
      </c>
      <c r="AA145" s="193">
        <f>Tableau4[[#This Row],[AF 3 par appareil ($)]]/Tableau4[[#This Row],[Surcoût par appareil ($)]]</f>
        <v>0.51763406722341088</v>
      </c>
      <c r="AB145" s="193">
        <f>Tableau4[[#This Row],[Couverture 3 (%)]]*Tableau4[[#This Row],[Nombres appareils installés]]</f>
        <v>1.0352681344468218</v>
      </c>
      <c r="AC145" s="188">
        <f>($AC$4+$AD$4*(Tableau4[[#This Row],[Capacité (BTU)]]/1000))*Tableau4[[#This Row],[Nombres appareils installés]]</f>
        <v>7600</v>
      </c>
      <c r="AD145" s="188">
        <f>Tableau4[[#This Row],[AF 4 ($)]]/Tableau4[[#This Row],[Nombres appareils installés]]</f>
        <v>3800</v>
      </c>
      <c r="AE145" s="194">
        <f>Tableau4[[#This Row],[Couverture 4 (%)]]*Tableau4[[#This Row],[Nombres appareils installés]]</f>
        <v>0.87422642464398281</v>
      </c>
      <c r="AF145" s="193">
        <f>Tableau4[[#This Row],[AF 4 par appareil  ($)]]/Tableau4[[#This Row],[Surcoût par appareil ($)]]</f>
        <v>0.43711321232199141</v>
      </c>
    </row>
    <row r="146" spans="2:32" x14ac:dyDescent="0.3">
      <c r="B146" s="195" t="s">
        <v>212</v>
      </c>
      <c r="C146" s="188" t="s">
        <v>122</v>
      </c>
      <c r="D146" s="188">
        <v>1</v>
      </c>
      <c r="E146" s="188">
        <v>55000</v>
      </c>
      <c r="F146" s="196">
        <f>Tableau4[[#This Row],[Economies totales (m3)]]/Tableau4[[#This Row],[Nombres appareils installés]]</f>
        <v>277.75</v>
      </c>
      <c r="G146" s="190">
        <v>277.75</v>
      </c>
      <c r="H146" s="188">
        <f t="shared" si="4"/>
        <v>1618.65</v>
      </c>
      <c r="I146" s="188">
        <v>2400</v>
      </c>
      <c r="J146" s="188">
        <f>Tableau4[[#This Row],[Surcoût moyens de l''équipement ($)]]+Tableau4[[#This Row],[Surcoût moyen de l''installation ($)]]</f>
        <v>4018.65</v>
      </c>
      <c r="K146" s="188">
        <f>Tableau4[[#This Row],[Surcoût par appareil ($)]]*Tableau4[[#This Row],[Nombres appareils installés]]</f>
        <v>4018.65</v>
      </c>
      <c r="L146" s="190">
        <v>1700</v>
      </c>
      <c r="M146" s="188">
        <f t="shared" si="5"/>
        <v>1175</v>
      </c>
      <c r="N146" s="188">
        <f>Tableau4[[#This Row],[AF 0 ($)]]/Tableau4[[#This Row],[Nombres appareils installés]]</f>
        <v>1175</v>
      </c>
      <c r="O146" s="191">
        <f>(Tableau4[[#This Row],[AF accordée ($)]])/($J$6*D146)</f>
        <v>0.42463905680171854</v>
      </c>
      <c r="P146" s="191">
        <f>Tableau4[[#This Row],[Couverture 0 (%)]]*Tableau4[[#This Row],[Nombres appareils installés]]</f>
        <v>0.42463905680171854</v>
      </c>
      <c r="Q146" s="188">
        <f>($Q$4+$R$4*(Tableau4[[#This Row],[Capacité (BTU)]]/1000))*Tableau4[[#This Row],[Nombres appareils installés]]</f>
        <v>2275</v>
      </c>
      <c r="R146" s="188">
        <f>Tableau4[[#This Row],[AF 1 ($)]]/Tableau4[[#This Row],[Nombres appareils installés]]</f>
        <v>2275</v>
      </c>
      <c r="S146" s="191">
        <f>Tableau4[[#This Row],[AF 1 ($)]]/(J146*D146)</f>
        <v>0.56611050974829857</v>
      </c>
      <c r="T146" s="191">
        <f>Tableau4[[#This Row],[Couverture 1 (%)]]*Tableau4[[#This Row],[Nombres appareils installés]]</f>
        <v>0.56611050974829857</v>
      </c>
      <c r="U146" s="188">
        <f>($U$4+($V$4*(Tableau4[[#This Row],[Capacité (BTU)]]/1000)))*Tableau4[[#This Row],[Nombres appareils installés]]</f>
        <v>2412.5</v>
      </c>
      <c r="V146" s="188">
        <f>Tableau4[[#This Row],[AF 2 ($)]]/Tableau4[[#This Row],[Nombres appareils installés]]</f>
        <v>2412.5</v>
      </c>
      <c r="W146" s="192">
        <f>Tableau4[[#This Row],[AF 2 par appareil ($)]]/Tableau4[[#This Row],[Surcoût par appareil ($)]]</f>
        <v>0.60032598011770122</v>
      </c>
      <c r="X146" s="192">
        <f>Tableau4[[#This Row],[Couverture 2 (%)]]*Tableau4[[#This Row],[Nombres appareils installés]]</f>
        <v>0.60032598011770122</v>
      </c>
      <c r="Y146" s="188">
        <f>($Y$4+$Z$4*(Tableau4[[#This Row],[Capacité (BTU)]]/1000))*Tableau4[[#This Row],[Nombres appareils installés]]</f>
        <v>2775</v>
      </c>
      <c r="Z146" s="188">
        <f>Tableau4[[#This Row],[AF 3 ($)]]/Tableau4[[#This Row],[Nombres appareils installés]]</f>
        <v>2775</v>
      </c>
      <c r="AA146" s="193">
        <f>Tableau4[[#This Row],[AF 3 par appareil ($)]]/Tableau4[[#This Row],[Surcoût par appareil ($)]]</f>
        <v>0.69053040200067184</v>
      </c>
      <c r="AB146" s="193">
        <f>Tableau4[[#This Row],[Couverture 3 (%)]]*Tableau4[[#This Row],[Nombres appareils installés]]</f>
        <v>0.69053040200067184</v>
      </c>
      <c r="AC146" s="188">
        <f>($AC$4+$AD$4*(Tableau4[[#This Row],[Capacité (BTU)]]/1000))*Tableau4[[#This Row],[Nombres appareils installés]]</f>
        <v>2420</v>
      </c>
      <c r="AD146" s="188">
        <f>Tableau4[[#This Row],[AF 4 ($)]]/Tableau4[[#This Row],[Nombres appareils installés]]</f>
        <v>2420</v>
      </c>
      <c r="AE146" s="194">
        <f>Tableau4[[#This Row],[Couverture 4 (%)]]*Tableau4[[#This Row],[Nombres appareils installés]]</f>
        <v>0.60219227850148682</v>
      </c>
      <c r="AF146" s="193">
        <f>Tableau4[[#This Row],[AF 4 par appareil  ($)]]/Tableau4[[#This Row],[Surcoût par appareil ($)]]</f>
        <v>0.60219227850148682</v>
      </c>
    </row>
    <row r="147" spans="2:32" x14ac:dyDescent="0.3">
      <c r="B147" s="195" t="s">
        <v>212</v>
      </c>
      <c r="C147" s="188" t="s">
        <v>213</v>
      </c>
      <c r="D147" s="188">
        <v>1</v>
      </c>
      <c r="E147" s="188">
        <v>155000</v>
      </c>
      <c r="F147" s="196">
        <f>Tableau4[[#This Row],[Economies totales (m3)]]/Tableau4[[#This Row],[Nombres appareils installés]]</f>
        <v>782.75</v>
      </c>
      <c r="G147" s="190">
        <v>782.75</v>
      </c>
      <c r="H147" s="188">
        <f t="shared" si="4"/>
        <v>2238.65</v>
      </c>
      <c r="I147" s="188">
        <v>2400</v>
      </c>
      <c r="J147" s="188">
        <f>Tableau4[[#This Row],[Surcoût moyens de l''équipement ($)]]+Tableau4[[#This Row],[Surcoût moyen de l''installation ($)]]</f>
        <v>4638.6499999999996</v>
      </c>
      <c r="K147" s="188">
        <f>Tableau4[[#This Row],[Surcoût par appareil ($)]]*Tableau4[[#This Row],[Nombres appareils installés]]</f>
        <v>4638.6499999999996</v>
      </c>
      <c r="L147" s="190">
        <v>1700</v>
      </c>
      <c r="M147" s="188">
        <f t="shared" si="5"/>
        <v>1675</v>
      </c>
      <c r="N147" s="188">
        <f>Tableau4[[#This Row],[AF 0 ($)]]/Tableau4[[#This Row],[Nombres appareils installés]]</f>
        <v>1675</v>
      </c>
      <c r="O147" s="191">
        <f>(Tableau4[[#This Row],[AF accordée ($)]])/($J$6*D147)</f>
        <v>0.42463905680171854</v>
      </c>
      <c r="P147" s="191">
        <f>Tableau4[[#This Row],[Couverture 0 (%)]]*Tableau4[[#This Row],[Nombres appareils installés]]</f>
        <v>0.42463905680171854</v>
      </c>
      <c r="Q147" s="188">
        <f>($Q$4+$R$4*(Tableau4[[#This Row],[Capacité (BTU)]]/1000))*Tableau4[[#This Row],[Nombres appareils installés]]</f>
        <v>2775</v>
      </c>
      <c r="R147" s="188">
        <f>Tableau4[[#This Row],[AF 1 ($)]]/Tableau4[[#This Row],[Nombres appareils installés]]</f>
        <v>2775</v>
      </c>
      <c r="S147" s="191">
        <f>Tableau4[[#This Row],[AF 1 ($)]]/(J147*D147)</f>
        <v>0.59823440009485518</v>
      </c>
      <c r="T147" s="191">
        <f>Tableau4[[#This Row],[Couverture 1 (%)]]*Tableau4[[#This Row],[Nombres appareils installés]]</f>
        <v>0.59823440009485518</v>
      </c>
      <c r="U147" s="188">
        <f>($U$4+($V$4*(Tableau4[[#This Row],[Capacité (BTU)]]/1000)))*Tableau4[[#This Row],[Nombres appareils installés]]</f>
        <v>3162.5</v>
      </c>
      <c r="V147" s="188">
        <f>Tableau4[[#This Row],[AF 2 ($)]]/Tableau4[[#This Row],[Nombres appareils installés]]</f>
        <v>3162.5</v>
      </c>
      <c r="W147" s="192">
        <f>Tableau4[[#This Row],[AF 2 par appareil ($)]]/Tableau4[[#This Row],[Surcoût par appareil ($)]]</f>
        <v>0.68177163614413683</v>
      </c>
      <c r="X147" s="192">
        <f>Tableau4[[#This Row],[Couverture 2 (%)]]*Tableau4[[#This Row],[Nombres appareils installés]]</f>
        <v>0.68177163614413683</v>
      </c>
      <c r="Y147" s="188">
        <f>($Y$4+$Z$4*(Tableau4[[#This Row],[Capacité (BTU)]]/1000))*Tableau4[[#This Row],[Nombres appareils installés]]</f>
        <v>3275</v>
      </c>
      <c r="Z147" s="188">
        <f>Tableau4[[#This Row],[AF 3 ($)]]/Tableau4[[#This Row],[Nombres appareils installés]]</f>
        <v>3275</v>
      </c>
      <c r="AA147" s="193">
        <f>Tableau4[[#This Row],[AF 3 par appareil ($)]]/Tableau4[[#This Row],[Surcoût par appareil ($)]]</f>
        <v>0.70602438209392826</v>
      </c>
      <c r="AB147" s="193">
        <f>Tableau4[[#This Row],[Couverture 3 (%)]]*Tableau4[[#This Row],[Nombres appareils installés]]</f>
        <v>0.70602438209392826</v>
      </c>
      <c r="AC147" s="188">
        <f>($AC$4+$AD$4*(Tableau4[[#This Row],[Capacité (BTU)]]/1000))*Tableau4[[#This Row],[Nombres appareils installés]]</f>
        <v>2820</v>
      </c>
      <c r="AD147" s="188">
        <f>Tableau4[[#This Row],[AF 4 ($)]]/Tableau4[[#This Row],[Nombres appareils installés]]</f>
        <v>2820</v>
      </c>
      <c r="AE147" s="194">
        <f>Tableau4[[#This Row],[Couverture 4 (%)]]*Tableau4[[#This Row],[Nombres appareils installés]]</f>
        <v>0.6079354984747718</v>
      </c>
      <c r="AF147" s="193">
        <f>Tableau4[[#This Row],[AF 4 par appareil  ($)]]/Tableau4[[#This Row],[Surcoût par appareil ($)]]</f>
        <v>0.6079354984747718</v>
      </c>
    </row>
    <row r="148" spans="2:32" x14ac:dyDescent="0.3">
      <c r="B148" s="195" t="s">
        <v>212</v>
      </c>
      <c r="C148" s="188" t="s">
        <v>122</v>
      </c>
      <c r="D148" s="188">
        <v>1</v>
      </c>
      <c r="E148" s="188">
        <v>155000</v>
      </c>
      <c r="F148" s="196">
        <f>Tableau4[[#This Row],[Economies totales (m3)]]/Tableau4[[#This Row],[Nombres appareils installés]]</f>
        <v>782.75</v>
      </c>
      <c r="G148" s="190">
        <v>782.75</v>
      </c>
      <c r="H148" s="188">
        <f t="shared" si="4"/>
        <v>2238.65</v>
      </c>
      <c r="I148" s="188">
        <v>2400</v>
      </c>
      <c r="J148" s="188">
        <f>Tableau4[[#This Row],[Surcoût moyens de l''équipement ($)]]+Tableau4[[#This Row],[Surcoût moyen de l''installation ($)]]</f>
        <v>4638.6499999999996</v>
      </c>
      <c r="K148" s="188">
        <f>Tableau4[[#This Row],[Surcoût par appareil ($)]]*Tableau4[[#This Row],[Nombres appareils installés]]</f>
        <v>4638.6499999999996</v>
      </c>
      <c r="L148" s="190">
        <v>1675</v>
      </c>
      <c r="M148" s="188">
        <f t="shared" si="5"/>
        <v>1675</v>
      </c>
      <c r="N148" s="188">
        <f>Tableau4[[#This Row],[AF 0 ($)]]/Tableau4[[#This Row],[Nombres appareils installés]]</f>
        <v>1675</v>
      </c>
      <c r="O148" s="191">
        <f>(Tableau4[[#This Row],[AF accordée ($)]])/($J$6*D148)</f>
        <v>0.41839436478992853</v>
      </c>
      <c r="P148" s="191">
        <f>Tableau4[[#This Row],[Couverture 0 (%)]]*Tableau4[[#This Row],[Nombres appareils installés]]</f>
        <v>0.41839436478992853</v>
      </c>
      <c r="Q148" s="188">
        <f>($Q$4+$R$4*(Tableau4[[#This Row],[Capacité (BTU)]]/1000))*Tableau4[[#This Row],[Nombres appareils installés]]</f>
        <v>2775</v>
      </c>
      <c r="R148" s="188">
        <f>Tableau4[[#This Row],[AF 1 ($)]]/Tableau4[[#This Row],[Nombres appareils installés]]</f>
        <v>2775</v>
      </c>
      <c r="S148" s="191">
        <f>Tableau4[[#This Row],[AF 1 ($)]]/(J148*D148)</f>
        <v>0.59823440009485518</v>
      </c>
      <c r="T148" s="191">
        <f>Tableau4[[#This Row],[Couverture 1 (%)]]*Tableau4[[#This Row],[Nombres appareils installés]]</f>
        <v>0.59823440009485518</v>
      </c>
      <c r="U148" s="188">
        <f>($U$4+($V$4*(Tableau4[[#This Row],[Capacité (BTU)]]/1000)))*Tableau4[[#This Row],[Nombres appareils installés]]</f>
        <v>3162.5</v>
      </c>
      <c r="V148" s="188">
        <f>Tableau4[[#This Row],[AF 2 ($)]]/Tableau4[[#This Row],[Nombres appareils installés]]</f>
        <v>3162.5</v>
      </c>
      <c r="W148" s="192">
        <f>Tableau4[[#This Row],[AF 2 par appareil ($)]]/Tableau4[[#This Row],[Surcoût par appareil ($)]]</f>
        <v>0.68177163614413683</v>
      </c>
      <c r="X148" s="192">
        <f>Tableau4[[#This Row],[Couverture 2 (%)]]*Tableau4[[#This Row],[Nombres appareils installés]]</f>
        <v>0.68177163614413683</v>
      </c>
      <c r="Y148" s="188">
        <f>($Y$4+$Z$4*(Tableau4[[#This Row],[Capacité (BTU)]]/1000))*Tableau4[[#This Row],[Nombres appareils installés]]</f>
        <v>3275</v>
      </c>
      <c r="Z148" s="188">
        <f>Tableau4[[#This Row],[AF 3 ($)]]/Tableau4[[#This Row],[Nombres appareils installés]]</f>
        <v>3275</v>
      </c>
      <c r="AA148" s="193">
        <f>Tableau4[[#This Row],[AF 3 par appareil ($)]]/Tableau4[[#This Row],[Surcoût par appareil ($)]]</f>
        <v>0.70602438209392826</v>
      </c>
      <c r="AB148" s="193">
        <f>Tableau4[[#This Row],[Couverture 3 (%)]]*Tableau4[[#This Row],[Nombres appareils installés]]</f>
        <v>0.70602438209392826</v>
      </c>
      <c r="AC148" s="188">
        <f>($AC$4+$AD$4*(Tableau4[[#This Row],[Capacité (BTU)]]/1000))*Tableau4[[#This Row],[Nombres appareils installés]]</f>
        <v>2820</v>
      </c>
      <c r="AD148" s="188">
        <f>Tableau4[[#This Row],[AF 4 ($)]]/Tableau4[[#This Row],[Nombres appareils installés]]</f>
        <v>2820</v>
      </c>
      <c r="AE148" s="194">
        <f>Tableau4[[#This Row],[Couverture 4 (%)]]*Tableau4[[#This Row],[Nombres appareils installés]]</f>
        <v>0.6079354984747718</v>
      </c>
      <c r="AF148" s="193">
        <f>Tableau4[[#This Row],[AF 4 par appareil  ($)]]/Tableau4[[#This Row],[Surcoût par appareil ($)]]</f>
        <v>0.6079354984747718</v>
      </c>
    </row>
    <row r="149" spans="2:32" x14ac:dyDescent="0.3">
      <c r="B149" s="195" t="s">
        <v>212</v>
      </c>
      <c r="C149" s="188" t="s">
        <v>214</v>
      </c>
      <c r="D149" s="188">
        <v>1</v>
      </c>
      <c r="E149" s="188">
        <v>175000</v>
      </c>
      <c r="F149" s="196">
        <f>Tableau4[[#This Row],[Economies totales (m3)]]/Tableau4[[#This Row],[Nombres appareils installés]]</f>
        <v>883.75</v>
      </c>
      <c r="G149" s="190">
        <v>883.75</v>
      </c>
      <c r="H149" s="188">
        <f t="shared" si="4"/>
        <v>2434.65</v>
      </c>
      <c r="I149" s="188">
        <v>2400</v>
      </c>
      <c r="J149" s="188">
        <f>Tableau4[[#This Row],[Surcoût moyens de l''équipement ($)]]+Tableau4[[#This Row],[Surcoût moyen de l''installation ($)]]</f>
        <v>4834.6499999999996</v>
      </c>
      <c r="K149" s="188">
        <f>Tableau4[[#This Row],[Surcoût par appareil ($)]]*Tableau4[[#This Row],[Nombres appareils installés]]</f>
        <v>4834.6499999999996</v>
      </c>
      <c r="L149" s="190">
        <v>1775</v>
      </c>
      <c r="M149" s="188">
        <f t="shared" si="5"/>
        <v>1775</v>
      </c>
      <c r="N149" s="188">
        <f>Tableau4[[#This Row],[AF 0 ($)]]/Tableau4[[#This Row],[Nombres appareils installés]]</f>
        <v>1775</v>
      </c>
      <c r="O149" s="191">
        <f>(Tableau4[[#This Row],[AF accordée ($)]])/($J$6*D149)</f>
        <v>0.44337313283708846</v>
      </c>
      <c r="P149" s="191">
        <f>Tableau4[[#This Row],[Couverture 0 (%)]]*Tableau4[[#This Row],[Nombres appareils installés]]</f>
        <v>0.44337313283708846</v>
      </c>
      <c r="Q149" s="188">
        <f>($Q$4+$R$4*(Tableau4[[#This Row],[Capacité (BTU)]]/1000))*Tableau4[[#This Row],[Nombres appareils installés]]</f>
        <v>2875</v>
      </c>
      <c r="R149" s="188">
        <f>Tableau4[[#This Row],[AF 1 ($)]]/Tableau4[[#This Row],[Nombres appareils installés]]</f>
        <v>2875</v>
      </c>
      <c r="S149" s="191">
        <f>Tableau4[[#This Row],[AF 1 ($)]]/(J149*D149)</f>
        <v>0.59466559109759765</v>
      </c>
      <c r="T149" s="191">
        <f>Tableau4[[#This Row],[Couverture 1 (%)]]*Tableau4[[#This Row],[Nombres appareils installés]]</f>
        <v>0.59466559109759765</v>
      </c>
      <c r="U149" s="188">
        <f>($U$4+($V$4*(Tableau4[[#This Row],[Capacité (BTU)]]/1000)))*Tableau4[[#This Row],[Nombres appareils installés]]</f>
        <v>3312.5</v>
      </c>
      <c r="V149" s="188">
        <f>Tableau4[[#This Row],[AF 2 ($)]]/Tableau4[[#This Row],[Nombres appareils installés]]</f>
        <v>3312.5</v>
      </c>
      <c r="W149" s="192">
        <f>Tableau4[[#This Row],[AF 2 par appareil ($)]]/Tableau4[[#This Row],[Surcoût par appareil ($)]]</f>
        <v>0.68515818104723203</v>
      </c>
      <c r="X149" s="192">
        <f>Tableau4[[#This Row],[Couverture 2 (%)]]*Tableau4[[#This Row],[Nombres appareils installés]]</f>
        <v>0.68515818104723203</v>
      </c>
      <c r="Y149" s="188">
        <f>($Y$4+$Z$4*(Tableau4[[#This Row],[Capacité (BTU)]]/1000))*Tableau4[[#This Row],[Nombres appareils installés]]</f>
        <v>3375</v>
      </c>
      <c r="Z149" s="188">
        <f>Tableau4[[#This Row],[AF 3 ($)]]/Tableau4[[#This Row],[Nombres appareils installés]]</f>
        <v>3375</v>
      </c>
      <c r="AA149" s="193">
        <f>Tableau4[[#This Row],[AF 3 par appareil ($)]]/Tableau4[[#This Row],[Surcoût par appareil ($)]]</f>
        <v>0.69808569389717978</v>
      </c>
      <c r="AB149" s="193">
        <f>Tableau4[[#This Row],[Couverture 3 (%)]]*Tableau4[[#This Row],[Nombres appareils installés]]</f>
        <v>0.69808569389717978</v>
      </c>
      <c r="AC149" s="188">
        <f>($AC$4+$AD$4*(Tableau4[[#This Row],[Capacité (BTU)]]/1000))*Tableau4[[#This Row],[Nombres appareils installés]]</f>
        <v>2900</v>
      </c>
      <c r="AD149" s="188">
        <f>Tableau4[[#This Row],[AF 4 ($)]]/Tableau4[[#This Row],[Nombres appareils installés]]</f>
        <v>2900</v>
      </c>
      <c r="AE149" s="194">
        <f>Tableau4[[#This Row],[Couverture 4 (%)]]*Tableau4[[#This Row],[Nombres appareils installés]]</f>
        <v>0.59983659623757668</v>
      </c>
      <c r="AF149" s="193">
        <f>Tableau4[[#This Row],[AF 4 par appareil  ($)]]/Tableau4[[#This Row],[Surcoût par appareil ($)]]</f>
        <v>0.59983659623757668</v>
      </c>
    </row>
    <row r="150" spans="2:32" x14ac:dyDescent="0.3">
      <c r="B150" s="195" t="s">
        <v>212</v>
      </c>
      <c r="C150" s="188" t="s">
        <v>215</v>
      </c>
      <c r="D150" s="188">
        <v>1</v>
      </c>
      <c r="E150" s="188">
        <v>175000</v>
      </c>
      <c r="F150" s="196">
        <f>Tableau4[[#This Row],[Economies totales (m3)]]/Tableau4[[#This Row],[Nombres appareils installés]]</f>
        <v>883.75</v>
      </c>
      <c r="G150" s="190">
        <v>883.75</v>
      </c>
      <c r="H150" s="188">
        <f t="shared" si="4"/>
        <v>2434.65</v>
      </c>
      <c r="I150" s="188">
        <v>2400</v>
      </c>
      <c r="J150" s="188">
        <f>Tableau4[[#This Row],[Surcoût moyens de l''équipement ($)]]+Tableau4[[#This Row],[Surcoût moyen de l''installation ($)]]</f>
        <v>4834.6499999999996</v>
      </c>
      <c r="K150" s="188">
        <f>Tableau4[[#This Row],[Surcoût par appareil ($)]]*Tableau4[[#This Row],[Nombres appareils installés]]</f>
        <v>4834.6499999999996</v>
      </c>
      <c r="L150" s="190">
        <v>1775</v>
      </c>
      <c r="M150" s="188">
        <f t="shared" si="5"/>
        <v>1775</v>
      </c>
      <c r="N150" s="188">
        <f>Tableau4[[#This Row],[AF 0 ($)]]/Tableau4[[#This Row],[Nombres appareils installés]]</f>
        <v>1775</v>
      </c>
      <c r="O150" s="191">
        <f>(Tableau4[[#This Row],[AF accordée ($)]])/($J$6*D150)</f>
        <v>0.44337313283708846</v>
      </c>
      <c r="P150" s="191">
        <f>Tableau4[[#This Row],[Couverture 0 (%)]]*Tableau4[[#This Row],[Nombres appareils installés]]</f>
        <v>0.44337313283708846</v>
      </c>
      <c r="Q150" s="188">
        <f>($Q$4+$R$4*(Tableau4[[#This Row],[Capacité (BTU)]]/1000))*Tableau4[[#This Row],[Nombres appareils installés]]</f>
        <v>2875</v>
      </c>
      <c r="R150" s="188">
        <f>Tableau4[[#This Row],[AF 1 ($)]]/Tableau4[[#This Row],[Nombres appareils installés]]</f>
        <v>2875</v>
      </c>
      <c r="S150" s="191">
        <f>Tableau4[[#This Row],[AF 1 ($)]]/(J150*D150)</f>
        <v>0.59466559109759765</v>
      </c>
      <c r="T150" s="191">
        <f>Tableau4[[#This Row],[Couverture 1 (%)]]*Tableau4[[#This Row],[Nombres appareils installés]]</f>
        <v>0.59466559109759765</v>
      </c>
      <c r="U150" s="188">
        <f>($U$4+($V$4*(Tableau4[[#This Row],[Capacité (BTU)]]/1000)))*Tableau4[[#This Row],[Nombres appareils installés]]</f>
        <v>3312.5</v>
      </c>
      <c r="V150" s="188">
        <f>Tableau4[[#This Row],[AF 2 ($)]]/Tableau4[[#This Row],[Nombres appareils installés]]</f>
        <v>3312.5</v>
      </c>
      <c r="W150" s="192">
        <f>Tableau4[[#This Row],[AF 2 par appareil ($)]]/Tableau4[[#This Row],[Surcoût par appareil ($)]]</f>
        <v>0.68515818104723203</v>
      </c>
      <c r="X150" s="192">
        <f>Tableau4[[#This Row],[Couverture 2 (%)]]*Tableau4[[#This Row],[Nombres appareils installés]]</f>
        <v>0.68515818104723203</v>
      </c>
      <c r="Y150" s="188">
        <f>($Y$4+$Z$4*(Tableau4[[#This Row],[Capacité (BTU)]]/1000))*Tableau4[[#This Row],[Nombres appareils installés]]</f>
        <v>3375</v>
      </c>
      <c r="Z150" s="188">
        <f>Tableau4[[#This Row],[AF 3 ($)]]/Tableau4[[#This Row],[Nombres appareils installés]]</f>
        <v>3375</v>
      </c>
      <c r="AA150" s="193">
        <f>Tableau4[[#This Row],[AF 3 par appareil ($)]]/Tableau4[[#This Row],[Surcoût par appareil ($)]]</f>
        <v>0.69808569389717978</v>
      </c>
      <c r="AB150" s="193">
        <f>Tableau4[[#This Row],[Couverture 3 (%)]]*Tableau4[[#This Row],[Nombres appareils installés]]</f>
        <v>0.69808569389717978</v>
      </c>
      <c r="AC150" s="188">
        <f>($AC$4+$AD$4*(Tableau4[[#This Row],[Capacité (BTU)]]/1000))*Tableau4[[#This Row],[Nombres appareils installés]]</f>
        <v>2900</v>
      </c>
      <c r="AD150" s="188">
        <f>Tableau4[[#This Row],[AF 4 ($)]]/Tableau4[[#This Row],[Nombres appareils installés]]</f>
        <v>2900</v>
      </c>
      <c r="AE150" s="194">
        <f>Tableau4[[#This Row],[Couverture 4 (%)]]*Tableau4[[#This Row],[Nombres appareils installés]]</f>
        <v>0.59983659623757668</v>
      </c>
      <c r="AF150" s="193">
        <f>Tableau4[[#This Row],[AF 4 par appareil  ($)]]/Tableau4[[#This Row],[Surcoût par appareil ($)]]</f>
        <v>0.59983659623757668</v>
      </c>
    </row>
    <row r="151" spans="2:32" x14ac:dyDescent="0.3">
      <c r="B151" s="195" t="s">
        <v>212</v>
      </c>
      <c r="C151" s="188" t="s">
        <v>216</v>
      </c>
      <c r="D151" s="188">
        <v>2</v>
      </c>
      <c r="E151" s="188">
        <v>175000</v>
      </c>
      <c r="F151" s="196">
        <f>Tableau4[[#This Row],[Economies totales (m3)]]/Tableau4[[#This Row],[Nombres appareils installés]]</f>
        <v>883.75</v>
      </c>
      <c r="G151" s="190">
        <v>1767.5</v>
      </c>
      <c r="H151" s="188">
        <f t="shared" si="4"/>
        <v>2434.65</v>
      </c>
      <c r="I151" s="188">
        <v>2400</v>
      </c>
      <c r="J151" s="188">
        <f>Tableau4[[#This Row],[Surcoût moyens de l''équipement ($)]]+Tableau4[[#This Row],[Surcoût moyen de l''installation ($)]]</f>
        <v>4834.6499999999996</v>
      </c>
      <c r="K151" s="188">
        <f>Tableau4[[#This Row],[Surcoût par appareil ($)]]*Tableau4[[#This Row],[Nombres appareils installés]]</f>
        <v>9669.2999999999993</v>
      </c>
      <c r="L151" s="190">
        <v>3550</v>
      </c>
      <c r="M151" s="188">
        <f t="shared" si="5"/>
        <v>3550</v>
      </c>
      <c r="N151" s="188">
        <f>Tableau4[[#This Row],[AF 0 ($)]]/Tableau4[[#This Row],[Nombres appareils installés]]</f>
        <v>1775</v>
      </c>
      <c r="O151" s="191">
        <f>(Tableau4[[#This Row],[AF accordée ($)]])/($J$6*D151)</f>
        <v>0.44337313283708846</v>
      </c>
      <c r="P151" s="191">
        <f>Tableau4[[#This Row],[Couverture 0 (%)]]*Tableau4[[#This Row],[Nombres appareils installés]]</f>
        <v>0.88674626567417691</v>
      </c>
      <c r="Q151" s="188">
        <f>($Q$4+$R$4*(Tableau4[[#This Row],[Capacité (BTU)]]/1000))*Tableau4[[#This Row],[Nombres appareils installés]]</f>
        <v>5750</v>
      </c>
      <c r="R151" s="188">
        <f>Tableau4[[#This Row],[AF 1 ($)]]/Tableau4[[#This Row],[Nombres appareils installés]]</f>
        <v>2875</v>
      </c>
      <c r="S151" s="191">
        <f>Tableau4[[#This Row],[AF 1 ($)]]/(J151*D151)</f>
        <v>0.59466559109759765</v>
      </c>
      <c r="T151" s="191">
        <f>Tableau4[[#This Row],[Couverture 1 (%)]]*Tableau4[[#This Row],[Nombres appareils installés]]</f>
        <v>1.1893311821951953</v>
      </c>
      <c r="U151" s="188">
        <f>($U$4+($V$4*(Tableau4[[#This Row],[Capacité (BTU)]]/1000)))*Tableau4[[#This Row],[Nombres appareils installés]]</f>
        <v>6625</v>
      </c>
      <c r="V151" s="188">
        <f>Tableau4[[#This Row],[AF 2 ($)]]/Tableau4[[#This Row],[Nombres appareils installés]]</f>
        <v>3312.5</v>
      </c>
      <c r="W151" s="192">
        <f>Tableau4[[#This Row],[AF 2 par appareil ($)]]/Tableau4[[#This Row],[Surcoût par appareil ($)]]</f>
        <v>0.68515818104723203</v>
      </c>
      <c r="X151" s="192">
        <f>Tableau4[[#This Row],[Couverture 2 (%)]]*Tableau4[[#This Row],[Nombres appareils installés]]</f>
        <v>1.3703163620944641</v>
      </c>
      <c r="Y151" s="188">
        <f>($Y$4+$Z$4*(Tableau4[[#This Row],[Capacité (BTU)]]/1000))*Tableau4[[#This Row],[Nombres appareils installés]]</f>
        <v>6750</v>
      </c>
      <c r="Z151" s="188">
        <f>Tableau4[[#This Row],[AF 3 ($)]]/Tableau4[[#This Row],[Nombres appareils installés]]</f>
        <v>3375</v>
      </c>
      <c r="AA151" s="193">
        <f>Tableau4[[#This Row],[AF 3 par appareil ($)]]/Tableau4[[#This Row],[Surcoût par appareil ($)]]</f>
        <v>0.69808569389717978</v>
      </c>
      <c r="AB151" s="193">
        <f>Tableau4[[#This Row],[Couverture 3 (%)]]*Tableau4[[#This Row],[Nombres appareils installés]]</f>
        <v>1.3961713877943596</v>
      </c>
      <c r="AC151" s="188">
        <f>($AC$4+$AD$4*(Tableau4[[#This Row],[Capacité (BTU)]]/1000))*Tableau4[[#This Row],[Nombres appareils installés]]</f>
        <v>5800</v>
      </c>
      <c r="AD151" s="188">
        <f>Tableau4[[#This Row],[AF 4 ($)]]/Tableau4[[#This Row],[Nombres appareils installés]]</f>
        <v>2900</v>
      </c>
      <c r="AE151" s="194">
        <f>Tableau4[[#This Row],[Couverture 4 (%)]]*Tableau4[[#This Row],[Nombres appareils installés]]</f>
        <v>1.1996731924751534</v>
      </c>
      <c r="AF151" s="193">
        <f>Tableau4[[#This Row],[AF 4 par appareil  ($)]]/Tableau4[[#This Row],[Surcoût par appareil ($)]]</f>
        <v>0.59983659623757668</v>
      </c>
    </row>
    <row r="152" spans="2:32" x14ac:dyDescent="0.3">
      <c r="B152" s="195" t="s">
        <v>212</v>
      </c>
      <c r="C152" s="188" t="s">
        <v>217</v>
      </c>
      <c r="D152" s="188">
        <v>2</v>
      </c>
      <c r="E152" s="188">
        <v>175000</v>
      </c>
      <c r="F152" s="196">
        <f>Tableau4[[#This Row],[Economies totales (m3)]]/Tableau4[[#This Row],[Nombres appareils installés]]</f>
        <v>883.75</v>
      </c>
      <c r="G152" s="190">
        <v>1767.5</v>
      </c>
      <c r="H152" s="188">
        <f t="shared" si="4"/>
        <v>2434.65</v>
      </c>
      <c r="I152" s="188">
        <v>2400</v>
      </c>
      <c r="J152" s="188">
        <f>Tableau4[[#This Row],[Surcoût moyens de l''équipement ($)]]+Tableau4[[#This Row],[Surcoût moyen de l''installation ($)]]</f>
        <v>4834.6499999999996</v>
      </c>
      <c r="K152" s="188">
        <f>Tableau4[[#This Row],[Surcoût par appareil ($)]]*Tableau4[[#This Row],[Nombres appareils installés]]</f>
        <v>9669.2999999999993</v>
      </c>
      <c r="L152" s="190">
        <v>3550</v>
      </c>
      <c r="M152" s="188">
        <f t="shared" si="5"/>
        <v>3550</v>
      </c>
      <c r="N152" s="188">
        <f>Tableau4[[#This Row],[AF 0 ($)]]/Tableau4[[#This Row],[Nombres appareils installés]]</f>
        <v>1775</v>
      </c>
      <c r="O152" s="191">
        <f>(Tableau4[[#This Row],[AF accordée ($)]])/($J$6*D152)</f>
        <v>0.44337313283708846</v>
      </c>
      <c r="P152" s="191">
        <f>Tableau4[[#This Row],[Couverture 0 (%)]]*Tableau4[[#This Row],[Nombres appareils installés]]</f>
        <v>0.88674626567417691</v>
      </c>
      <c r="Q152" s="188">
        <f>($Q$4+$R$4*(Tableau4[[#This Row],[Capacité (BTU)]]/1000))*Tableau4[[#This Row],[Nombres appareils installés]]</f>
        <v>5750</v>
      </c>
      <c r="R152" s="188">
        <f>Tableau4[[#This Row],[AF 1 ($)]]/Tableau4[[#This Row],[Nombres appareils installés]]</f>
        <v>2875</v>
      </c>
      <c r="S152" s="191">
        <f>Tableau4[[#This Row],[AF 1 ($)]]/(J152*D152)</f>
        <v>0.59466559109759765</v>
      </c>
      <c r="T152" s="191">
        <f>Tableau4[[#This Row],[Couverture 1 (%)]]*Tableau4[[#This Row],[Nombres appareils installés]]</f>
        <v>1.1893311821951953</v>
      </c>
      <c r="U152" s="188">
        <f>($U$4+($V$4*(Tableau4[[#This Row],[Capacité (BTU)]]/1000)))*Tableau4[[#This Row],[Nombres appareils installés]]</f>
        <v>6625</v>
      </c>
      <c r="V152" s="188">
        <f>Tableau4[[#This Row],[AF 2 ($)]]/Tableau4[[#This Row],[Nombres appareils installés]]</f>
        <v>3312.5</v>
      </c>
      <c r="W152" s="192">
        <f>Tableau4[[#This Row],[AF 2 par appareil ($)]]/Tableau4[[#This Row],[Surcoût par appareil ($)]]</f>
        <v>0.68515818104723203</v>
      </c>
      <c r="X152" s="192">
        <f>Tableau4[[#This Row],[Couverture 2 (%)]]*Tableau4[[#This Row],[Nombres appareils installés]]</f>
        <v>1.3703163620944641</v>
      </c>
      <c r="Y152" s="188">
        <f>($Y$4+$Z$4*(Tableau4[[#This Row],[Capacité (BTU)]]/1000))*Tableau4[[#This Row],[Nombres appareils installés]]</f>
        <v>6750</v>
      </c>
      <c r="Z152" s="188">
        <f>Tableau4[[#This Row],[AF 3 ($)]]/Tableau4[[#This Row],[Nombres appareils installés]]</f>
        <v>3375</v>
      </c>
      <c r="AA152" s="193">
        <f>Tableau4[[#This Row],[AF 3 par appareil ($)]]/Tableau4[[#This Row],[Surcoût par appareil ($)]]</f>
        <v>0.69808569389717978</v>
      </c>
      <c r="AB152" s="193">
        <f>Tableau4[[#This Row],[Couverture 3 (%)]]*Tableau4[[#This Row],[Nombres appareils installés]]</f>
        <v>1.3961713877943596</v>
      </c>
      <c r="AC152" s="188">
        <f>($AC$4+$AD$4*(Tableau4[[#This Row],[Capacité (BTU)]]/1000))*Tableau4[[#This Row],[Nombres appareils installés]]</f>
        <v>5800</v>
      </c>
      <c r="AD152" s="188">
        <f>Tableau4[[#This Row],[AF 4 ($)]]/Tableau4[[#This Row],[Nombres appareils installés]]</f>
        <v>2900</v>
      </c>
      <c r="AE152" s="194">
        <f>Tableau4[[#This Row],[Couverture 4 (%)]]*Tableau4[[#This Row],[Nombres appareils installés]]</f>
        <v>1.1996731924751534</v>
      </c>
      <c r="AF152" s="193">
        <f>Tableau4[[#This Row],[AF 4 par appareil  ($)]]/Tableau4[[#This Row],[Surcoût par appareil ($)]]</f>
        <v>0.59983659623757668</v>
      </c>
    </row>
    <row r="153" spans="2:32" x14ac:dyDescent="0.3">
      <c r="B153" s="195" t="s">
        <v>212</v>
      </c>
      <c r="C153" s="188" t="s">
        <v>122</v>
      </c>
      <c r="D153" s="188">
        <v>1</v>
      </c>
      <c r="E153" s="188">
        <v>180000</v>
      </c>
      <c r="F153" s="196">
        <f>Tableau4[[#This Row],[Economies totales (m3)]]/Tableau4[[#This Row],[Nombres appareils installés]]</f>
        <v>909</v>
      </c>
      <c r="G153" s="190">
        <v>909</v>
      </c>
      <c r="H153" s="188">
        <f t="shared" si="4"/>
        <v>2487.4</v>
      </c>
      <c r="I153" s="188">
        <v>2400</v>
      </c>
      <c r="J153" s="188">
        <f>Tableau4[[#This Row],[Surcoût moyens de l''équipement ($)]]+Tableau4[[#This Row],[Surcoût moyen de l''installation ($)]]</f>
        <v>4887.3999999999996</v>
      </c>
      <c r="K153" s="188">
        <f>Tableau4[[#This Row],[Surcoût par appareil ($)]]*Tableau4[[#This Row],[Nombres appareils installés]]</f>
        <v>4887.3999999999996</v>
      </c>
      <c r="L153" s="190">
        <v>1700</v>
      </c>
      <c r="M153" s="188">
        <f t="shared" si="5"/>
        <v>1800</v>
      </c>
      <c r="N153" s="188">
        <f>Tableau4[[#This Row],[AF 0 ($)]]/Tableau4[[#This Row],[Nombres appareils installés]]</f>
        <v>1800</v>
      </c>
      <c r="O153" s="191">
        <f>(Tableau4[[#This Row],[AF accordée ($)]])/($J$6*D153)</f>
        <v>0.42463905680171854</v>
      </c>
      <c r="P153" s="191">
        <f>Tableau4[[#This Row],[Couverture 0 (%)]]*Tableau4[[#This Row],[Nombres appareils installés]]</f>
        <v>0.42463905680171854</v>
      </c>
      <c r="Q153" s="188">
        <f>($Q$4+$R$4*(Tableau4[[#This Row],[Capacité (BTU)]]/1000))*Tableau4[[#This Row],[Nombres appareils installés]]</f>
        <v>2900</v>
      </c>
      <c r="R153" s="188">
        <f>Tableau4[[#This Row],[AF 1 ($)]]/Tableau4[[#This Row],[Nombres appareils installés]]</f>
        <v>2900</v>
      </c>
      <c r="S153" s="191">
        <f>Tableau4[[#This Row],[AF 1 ($)]]/(J153*D153)</f>
        <v>0.59336252404141265</v>
      </c>
      <c r="T153" s="191">
        <f>Tableau4[[#This Row],[Couverture 1 (%)]]*Tableau4[[#This Row],[Nombres appareils installés]]</f>
        <v>0.59336252404141265</v>
      </c>
      <c r="U153" s="188">
        <f>($U$4+($V$4*(Tableau4[[#This Row],[Capacité (BTU)]]/1000)))*Tableau4[[#This Row],[Nombres appareils installés]]</f>
        <v>3350</v>
      </c>
      <c r="V153" s="188">
        <f>Tableau4[[#This Row],[AF 2 ($)]]/Tableau4[[#This Row],[Nombres appareils installés]]</f>
        <v>3350</v>
      </c>
      <c r="W153" s="192">
        <f>Tableau4[[#This Row],[AF 2 par appareil ($)]]/Tableau4[[#This Row],[Surcoût par appareil ($)]]</f>
        <v>0.68543601915128705</v>
      </c>
      <c r="X153" s="192">
        <f>Tableau4[[#This Row],[Couverture 2 (%)]]*Tableau4[[#This Row],[Nombres appareils installés]]</f>
        <v>0.68543601915128705</v>
      </c>
      <c r="Y153" s="188">
        <f>($Y$4+$Z$4*(Tableau4[[#This Row],[Capacité (BTU)]]/1000))*Tableau4[[#This Row],[Nombres appareils installés]]</f>
        <v>3400</v>
      </c>
      <c r="Z153" s="188">
        <f>Tableau4[[#This Row],[AF 3 ($)]]/Tableau4[[#This Row],[Nombres appareils installés]]</f>
        <v>3400</v>
      </c>
      <c r="AA153" s="193">
        <f>Tableau4[[#This Row],[AF 3 par appareil ($)]]/Tableau4[[#This Row],[Surcoût par appareil ($)]]</f>
        <v>0.69566640749682862</v>
      </c>
      <c r="AB153" s="193">
        <f>Tableau4[[#This Row],[Couverture 3 (%)]]*Tableau4[[#This Row],[Nombres appareils installés]]</f>
        <v>0.69566640749682862</v>
      </c>
      <c r="AC153" s="188">
        <f>($AC$4+$AD$4*(Tableau4[[#This Row],[Capacité (BTU)]]/1000))*Tableau4[[#This Row],[Nombres appareils installés]]</f>
        <v>2920</v>
      </c>
      <c r="AD153" s="188">
        <f>Tableau4[[#This Row],[AF 4 ($)]]/Tableau4[[#This Row],[Nombres appareils installés]]</f>
        <v>2920</v>
      </c>
      <c r="AE153" s="194">
        <f>Tableau4[[#This Row],[Couverture 4 (%)]]*Tableau4[[#This Row],[Nombres appareils installés]]</f>
        <v>0.59745467937962926</v>
      </c>
      <c r="AF153" s="193">
        <f>Tableau4[[#This Row],[AF 4 par appareil  ($)]]/Tableau4[[#This Row],[Surcoût par appareil ($)]]</f>
        <v>0.59745467937962926</v>
      </c>
    </row>
    <row r="154" spans="2:32" x14ac:dyDescent="0.3">
      <c r="B154" s="195" t="s">
        <v>212</v>
      </c>
      <c r="C154" s="188" t="s">
        <v>122</v>
      </c>
      <c r="D154" s="188">
        <v>3</v>
      </c>
      <c r="E154" s="188">
        <v>180000</v>
      </c>
      <c r="F154" s="196">
        <f>Tableau4[[#This Row],[Economies totales (m3)]]/Tableau4[[#This Row],[Nombres appareils installés]]</f>
        <v>909</v>
      </c>
      <c r="G154" s="190">
        <v>2727</v>
      </c>
      <c r="H154" s="188">
        <f t="shared" si="4"/>
        <v>2487.4</v>
      </c>
      <c r="I154" s="188">
        <v>2400</v>
      </c>
      <c r="J154" s="188">
        <f>Tableau4[[#This Row],[Surcoût moyens de l''équipement ($)]]+Tableau4[[#This Row],[Surcoût moyen de l''installation ($)]]</f>
        <v>4887.3999999999996</v>
      </c>
      <c r="K154" s="188">
        <f>Tableau4[[#This Row],[Surcoût par appareil ($)]]*Tableau4[[#This Row],[Nombres appareils installés]]</f>
        <v>14662.199999999999</v>
      </c>
      <c r="L154" s="190">
        <v>5100</v>
      </c>
      <c r="M154" s="188">
        <f t="shared" si="5"/>
        <v>5400</v>
      </c>
      <c r="N154" s="188">
        <f>Tableau4[[#This Row],[AF 0 ($)]]/Tableau4[[#This Row],[Nombres appareils installés]]</f>
        <v>1800</v>
      </c>
      <c r="O154" s="191">
        <f>(Tableau4[[#This Row],[AF accordée ($)]])/($J$6*D154)</f>
        <v>0.42463905680171854</v>
      </c>
      <c r="P154" s="191">
        <f>Tableau4[[#This Row],[Couverture 0 (%)]]*Tableau4[[#This Row],[Nombres appareils installés]]</f>
        <v>1.2739171704051557</v>
      </c>
      <c r="Q154" s="188">
        <f>($Q$4+$R$4*(Tableau4[[#This Row],[Capacité (BTU)]]/1000))*Tableau4[[#This Row],[Nombres appareils installés]]</f>
        <v>8700</v>
      </c>
      <c r="R154" s="188">
        <f>Tableau4[[#This Row],[AF 1 ($)]]/Tableau4[[#This Row],[Nombres appareils installés]]</f>
        <v>2900</v>
      </c>
      <c r="S154" s="191">
        <f>Tableau4[[#This Row],[AF 1 ($)]]/(J154*D154)</f>
        <v>0.59336252404141265</v>
      </c>
      <c r="T154" s="191">
        <f>Tableau4[[#This Row],[Couverture 1 (%)]]*Tableau4[[#This Row],[Nombres appareils installés]]</f>
        <v>1.780087572124238</v>
      </c>
      <c r="U154" s="188">
        <f>($U$4+($V$4*(Tableau4[[#This Row],[Capacité (BTU)]]/1000)))*Tableau4[[#This Row],[Nombres appareils installés]]</f>
        <v>10050</v>
      </c>
      <c r="V154" s="188">
        <f>Tableau4[[#This Row],[AF 2 ($)]]/Tableau4[[#This Row],[Nombres appareils installés]]</f>
        <v>3350</v>
      </c>
      <c r="W154" s="192">
        <f>Tableau4[[#This Row],[AF 2 par appareil ($)]]/Tableau4[[#This Row],[Surcoût par appareil ($)]]</f>
        <v>0.68543601915128705</v>
      </c>
      <c r="X154" s="192">
        <f>Tableau4[[#This Row],[Couverture 2 (%)]]*Tableau4[[#This Row],[Nombres appareils installés]]</f>
        <v>2.0563080574538612</v>
      </c>
      <c r="Y154" s="188">
        <f>($Y$4+$Z$4*(Tableau4[[#This Row],[Capacité (BTU)]]/1000))*Tableau4[[#This Row],[Nombres appareils installés]]</f>
        <v>10200</v>
      </c>
      <c r="Z154" s="188">
        <f>Tableau4[[#This Row],[AF 3 ($)]]/Tableau4[[#This Row],[Nombres appareils installés]]</f>
        <v>3400</v>
      </c>
      <c r="AA154" s="193">
        <f>Tableau4[[#This Row],[AF 3 par appareil ($)]]/Tableau4[[#This Row],[Surcoût par appareil ($)]]</f>
        <v>0.69566640749682862</v>
      </c>
      <c r="AB154" s="193">
        <f>Tableau4[[#This Row],[Couverture 3 (%)]]*Tableau4[[#This Row],[Nombres appareils installés]]</f>
        <v>2.0869992224904861</v>
      </c>
      <c r="AC154" s="188">
        <f>($AC$4+$AD$4*(Tableau4[[#This Row],[Capacité (BTU)]]/1000))*Tableau4[[#This Row],[Nombres appareils installés]]</f>
        <v>8760</v>
      </c>
      <c r="AD154" s="188">
        <f>Tableau4[[#This Row],[AF 4 ($)]]/Tableau4[[#This Row],[Nombres appareils installés]]</f>
        <v>2920</v>
      </c>
      <c r="AE154" s="194">
        <f>Tableau4[[#This Row],[Couverture 4 (%)]]*Tableau4[[#This Row],[Nombres appareils installés]]</f>
        <v>1.7923640381388877</v>
      </c>
      <c r="AF154" s="193">
        <f>Tableau4[[#This Row],[AF 4 par appareil  ($)]]/Tableau4[[#This Row],[Surcoût par appareil ($)]]</f>
        <v>0.59745467937962926</v>
      </c>
    </row>
    <row r="155" spans="2:32" x14ac:dyDescent="0.3">
      <c r="B155" s="195" t="s">
        <v>212</v>
      </c>
      <c r="C155" s="188" t="s">
        <v>218</v>
      </c>
      <c r="D155" s="188">
        <v>1</v>
      </c>
      <c r="E155" s="188">
        <v>200000</v>
      </c>
      <c r="F155" s="196">
        <f>Tableau4[[#This Row],[Economies totales (m3)]]/Tableau4[[#This Row],[Nombres appareils installés]]</f>
        <v>1010</v>
      </c>
      <c r="G155" s="190">
        <v>1010</v>
      </c>
      <c r="H155" s="188">
        <f t="shared" si="4"/>
        <v>2713.4</v>
      </c>
      <c r="I155" s="188">
        <v>2400</v>
      </c>
      <c r="J155" s="188">
        <f>Tableau4[[#This Row],[Surcoût moyens de l''équipement ($)]]+Tableau4[[#This Row],[Surcoût moyen de l''installation ($)]]</f>
        <v>5113.3999999999996</v>
      </c>
      <c r="K155" s="188">
        <f>Tableau4[[#This Row],[Surcoût par appareil ($)]]*Tableau4[[#This Row],[Nombres appareils installés]]</f>
        <v>5113.3999999999996</v>
      </c>
      <c r="L155" s="190">
        <v>1900</v>
      </c>
      <c r="M155" s="188">
        <f t="shared" si="5"/>
        <v>1900</v>
      </c>
      <c r="N155" s="188">
        <f>Tableau4[[#This Row],[AF 0 ($)]]/Tableau4[[#This Row],[Nombres appareils installés]]</f>
        <v>1900</v>
      </c>
      <c r="O155" s="191">
        <f>(Tableau4[[#This Row],[AF accordée ($)]])/($J$6*D155)</f>
        <v>0.47459659289603834</v>
      </c>
      <c r="P155" s="191">
        <f>Tableau4[[#This Row],[Couverture 0 (%)]]*Tableau4[[#This Row],[Nombres appareils installés]]</f>
        <v>0.47459659289603834</v>
      </c>
      <c r="Q155" s="188">
        <f>($Q$4+$R$4*(Tableau4[[#This Row],[Capacité (BTU)]]/1000))*Tableau4[[#This Row],[Nombres appareils installés]]</f>
        <v>3000</v>
      </c>
      <c r="R155" s="188">
        <f>Tableau4[[#This Row],[AF 1 ($)]]/Tableau4[[#This Row],[Nombres appareils installés]]</f>
        <v>3000</v>
      </c>
      <c r="S155" s="191">
        <f>Tableau4[[#This Row],[AF 1 ($)]]/(J155*D155)</f>
        <v>0.58669378495717139</v>
      </c>
      <c r="T155" s="191">
        <f>Tableau4[[#This Row],[Couverture 1 (%)]]*Tableau4[[#This Row],[Nombres appareils installés]]</f>
        <v>0.58669378495717139</v>
      </c>
      <c r="U155" s="188">
        <f>($U$4+($V$4*(Tableau4[[#This Row],[Capacité (BTU)]]/1000)))*Tableau4[[#This Row],[Nombres appareils installés]]</f>
        <v>3500</v>
      </c>
      <c r="V155" s="188">
        <f>Tableau4[[#This Row],[AF 2 ($)]]/Tableau4[[#This Row],[Nombres appareils installés]]</f>
        <v>3500</v>
      </c>
      <c r="W155" s="192">
        <f>Tableau4[[#This Row],[AF 2 par appareil ($)]]/Tableau4[[#This Row],[Surcoût par appareil ($)]]</f>
        <v>0.68447608245003333</v>
      </c>
      <c r="X155" s="192">
        <f>Tableau4[[#This Row],[Couverture 2 (%)]]*Tableau4[[#This Row],[Nombres appareils installés]]</f>
        <v>0.68447608245003333</v>
      </c>
      <c r="Y155" s="188">
        <f>($Y$4+$Z$4*(Tableau4[[#This Row],[Capacité (BTU)]]/1000))*Tableau4[[#This Row],[Nombres appareils installés]]</f>
        <v>3500</v>
      </c>
      <c r="Z155" s="188">
        <f>Tableau4[[#This Row],[AF 3 ($)]]/Tableau4[[#This Row],[Nombres appareils installés]]</f>
        <v>3500</v>
      </c>
      <c r="AA155" s="193">
        <f>Tableau4[[#This Row],[AF 3 par appareil ($)]]/Tableau4[[#This Row],[Surcoût par appareil ($)]]</f>
        <v>0.68447608245003333</v>
      </c>
      <c r="AB155" s="193">
        <f>Tableau4[[#This Row],[Couverture 3 (%)]]*Tableau4[[#This Row],[Nombres appareils installés]]</f>
        <v>0.68447608245003333</v>
      </c>
      <c r="AC155" s="188">
        <f>($AC$4+$AD$4*(Tableau4[[#This Row],[Capacité (BTU)]]/1000))*Tableau4[[#This Row],[Nombres appareils installés]]</f>
        <v>3000</v>
      </c>
      <c r="AD155" s="188">
        <f>Tableau4[[#This Row],[AF 4 ($)]]/Tableau4[[#This Row],[Nombres appareils installés]]</f>
        <v>3000</v>
      </c>
      <c r="AE155" s="194">
        <f>Tableau4[[#This Row],[Couverture 4 (%)]]*Tableau4[[#This Row],[Nombres appareils installés]]</f>
        <v>0.58669378495717139</v>
      </c>
      <c r="AF155" s="193">
        <f>Tableau4[[#This Row],[AF 4 par appareil  ($)]]/Tableau4[[#This Row],[Surcoût par appareil ($)]]</f>
        <v>0.58669378495717139</v>
      </c>
    </row>
    <row r="156" spans="2:32" x14ac:dyDescent="0.3">
      <c r="B156" s="195" t="s">
        <v>212</v>
      </c>
      <c r="C156" s="188" t="s">
        <v>219</v>
      </c>
      <c r="D156" s="188">
        <v>1</v>
      </c>
      <c r="E156" s="188">
        <v>215000</v>
      </c>
      <c r="F156" s="196">
        <f>Tableau4[[#This Row],[Economies totales (m3)]]/Tableau4[[#This Row],[Nombres appareils installés]]</f>
        <v>1085.75</v>
      </c>
      <c r="G156" s="190">
        <v>1085.75</v>
      </c>
      <c r="H156" s="188">
        <f t="shared" si="4"/>
        <v>2898.6499999999996</v>
      </c>
      <c r="I156" s="188">
        <v>2400</v>
      </c>
      <c r="J156" s="188">
        <f>Tableau4[[#This Row],[Surcoût moyens de l''équipement ($)]]+Tableau4[[#This Row],[Surcoût moyen de l''installation ($)]]</f>
        <v>5298.65</v>
      </c>
      <c r="K156" s="188">
        <f>Tableau4[[#This Row],[Surcoût par appareil ($)]]*Tableau4[[#This Row],[Nombres appareils installés]]</f>
        <v>5298.65</v>
      </c>
      <c r="L156" s="190">
        <v>1975</v>
      </c>
      <c r="M156" s="188">
        <f t="shared" si="5"/>
        <v>1975</v>
      </c>
      <c r="N156" s="188">
        <f>Tableau4[[#This Row],[AF 0 ($)]]/Tableau4[[#This Row],[Nombres appareils installés]]</f>
        <v>1975</v>
      </c>
      <c r="O156" s="191">
        <f>(Tableau4[[#This Row],[AF accordée ($)]])/($J$6*D156)</f>
        <v>0.49333066893140831</v>
      </c>
      <c r="P156" s="191">
        <f>Tableau4[[#This Row],[Couverture 0 (%)]]*Tableau4[[#This Row],[Nombres appareils installés]]</f>
        <v>0.49333066893140831</v>
      </c>
      <c r="Q156" s="188">
        <f>($Q$4+$R$4*(Tableau4[[#This Row],[Capacité (BTU)]]/1000))*Tableau4[[#This Row],[Nombres appareils installés]]</f>
        <v>3075</v>
      </c>
      <c r="R156" s="188">
        <f>Tableau4[[#This Row],[AF 1 ($)]]/Tableau4[[#This Row],[Nombres appareils installés]]</f>
        <v>3075</v>
      </c>
      <c r="S156" s="191">
        <f>Tableau4[[#This Row],[AF 1 ($)]]/(J156*D156)</f>
        <v>0.58033650080680932</v>
      </c>
      <c r="T156" s="191">
        <f>Tableau4[[#This Row],[Couverture 1 (%)]]*Tableau4[[#This Row],[Nombres appareils installés]]</f>
        <v>0.58033650080680932</v>
      </c>
      <c r="U156" s="188">
        <f>($U$4+($V$4*(Tableau4[[#This Row],[Capacité (BTU)]]/1000)))*Tableau4[[#This Row],[Nombres appareils installés]]</f>
        <v>3612.5</v>
      </c>
      <c r="V156" s="188">
        <f>Tableau4[[#This Row],[AF 2 ($)]]/Tableau4[[#This Row],[Nombres appareils installés]]</f>
        <v>3612.5</v>
      </c>
      <c r="W156" s="192">
        <f>Tableau4[[#This Row],[AF 2 par appareil ($)]]/Tableau4[[#This Row],[Surcoût par appareil ($)]]</f>
        <v>0.68177743387466627</v>
      </c>
      <c r="X156" s="192">
        <f>Tableau4[[#This Row],[Couverture 2 (%)]]*Tableau4[[#This Row],[Nombres appareils installés]]</f>
        <v>0.68177743387466627</v>
      </c>
      <c r="Y156" s="188">
        <f>($Y$4+$Z$4*(Tableau4[[#This Row],[Capacité (BTU)]]/1000))*Tableau4[[#This Row],[Nombres appareils installés]]</f>
        <v>3575</v>
      </c>
      <c r="Z156" s="188">
        <f>Tableau4[[#This Row],[AF 3 ($)]]/Tableau4[[#This Row],[Nombres appareils installés]]</f>
        <v>3575</v>
      </c>
      <c r="AA156" s="193">
        <f>Tableau4[[#This Row],[AF 3 par appareil ($)]]/Tableau4[[#This Row],[Surcoût par appareil ($)]]</f>
        <v>0.67470015947458317</v>
      </c>
      <c r="AB156" s="193">
        <f>Tableau4[[#This Row],[Couverture 3 (%)]]*Tableau4[[#This Row],[Nombres appareils installés]]</f>
        <v>0.67470015947458317</v>
      </c>
      <c r="AC156" s="188">
        <f>($AC$4+$AD$4*(Tableau4[[#This Row],[Capacité (BTU)]]/1000))*Tableau4[[#This Row],[Nombres appareils installés]]</f>
        <v>3060</v>
      </c>
      <c r="AD156" s="188">
        <f>Tableau4[[#This Row],[AF 4 ($)]]/Tableau4[[#This Row],[Nombres appareils installés]]</f>
        <v>3060</v>
      </c>
      <c r="AE156" s="194">
        <f>Tableau4[[#This Row],[Couverture 4 (%)]]*Tableau4[[#This Row],[Nombres appareils installés]]</f>
        <v>0.57750559104677612</v>
      </c>
      <c r="AF156" s="193">
        <f>Tableau4[[#This Row],[AF 4 par appareil  ($)]]/Tableau4[[#This Row],[Surcoût par appareil ($)]]</f>
        <v>0.57750559104677612</v>
      </c>
    </row>
    <row r="157" spans="2:32" x14ac:dyDescent="0.3">
      <c r="B157" s="195" t="s">
        <v>212</v>
      </c>
      <c r="C157" s="188" t="s">
        <v>220</v>
      </c>
      <c r="D157" s="188">
        <v>2</v>
      </c>
      <c r="E157" s="188">
        <v>260000</v>
      </c>
      <c r="F157" s="196">
        <f>Tableau4[[#This Row],[Economies totales (m3)]]/Tableau4[[#This Row],[Nombres appareils installés]]</f>
        <v>1313</v>
      </c>
      <c r="G157" s="190">
        <v>2626</v>
      </c>
      <c r="H157" s="188">
        <f t="shared" si="4"/>
        <v>3535.3999999999996</v>
      </c>
      <c r="I157" s="188">
        <v>2400</v>
      </c>
      <c r="J157" s="188">
        <f>Tableau4[[#This Row],[Surcoût moyens de l''équipement ($)]]+Tableau4[[#This Row],[Surcoût moyen de l''installation ($)]]</f>
        <v>5935.4</v>
      </c>
      <c r="K157" s="188">
        <f>Tableau4[[#This Row],[Surcoût par appareil ($)]]*Tableau4[[#This Row],[Nombres appareils installés]]</f>
        <v>11870.8</v>
      </c>
      <c r="L157" s="190">
        <v>4400</v>
      </c>
      <c r="M157" s="188">
        <f t="shared" si="5"/>
        <v>4400</v>
      </c>
      <c r="N157" s="188">
        <f>Tableau4[[#This Row],[AF 0 ($)]]/Tableau4[[#This Row],[Nombres appareils installés]]</f>
        <v>2200</v>
      </c>
      <c r="O157" s="191">
        <f>(Tableau4[[#This Row],[AF accordée ($)]])/($J$6*D157)</f>
        <v>0.54953289703751806</v>
      </c>
      <c r="P157" s="191">
        <f>Tableau4[[#This Row],[Couverture 0 (%)]]*Tableau4[[#This Row],[Nombres appareils installés]]</f>
        <v>1.0990657940750361</v>
      </c>
      <c r="Q157" s="188">
        <f>($Q$4+$R$4*(Tableau4[[#This Row],[Capacité (BTU)]]/1000))*Tableau4[[#This Row],[Nombres appareils installés]]</f>
        <v>6600</v>
      </c>
      <c r="R157" s="188">
        <f>Tableau4[[#This Row],[AF 1 ($)]]/Tableau4[[#This Row],[Nombres appareils installés]]</f>
        <v>3300</v>
      </c>
      <c r="S157" s="191">
        <f>Tableau4[[#This Row],[AF 1 ($)]]/(J157*D157)</f>
        <v>0.55598611719513436</v>
      </c>
      <c r="T157" s="191">
        <f>Tableau4[[#This Row],[Couverture 1 (%)]]*Tableau4[[#This Row],[Nombres appareils installés]]</f>
        <v>1.1119722343902687</v>
      </c>
      <c r="U157" s="188">
        <f>($U$4+($V$4*(Tableau4[[#This Row],[Capacité (BTU)]]/1000)))*Tableau4[[#This Row],[Nombres appareils installés]]</f>
        <v>7900</v>
      </c>
      <c r="V157" s="188">
        <f>Tableau4[[#This Row],[AF 2 ($)]]/Tableau4[[#This Row],[Nombres appareils installés]]</f>
        <v>3950</v>
      </c>
      <c r="W157" s="192">
        <f>Tableau4[[#This Row],[AF 2 par appareil ($)]]/Tableau4[[#This Row],[Surcoût par appareil ($)]]</f>
        <v>0.66549853421841831</v>
      </c>
      <c r="X157" s="192">
        <f>Tableau4[[#This Row],[Couverture 2 (%)]]*Tableau4[[#This Row],[Nombres appareils installés]]</f>
        <v>1.3309970684368366</v>
      </c>
      <c r="Y157" s="188">
        <f>($Y$4+$Z$4*(Tableau4[[#This Row],[Capacité (BTU)]]/1000))*Tableau4[[#This Row],[Nombres appareils installés]]</f>
        <v>7600</v>
      </c>
      <c r="Z157" s="188">
        <f>Tableau4[[#This Row],[AF 3 ($)]]/Tableau4[[#This Row],[Nombres appareils installés]]</f>
        <v>3800</v>
      </c>
      <c r="AA157" s="193">
        <f>Tableau4[[#This Row],[AF 3 par appareil ($)]]/Tableau4[[#This Row],[Surcoût par appareil ($)]]</f>
        <v>0.64022643798227585</v>
      </c>
      <c r="AB157" s="193">
        <f>Tableau4[[#This Row],[Couverture 3 (%)]]*Tableau4[[#This Row],[Nombres appareils installés]]</f>
        <v>1.2804528759645517</v>
      </c>
      <c r="AC157" s="188">
        <f>($AC$4+$AD$4*(Tableau4[[#This Row],[Capacité (BTU)]]/1000))*Tableau4[[#This Row],[Nombres appareils installés]]</f>
        <v>6480</v>
      </c>
      <c r="AD157" s="188">
        <f>Tableau4[[#This Row],[AF 4 ($)]]/Tableau4[[#This Row],[Nombres appareils installés]]</f>
        <v>3240</v>
      </c>
      <c r="AE157" s="194">
        <f>Tableau4[[#This Row],[Couverture 4 (%)]]*Tableau4[[#This Row],[Nombres appareils installés]]</f>
        <v>1.0917545574013547</v>
      </c>
      <c r="AF157" s="193">
        <f>Tableau4[[#This Row],[AF 4 par appareil  ($)]]/Tableau4[[#This Row],[Surcoût par appareil ($)]]</f>
        <v>0.54587727870067737</v>
      </c>
    </row>
    <row r="158" spans="2:32" x14ac:dyDescent="0.3">
      <c r="B158" s="195" t="s">
        <v>212</v>
      </c>
      <c r="C158" s="188" t="s">
        <v>221</v>
      </c>
      <c r="D158" s="188">
        <v>6</v>
      </c>
      <c r="E158" s="188">
        <v>260000</v>
      </c>
      <c r="F158" s="196">
        <f>Tableau4[[#This Row],[Economies totales (m3)]]/Tableau4[[#This Row],[Nombres appareils installés]]</f>
        <v>1313</v>
      </c>
      <c r="G158" s="190">
        <v>7878</v>
      </c>
      <c r="H158" s="188">
        <f t="shared" si="4"/>
        <v>3535.3999999999996</v>
      </c>
      <c r="I158" s="188">
        <v>2400</v>
      </c>
      <c r="J158" s="188">
        <f>Tableau4[[#This Row],[Surcoût moyens de l''équipement ($)]]+Tableau4[[#This Row],[Surcoût moyen de l''installation ($)]]</f>
        <v>5935.4</v>
      </c>
      <c r="K158" s="188">
        <f>Tableau4[[#This Row],[Surcoût par appareil ($)]]*Tableau4[[#This Row],[Nombres appareils installés]]</f>
        <v>35612.399999999994</v>
      </c>
      <c r="L158" s="190">
        <v>13200</v>
      </c>
      <c r="M158" s="188">
        <f t="shared" si="5"/>
        <v>13200</v>
      </c>
      <c r="N158" s="188">
        <f>Tableau4[[#This Row],[AF 0 ($)]]/Tableau4[[#This Row],[Nombres appareils installés]]</f>
        <v>2200</v>
      </c>
      <c r="O158" s="191">
        <f>(Tableau4[[#This Row],[AF accordée ($)]])/($J$6*D158)</f>
        <v>0.54953289703751806</v>
      </c>
      <c r="P158" s="191">
        <f>Tableau4[[#This Row],[Couverture 0 (%)]]*Tableau4[[#This Row],[Nombres appareils installés]]</f>
        <v>3.2971973822251082</v>
      </c>
      <c r="Q158" s="188">
        <f>($Q$4+$R$4*(Tableau4[[#This Row],[Capacité (BTU)]]/1000))*Tableau4[[#This Row],[Nombres appareils installés]]</f>
        <v>19800</v>
      </c>
      <c r="R158" s="188">
        <f>Tableau4[[#This Row],[AF 1 ($)]]/Tableau4[[#This Row],[Nombres appareils installés]]</f>
        <v>3300</v>
      </c>
      <c r="S158" s="191">
        <f>Tableau4[[#This Row],[AF 1 ($)]]/(J158*D158)</f>
        <v>0.55598611719513436</v>
      </c>
      <c r="T158" s="191">
        <f>Tableau4[[#This Row],[Couverture 1 (%)]]*Tableau4[[#This Row],[Nombres appareils installés]]</f>
        <v>3.3359167031708061</v>
      </c>
      <c r="U158" s="188">
        <f>($U$4+($V$4*(Tableau4[[#This Row],[Capacité (BTU)]]/1000)))*Tableau4[[#This Row],[Nombres appareils installés]]</f>
        <v>23700</v>
      </c>
      <c r="V158" s="188">
        <f>Tableau4[[#This Row],[AF 2 ($)]]/Tableau4[[#This Row],[Nombres appareils installés]]</f>
        <v>3950</v>
      </c>
      <c r="W158" s="192">
        <f>Tableau4[[#This Row],[AF 2 par appareil ($)]]/Tableau4[[#This Row],[Surcoût par appareil ($)]]</f>
        <v>0.66549853421841831</v>
      </c>
      <c r="X158" s="192">
        <f>Tableau4[[#This Row],[Couverture 2 (%)]]*Tableau4[[#This Row],[Nombres appareils installés]]</f>
        <v>3.9929912053105099</v>
      </c>
      <c r="Y158" s="188">
        <f>($Y$4+$Z$4*(Tableau4[[#This Row],[Capacité (BTU)]]/1000))*Tableau4[[#This Row],[Nombres appareils installés]]</f>
        <v>22800</v>
      </c>
      <c r="Z158" s="188">
        <f>Tableau4[[#This Row],[AF 3 ($)]]/Tableau4[[#This Row],[Nombres appareils installés]]</f>
        <v>3800</v>
      </c>
      <c r="AA158" s="193">
        <f>Tableau4[[#This Row],[AF 3 par appareil ($)]]/Tableau4[[#This Row],[Surcoût par appareil ($)]]</f>
        <v>0.64022643798227585</v>
      </c>
      <c r="AB158" s="193">
        <f>Tableau4[[#This Row],[Couverture 3 (%)]]*Tableau4[[#This Row],[Nombres appareils installés]]</f>
        <v>3.8413586278936549</v>
      </c>
      <c r="AC158" s="188">
        <f>($AC$4+$AD$4*(Tableau4[[#This Row],[Capacité (BTU)]]/1000))*Tableau4[[#This Row],[Nombres appareils installés]]</f>
        <v>19440</v>
      </c>
      <c r="AD158" s="188">
        <f>Tableau4[[#This Row],[AF 4 ($)]]/Tableau4[[#This Row],[Nombres appareils installés]]</f>
        <v>3240</v>
      </c>
      <c r="AE158" s="194">
        <f>Tableau4[[#This Row],[Couverture 4 (%)]]*Tableau4[[#This Row],[Nombres appareils installés]]</f>
        <v>3.2752636722040642</v>
      </c>
      <c r="AF158" s="193">
        <f>Tableau4[[#This Row],[AF 4 par appareil  ($)]]/Tableau4[[#This Row],[Surcoût par appareil ($)]]</f>
        <v>0.54587727870067737</v>
      </c>
    </row>
    <row r="159" spans="2:32" x14ac:dyDescent="0.3">
      <c r="B159" s="195" t="s">
        <v>212</v>
      </c>
      <c r="C159" s="188" t="s">
        <v>222</v>
      </c>
      <c r="D159" s="188">
        <v>6</v>
      </c>
      <c r="E159" s="188">
        <v>260000</v>
      </c>
      <c r="F159" s="196">
        <f>Tableau4[[#This Row],[Economies totales (m3)]]/Tableau4[[#This Row],[Nombres appareils installés]]</f>
        <v>1313</v>
      </c>
      <c r="G159" s="190">
        <v>7878</v>
      </c>
      <c r="H159" s="188">
        <f t="shared" si="4"/>
        <v>3535.3999999999996</v>
      </c>
      <c r="I159" s="188">
        <v>2400</v>
      </c>
      <c r="J159" s="188">
        <f>Tableau4[[#This Row],[Surcoût moyens de l''équipement ($)]]+Tableau4[[#This Row],[Surcoût moyen de l''installation ($)]]</f>
        <v>5935.4</v>
      </c>
      <c r="K159" s="188">
        <f>Tableau4[[#This Row],[Surcoût par appareil ($)]]*Tableau4[[#This Row],[Nombres appareils installés]]</f>
        <v>35612.399999999994</v>
      </c>
      <c r="L159" s="190">
        <v>10200</v>
      </c>
      <c r="M159" s="188">
        <f t="shared" si="5"/>
        <v>13200</v>
      </c>
      <c r="N159" s="188">
        <f>Tableau4[[#This Row],[AF 0 ($)]]/Tableau4[[#This Row],[Nombres appareils installés]]</f>
        <v>2200</v>
      </c>
      <c r="O159" s="191">
        <f>(Tableau4[[#This Row],[AF accordée ($)]])/($J$6*D159)</f>
        <v>0.42463905680171854</v>
      </c>
      <c r="P159" s="191">
        <f>Tableau4[[#This Row],[Couverture 0 (%)]]*Tableau4[[#This Row],[Nombres appareils installés]]</f>
        <v>2.5478343408103115</v>
      </c>
      <c r="Q159" s="188">
        <f>($Q$4+$R$4*(Tableau4[[#This Row],[Capacité (BTU)]]/1000))*Tableau4[[#This Row],[Nombres appareils installés]]</f>
        <v>19800</v>
      </c>
      <c r="R159" s="188">
        <f>Tableau4[[#This Row],[AF 1 ($)]]/Tableau4[[#This Row],[Nombres appareils installés]]</f>
        <v>3300</v>
      </c>
      <c r="S159" s="191">
        <f>Tableau4[[#This Row],[AF 1 ($)]]/(J159*D159)</f>
        <v>0.55598611719513436</v>
      </c>
      <c r="T159" s="191">
        <f>Tableau4[[#This Row],[Couverture 1 (%)]]*Tableau4[[#This Row],[Nombres appareils installés]]</f>
        <v>3.3359167031708061</v>
      </c>
      <c r="U159" s="188">
        <f>($U$4+($V$4*(Tableau4[[#This Row],[Capacité (BTU)]]/1000)))*Tableau4[[#This Row],[Nombres appareils installés]]</f>
        <v>23700</v>
      </c>
      <c r="V159" s="188">
        <f>Tableau4[[#This Row],[AF 2 ($)]]/Tableau4[[#This Row],[Nombres appareils installés]]</f>
        <v>3950</v>
      </c>
      <c r="W159" s="192">
        <f>Tableau4[[#This Row],[AF 2 par appareil ($)]]/Tableau4[[#This Row],[Surcoût par appareil ($)]]</f>
        <v>0.66549853421841831</v>
      </c>
      <c r="X159" s="192">
        <f>Tableau4[[#This Row],[Couverture 2 (%)]]*Tableau4[[#This Row],[Nombres appareils installés]]</f>
        <v>3.9929912053105099</v>
      </c>
      <c r="Y159" s="188">
        <f>($Y$4+$Z$4*(Tableau4[[#This Row],[Capacité (BTU)]]/1000))*Tableau4[[#This Row],[Nombres appareils installés]]</f>
        <v>22800</v>
      </c>
      <c r="Z159" s="188">
        <f>Tableau4[[#This Row],[AF 3 ($)]]/Tableau4[[#This Row],[Nombres appareils installés]]</f>
        <v>3800</v>
      </c>
      <c r="AA159" s="193">
        <f>Tableau4[[#This Row],[AF 3 par appareil ($)]]/Tableau4[[#This Row],[Surcoût par appareil ($)]]</f>
        <v>0.64022643798227585</v>
      </c>
      <c r="AB159" s="193">
        <f>Tableau4[[#This Row],[Couverture 3 (%)]]*Tableau4[[#This Row],[Nombres appareils installés]]</f>
        <v>3.8413586278936549</v>
      </c>
      <c r="AC159" s="188">
        <f>($AC$4+$AD$4*(Tableau4[[#This Row],[Capacité (BTU)]]/1000))*Tableau4[[#This Row],[Nombres appareils installés]]</f>
        <v>19440</v>
      </c>
      <c r="AD159" s="188">
        <f>Tableau4[[#This Row],[AF 4 ($)]]/Tableau4[[#This Row],[Nombres appareils installés]]</f>
        <v>3240</v>
      </c>
      <c r="AE159" s="194">
        <f>Tableau4[[#This Row],[Couverture 4 (%)]]*Tableau4[[#This Row],[Nombres appareils installés]]</f>
        <v>3.2752636722040642</v>
      </c>
      <c r="AF159" s="193">
        <f>Tableau4[[#This Row],[AF 4 par appareil  ($)]]/Tableau4[[#This Row],[Surcoût par appareil ($)]]</f>
        <v>0.54587727870067737</v>
      </c>
    </row>
    <row r="160" spans="2:32" x14ac:dyDescent="0.3">
      <c r="B160" s="195" t="s">
        <v>212</v>
      </c>
      <c r="C160" s="188" t="s">
        <v>223</v>
      </c>
      <c r="D160" s="188">
        <v>4</v>
      </c>
      <c r="E160" s="188">
        <v>300000</v>
      </c>
      <c r="F160" s="196">
        <f>Tableau4[[#This Row],[Economies totales (m3)]]/Tableau4[[#This Row],[Nombres appareils installés]]</f>
        <v>1515</v>
      </c>
      <c r="G160" s="190">
        <v>6060</v>
      </c>
      <c r="H160" s="188">
        <f t="shared" si="4"/>
        <v>4203.3999999999996</v>
      </c>
      <c r="I160" s="188">
        <v>2400</v>
      </c>
      <c r="J160" s="188">
        <f>Tableau4[[#This Row],[Surcoût moyens de l''équipement ($)]]+Tableau4[[#This Row],[Surcoût moyen de l''installation ($)]]</f>
        <v>6603.4</v>
      </c>
      <c r="K160" s="188">
        <f>Tableau4[[#This Row],[Surcoût par appareil ($)]]*Tableau4[[#This Row],[Nombres appareils installés]]</f>
        <v>26413.599999999999</v>
      </c>
      <c r="L160" s="190">
        <v>9600</v>
      </c>
      <c r="M160" s="188">
        <f t="shared" si="5"/>
        <v>9600</v>
      </c>
      <c r="N160" s="188">
        <f>Tableau4[[#This Row],[AF 0 ($)]]/Tableau4[[#This Row],[Nombres appareils installés]]</f>
        <v>2400</v>
      </c>
      <c r="O160" s="191">
        <f>(Tableau4[[#This Row],[AF accordée ($)]])/($J$6*D160)</f>
        <v>0.59949043313183792</v>
      </c>
      <c r="P160" s="191">
        <f>Tableau4[[#This Row],[Couverture 0 (%)]]*Tableau4[[#This Row],[Nombres appareils installés]]</f>
        <v>2.3979617325273517</v>
      </c>
      <c r="Q160" s="188">
        <f>($Q$4+$R$4*(Tableau4[[#This Row],[Capacité (BTU)]]/1000))*Tableau4[[#This Row],[Nombres appareils installés]]</f>
        <v>14000</v>
      </c>
      <c r="R160" s="188">
        <f>Tableau4[[#This Row],[AF 1 ($)]]/Tableau4[[#This Row],[Nombres appareils installés]]</f>
        <v>3500</v>
      </c>
      <c r="S160" s="191">
        <f>Tableau4[[#This Row],[AF 1 ($)]]/(J160*D160)</f>
        <v>0.53002998455341188</v>
      </c>
      <c r="T160" s="191">
        <f>Tableau4[[#This Row],[Couverture 1 (%)]]*Tableau4[[#This Row],[Nombres appareils installés]]</f>
        <v>2.1201199382136475</v>
      </c>
      <c r="U160" s="188">
        <f>($U$4+($V$4*(Tableau4[[#This Row],[Capacité (BTU)]]/1000)))*Tableau4[[#This Row],[Nombres appareils installés]]</f>
        <v>17000</v>
      </c>
      <c r="V160" s="188">
        <f>Tableau4[[#This Row],[AF 2 ($)]]/Tableau4[[#This Row],[Nombres appareils installés]]</f>
        <v>4250</v>
      </c>
      <c r="W160" s="192">
        <f>Tableau4[[#This Row],[AF 2 par appareil ($)]]/Tableau4[[#This Row],[Surcoût par appareil ($)]]</f>
        <v>0.64360783838628588</v>
      </c>
      <c r="X160" s="192">
        <f>Tableau4[[#This Row],[Couverture 2 (%)]]*Tableau4[[#This Row],[Nombres appareils installés]]</f>
        <v>2.5744313535451435</v>
      </c>
      <c r="Y160" s="188">
        <f>($Y$4+$Z$4*(Tableau4[[#This Row],[Capacité (BTU)]]/1000))*Tableau4[[#This Row],[Nombres appareils installés]]</f>
        <v>16000</v>
      </c>
      <c r="Z160" s="188">
        <f>Tableau4[[#This Row],[AF 3 ($)]]/Tableau4[[#This Row],[Nombres appareils installés]]</f>
        <v>4000</v>
      </c>
      <c r="AA160" s="193">
        <f>Tableau4[[#This Row],[AF 3 par appareil ($)]]/Tableau4[[#This Row],[Surcoût par appareil ($)]]</f>
        <v>0.60574855377532788</v>
      </c>
      <c r="AB160" s="193">
        <f>Tableau4[[#This Row],[Couverture 3 (%)]]*Tableau4[[#This Row],[Nombres appareils installés]]</f>
        <v>2.4229942151013115</v>
      </c>
      <c r="AC160" s="188">
        <f>($AC$4+$AD$4*(Tableau4[[#This Row],[Capacité (BTU)]]/1000))*Tableau4[[#This Row],[Nombres appareils installés]]</f>
        <v>13600</v>
      </c>
      <c r="AD160" s="188">
        <f>Tableau4[[#This Row],[AF 4 ($)]]/Tableau4[[#This Row],[Nombres appareils installés]]</f>
        <v>3400</v>
      </c>
      <c r="AE160" s="194">
        <f>Tableau4[[#This Row],[Couverture 4 (%)]]*Tableau4[[#This Row],[Nombres appareils installés]]</f>
        <v>2.0595450828361148</v>
      </c>
      <c r="AF160" s="193">
        <f>Tableau4[[#This Row],[AF 4 par appareil  ($)]]/Tableau4[[#This Row],[Surcoût par appareil ($)]]</f>
        <v>0.5148862707090287</v>
      </c>
    </row>
    <row r="161" spans="2:32" x14ac:dyDescent="0.3">
      <c r="B161" s="195" t="s">
        <v>212</v>
      </c>
      <c r="C161" s="188" t="s">
        <v>216</v>
      </c>
      <c r="D161" s="188">
        <v>1</v>
      </c>
      <c r="E161" s="188">
        <v>305000</v>
      </c>
      <c r="F161" s="196">
        <f>Tableau4[[#This Row],[Economies totales (m3)]]/Tableau4[[#This Row],[Nombres appareils installés]]</f>
        <v>1540.25</v>
      </c>
      <c r="G161" s="190">
        <v>1540.25</v>
      </c>
      <c r="H161" s="188">
        <f t="shared" si="4"/>
        <v>4293.6499999999996</v>
      </c>
      <c r="I161" s="188">
        <v>2400</v>
      </c>
      <c r="J161" s="188">
        <f>Tableau4[[#This Row],[Surcoût moyens de l''équipement ($)]]+Tableau4[[#This Row],[Surcoût moyen de l''installation ($)]]</f>
        <v>6693.65</v>
      </c>
      <c r="K161" s="188">
        <f>Tableau4[[#This Row],[Surcoût par appareil ($)]]*Tableau4[[#This Row],[Nombres appareils installés]]</f>
        <v>6693.65</v>
      </c>
      <c r="L161" s="190">
        <v>2425</v>
      </c>
      <c r="M161" s="188">
        <f t="shared" si="5"/>
        <v>2425</v>
      </c>
      <c r="N161" s="188">
        <f>Tableau4[[#This Row],[AF 0 ($)]]/Tableau4[[#This Row],[Nombres appareils installés]]</f>
        <v>2425</v>
      </c>
      <c r="O161" s="191">
        <f>(Tableau4[[#This Row],[AF accordée ($)]])/($J$6*D161)</f>
        <v>0.60573512514362793</v>
      </c>
      <c r="P161" s="191">
        <f>Tableau4[[#This Row],[Couverture 0 (%)]]*Tableau4[[#This Row],[Nombres appareils installés]]</f>
        <v>0.60573512514362793</v>
      </c>
      <c r="Q161" s="188">
        <f>($Q$4+$R$4*(Tableau4[[#This Row],[Capacité (BTU)]]/1000))*Tableau4[[#This Row],[Nombres appareils installés]]</f>
        <v>3525</v>
      </c>
      <c r="R161" s="188">
        <f>Tableau4[[#This Row],[AF 1 ($)]]/Tableau4[[#This Row],[Nombres appareils installés]]</f>
        <v>3525</v>
      </c>
      <c r="S161" s="191">
        <f>Tableau4[[#This Row],[AF 1 ($)]]/(J161*D161)</f>
        <v>0.52661851157440265</v>
      </c>
      <c r="T161" s="191">
        <f>Tableau4[[#This Row],[Couverture 1 (%)]]*Tableau4[[#This Row],[Nombres appareils installés]]</f>
        <v>0.52661851157440265</v>
      </c>
      <c r="U161" s="188">
        <f>($U$4+($V$4*(Tableau4[[#This Row],[Capacité (BTU)]]/1000)))*Tableau4[[#This Row],[Nombres appareils installés]]</f>
        <v>4287.5</v>
      </c>
      <c r="V161" s="188">
        <f>Tableau4[[#This Row],[AF 2 ($)]]/Tableau4[[#This Row],[Nombres appareils installés]]</f>
        <v>4287.5</v>
      </c>
      <c r="W161" s="192">
        <f>Tableau4[[#This Row],[AF 2 par appareil ($)]]/Tableau4[[#This Row],[Surcoût par appareil ($)]]</f>
        <v>0.64053244492914929</v>
      </c>
      <c r="X161" s="192">
        <f>Tableau4[[#This Row],[Couverture 2 (%)]]*Tableau4[[#This Row],[Nombres appareils installés]]</f>
        <v>0.64053244492914929</v>
      </c>
      <c r="Y161" s="188">
        <f>($Y$4+$Z$4*(Tableau4[[#This Row],[Capacité (BTU)]]/1000))*Tableau4[[#This Row],[Nombres appareils installés]]</f>
        <v>4025</v>
      </c>
      <c r="Z161" s="188">
        <f>Tableau4[[#This Row],[AF 3 ($)]]/Tableau4[[#This Row],[Nombres appareils installés]]</f>
        <v>4025</v>
      </c>
      <c r="AA161" s="193">
        <f>Tableau4[[#This Row],[AF 3 par appareil ($)]]/Tableau4[[#This Row],[Surcoût par appareil ($)]]</f>
        <v>0.60131617279062999</v>
      </c>
      <c r="AB161" s="193">
        <f>Tableau4[[#This Row],[Couverture 3 (%)]]*Tableau4[[#This Row],[Nombres appareils installés]]</f>
        <v>0.60131617279062999</v>
      </c>
      <c r="AC161" s="188">
        <f>($AC$4+$AD$4*(Tableau4[[#This Row],[Capacité (BTU)]]/1000))*Tableau4[[#This Row],[Nombres appareils installés]]</f>
        <v>3420</v>
      </c>
      <c r="AD161" s="188">
        <f>Tableau4[[#This Row],[AF 4 ($)]]/Tableau4[[#This Row],[Nombres appareils installés]]</f>
        <v>3420</v>
      </c>
      <c r="AE161" s="194">
        <f>Tableau4[[#This Row],[Couverture 4 (%)]]*Tableau4[[#This Row],[Nombres appareils installés]]</f>
        <v>0.51093200271899486</v>
      </c>
      <c r="AF161" s="193">
        <f>Tableau4[[#This Row],[AF 4 par appareil  ($)]]/Tableau4[[#This Row],[Surcoût par appareil ($)]]</f>
        <v>0.51093200271899486</v>
      </c>
    </row>
    <row r="162" spans="2:32" x14ac:dyDescent="0.3">
      <c r="B162" s="195" t="s">
        <v>212</v>
      </c>
      <c r="C162" s="188" t="s">
        <v>217</v>
      </c>
      <c r="D162" s="188">
        <v>4</v>
      </c>
      <c r="E162" s="188">
        <v>305000</v>
      </c>
      <c r="F162" s="196">
        <f>Tableau4[[#This Row],[Economies totales (m3)]]/Tableau4[[#This Row],[Nombres appareils installés]]</f>
        <v>1540.25</v>
      </c>
      <c r="G162" s="190">
        <v>6161</v>
      </c>
      <c r="H162" s="188">
        <f t="shared" si="4"/>
        <v>4293.6499999999996</v>
      </c>
      <c r="I162" s="188">
        <v>2400</v>
      </c>
      <c r="J162" s="188">
        <f>Tableau4[[#This Row],[Surcoût moyens de l''équipement ($)]]+Tableau4[[#This Row],[Surcoût moyen de l''installation ($)]]</f>
        <v>6693.65</v>
      </c>
      <c r="K162" s="188">
        <f>Tableau4[[#This Row],[Surcoût par appareil ($)]]*Tableau4[[#This Row],[Nombres appareils installés]]</f>
        <v>26774.6</v>
      </c>
      <c r="L162" s="190">
        <v>9700</v>
      </c>
      <c r="M162" s="188">
        <f t="shared" si="5"/>
        <v>9700</v>
      </c>
      <c r="N162" s="188">
        <f>Tableau4[[#This Row],[AF 0 ($)]]/Tableau4[[#This Row],[Nombres appareils installés]]</f>
        <v>2425</v>
      </c>
      <c r="O162" s="191">
        <f>(Tableau4[[#This Row],[AF accordée ($)]])/($J$6*D162)</f>
        <v>0.60573512514362793</v>
      </c>
      <c r="P162" s="191">
        <f>Tableau4[[#This Row],[Couverture 0 (%)]]*Tableau4[[#This Row],[Nombres appareils installés]]</f>
        <v>2.4229405005745117</v>
      </c>
      <c r="Q162" s="188">
        <f>($Q$4+$R$4*(Tableau4[[#This Row],[Capacité (BTU)]]/1000))*Tableau4[[#This Row],[Nombres appareils installés]]</f>
        <v>14100</v>
      </c>
      <c r="R162" s="188">
        <f>Tableau4[[#This Row],[AF 1 ($)]]/Tableau4[[#This Row],[Nombres appareils installés]]</f>
        <v>3525</v>
      </c>
      <c r="S162" s="191">
        <f>Tableau4[[#This Row],[AF 1 ($)]]/(J162*D162)</f>
        <v>0.52661851157440265</v>
      </c>
      <c r="T162" s="191">
        <f>Tableau4[[#This Row],[Couverture 1 (%)]]*Tableau4[[#This Row],[Nombres appareils installés]]</f>
        <v>2.1064740462976106</v>
      </c>
      <c r="U162" s="188">
        <f>($U$4+($V$4*(Tableau4[[#This Row],[Capacité (BTU)]]/1000)))*Tableau4[[#This Row],[Nombres appareils installés]]</f>
        <v>17150</v>
      </c>
      <c r="V162" s="188">
        <f>Tableau4[[#This Row],[AF 2 ($)]]/Tableau4[[#This Row],[Nombres appareils installés]]</f>
        <v>4287.5</v>
      </c>
      <c r="W162" s="192">
        <f>Tableau4[[#This Row],[AF 2 par appareil ($)]]/Tableau4[[#This Row],[Surcoût par appareil ($)]]</f>
        <v>0.64053244492914929</v>
      </c>
      <c r="X162" s="192">
        <f>Tableau4[[#This Row],[Couverture 2 (%)]]*Tableau4[[#This Row],[Nombres appareils installés]]</f>
        <v>2.5621297797165972</v>
      </c>
      <c r="Y162" s="188">
        <f>($Y$4+$Z$4*(Tableau4[[#This Row],[Capacité (BTU)]]/1000))*Tableau4[[#This Row],[Nombres appareils installés]]</f>
        <v>16100</v>
      </c>
      <c r="Z162" s="188">
        <f>Tableau4[[#This Row],[AF 3 ($)]]/Tableau4[[#This Row],[Nombres appareils installés]]</f>
        <v>4025</v>
      </c>
      <c r="AA162" s="193">
        <f>Tableau4[[#This Row],[AF 3 par appareil ($)]]/Tableau4[[#This Row],[Surcoût par appareil ($)]]</f>
        <v>0.60131617279062999</v>
      </c>
      <c r="AB162" s="193">
        <f>Tableau4[[#This Row],[Couverture 3 (%)]]*Tableau4[[#This Row],[Nombres appareils installés]]</f>
        <v>2.40526469116252</v>
      </c>
      <c r="AC162" s="188">
        <f>($AC$4+$AD$4*(Tableau4[[#This Row],[Capacité (BTU)]]/1000))*Tableau4[[#This Row],[Nombres appareils installés]]</f>
        <v>13680</v>
      </c>
      <c r="AD162" s="188">
        <f>Tableau4[[#This Row],[AF 4 ($)]]/Tableau4[[#This Row],[Nombres appareils installés]]</f>
        <v>3420</v>
      </c>
      <c r="AE162" s="194">
        <f>Tableau4[[#This Row],[Couverture 4 (%)]]*Tableau4[[#This Row],[Nombres appareils installés]]</f>
        <v>2.0437280108759794</v>
      </c>
      <c r="AF162" s="193">
        <f>Tableau4[[#This Row],[AF 4 par appareil  ($)]]/Tableau4[[#This Row],[Surcoût par appareil ($)]]</f>
        <v>0.51093200271899486</v>
      </c>
    </row>
    <row r="163" spans="2:32" x14ac:dyDescent="0.3">
      <c r="B163" s="195" t="s">
        <v>212</v>
      </c>
      <c r="C163" s="188" t="s">
        <v>220</v>
      </c>
      <c r="D163" s="188">
        <v>1</v>
      </c>
      <c r="E163" s="188">
        <v>310000</v>
      </c>
      <c r="F163" s="196">
        <f>Tableau4[[#This Row],[Economies totales (m3)]]/Tableau4[[#This Row],[Nombres appareils installés]]</f>
        <v>1565.5</v>
      </c>
      <c r="G163" s="190">
        <v>1565.5</v>
      </c>
      <c r="H163" s="188">
        <f t="shared" si="4"/>
        <v>4385.3999999999996</v>
      </c>
      <c r="I163" s="188">
        <v>2400</v>
      </c>
      <c r="J163" s="188">
        <f>Tableau4[[#This Row],[Surcoût moyens de l''équipement ($)]]+Tableau4[[#This Row],[Surcoût moyen de l''installation ($)]]</f>
        <v>6785.4</v>
      </c>
      <c r="K163" s="188">
        <f>Tableau4[[#This Row],[Surcoût par appareil ($)]]*Tableau4[[#This Row],[Nombres appareils installés]]</f>
        <v>6785.4</v>
      </c>
      <c r="L163" s="190">
        <v>2450</v>
      </c>
      <c r="M163" s="188">
        <f t="shared" si="5"/>
        <v>2450</v>
      </c>
      <c r="N163" s="188">
        <f>Tableau4[[#This Row],[AF 0 ($)]]/Tableau4[[#This Row],[Nombres appareils installés]]</f>
        <v>2450</v>
      </c>
      <c r="O163" s="191">
        <f>(Tableau4[[#This Row],[AF accordée ($)]])/($J$6*D163)</f>
        <v>0.61197981715541783</v>
      </c>
      <c r="P163" s="191">
        <f>Tableau4[[#This Row],[Couverture 0 (%)]]*Tableau4[[#This Row],[Nombres appareils installés]]</f>
        <v>0.61197981715541783</v>
      </c>
      <c r="Q163" s="188">
        <f>($Q$4+$R$4*(Tableau4[[#This Row],[Capacité (BTU)]]/1000))*Tableau4[[#This Row],[Nombres appareils installés]]</f>
        <v>3550</v>
      </c>
      <c r="R163" s="188">
        <f>Tableau4[[#This Row],[AF 1 ($)]]/Tableau4[[#This Row],[Nombres appareils installés]]</f>
        <v>3550</v>
      </c>
      <c r="S163" s="191">
        <f>Tableau4[[#This Row],[AF 1 ($)]]/(J163*D163)</f>
        <v>0.52318212633006167</v>
      </c>
      <c r="T163" s="191">
        <f>Tableau4[[#This Row],[Couverture 1 (%)]]*Tableau4[[#This Row],[Nombres appareils installés]]</f>
        <v>0.52318212633006167</v>
      </c>
      <c r="U163" s="188">
        <f>($U$4+($V$4*(Tableau4[[#This Row],[Capacité (BTU)]]/1000)))*Tableau4[[#This Row],[Nombres appareils installés]]</f>
        <v>4325</v>
      </c>
      <c r="V163" s="188">
        <f>Tableau4[[#This Row],[AF 2 ($)]]/Tableau4[[#This Row],[Nombres appareils installés]]</f>
        <v>4325</v>
      </c>
      <c r="W163" s="192">
        <f>Tableau4[[#This Row],[AF 2 par appareil ($)]]/Tableau4[[#This Row],[Surcoût par appareil ($)]]</f>
        <v>0.63739794264155392</v>
      </c>
      <c r="X163" s="192">
        <f>Tableau4[[#This Row],[Couverture 2 (%)]]*Tableau4[[#This Row],[Nombres appareils installés]]</f>
        <v>0.63739794264155392</v>
      </c>
      <c r="Y163" s="188">
        <f>($Y$4+$Z$4*(Tableau4[[#This Row],[Capacité (BTU)]]/1000))*Tableau4[[#This Row],[Nombres appareils installés]]</f>
        <v>4050</v>
      </c>
      <c r="Z163" s="188">
        <f>Tableau4[[#This Row],[AF 3 ($)]]/Tableau4[[#This Row],[Nombres appareils installés]]</f>
        <v>4050</v>
      </c>
      <c r="AA163" s="193">
        <f>Tableau4[[#This Row],[AF 3 par appareil ($)]]/Tableau4[[#This Row],[Surcoût par appareil ($)]]</f>
        <v>0.59686974975683083</v>
      </c>
      <c r="AB163" s="193">
        <f>Tableau4[[#This Row],[Couverture 3 (%)]]*Tableau4[[#This Row],[Nombres appareils installés]]</f>
        <v>0.59686974975683083</v>
      </c>
      <c r="AC163" s="188">
        <f>($AC$4+$AD$4*(Tableau4[[#This Row],[Capacité (BTU)]]/1000))*Tableau4[[#This Row],[Nombres appareils installés]]</f>
        <v>3440</v>
      </c>
      <c r="AD163" s="188">
        <f>Tableau4[[#This Row],[AF 4 ($)]]/Tableau4[[#This Row],[Nombres appareils installés]]</f>
        <v>3440</v>
      </c>
      <c r="AE163" s="194">
        <f>Tableau4[[#This Row],[Couverture 4 (%)]]*Tableau4[[#This Row],[Nombres appareils installés]]</f>
        <v>0.50697084917617241</v>
      </c>
      <c r="AF163" s="193">
        <f>Tableau4[[#This Row],[AF 4 par appareil  ($)]]/Tableau4[[#This Row],[Surcoût par appareil ($)]]</f>
        <v>0.50697084917617241</v>
      </c>
    </row>
    <row r="164" spans="2:32" x14ac:dyDescent="0.3">
      <c r="B164" s="195" t="s">
        <v>212</v>
      </c>
      <c r="C164" s="188" t="s">
        <v>122</v>
      </c>
      <c r="D164" s="188">
        <v>2</v>
      </c>
      <c r="E164" s="188">
        <v>310000</v>
      </c>
      <c r="F164" s="196">
        <f>Tableau4[[#This Row],[Economies totales (m3)]]/Tableau4[[#This Row],[Nombres appareils installés]]</f>
        <v>1565.5</v>
      </c>
      <c r="G164" s="190">
        <v>3131</v>
      </c>
      <c r="H164" s="188">
        <f t="shared" si="4"/>
        <v>4385.3999999999996</v>
      </c>
      <c r="I164" s="188">
        <v>2400</v>
      </c>
      <c r="J164" s="188">
        <f>Tableau4[[#This Row],[Surcoût moyens de l''équipement ($)]]+Tableau4[[#This Row],[Surcoût moyen de l''installation ($)]]</f>
        <v>6785.4</v>
      </c>
      <c r="K164" s="188">
        <f>Tableau4[[#This Row],[Surcoût par appareil ($)]]*Tableau4[[#This Row],[Nombres appareils installés]]</f>
        <v>13570.8</v>
      </c>
      <c r="L164" s="190">
        <v>3400</v>
      </c>
      <c r="M164" s="188">
        <f t="shared" si="5"/>
        <v>4900</v>
      </c>
      <c r="N164" s="188">
        <f>Tableau4[[#This Row],[AF 0 ($)]]/Tableau4[[#This Row],[Nombres appareils installés]]</f>
        <v>2450</v>
      </c>
      <c r="O164" s="191">
        <f>(Tableau4[[#This Row],[AF accordée ($)]])/($J$6*D164)</f>
        <v>0.42463905680171854</v>
      </c>
      <c r="P164" s="191">
        <f>Tableau4[[#This Row],[Couverture 0 (%)]]*Tableau4[[#This Row],[Nombres appareils installés]]</f>
        <v>0.84927811360343708</v>
      </c>
      <c r="Q164" s="188">
        <f>($Q$4+$R$4*(Tableau4[[#This Row],[Capacité (BTU)]]/1000))*Tableau4[[#This Row],[Nombres appareils installés]]</f>
        <v>7100</v>
      </c>
      <c r="R164" s="188">
        <f>Tableau4[[#This Row],[AF 1 ($)]]/Tableau4[[#This Row],[Nombres appareils installés]]</f>
        <v>3550</v>
      </c>
      <c r="S164" s="191">
        <f>Tableau4[[#This Row],[AF 1 ($)]]/(J164*D164)</f>
        <v>0.52318212633006167</v>
      </c>
      <c r="T164" s="191">
        <f>Tableau4[[#This Row],[Couverture 1 (%)]]*Tableau4[[#This Row],[Nombres appareils installés]]</f>
        <v>1.0463642526601233</v>
      </c>
      <c r="U164" s="188">
        <f>($U$4+($V$4*(Tableau4[[#This Row],[Capacité (BTU)]]/1000)))*Tableau4[[#This Row],[Nombres appareils installés]]</f>
        <v>8650</v>
      </c>
      <c r="V164" s="188">
        <f>Tableau4[[#This Row],[AF 2 ($)]]/Tableau4[[#This Row],[Nombres appareils installés]]</f>
        <v>4325</v>
      </c>
      <c r="W164" s="192">
        <f>Tableau4[[#This Row],[AF 2 par appareil ($)]]/Tableau4[[#This Row],[Surcoût par appareil ($)]]</f>
        <v>0.63739794264155392</v>
      </c>
      <c r="X164" s="192">
        <f>Tableau4[[#This Row],[Couverture 2 (%)]]*Tableau4[[#This Row],[Nombres appareils installés]]</f>
        <v>1.2747958852831078</v>
      </c>
      <c r="Y164" s="188">
        <f>($Y$4+$Z$4*(Tableau4[[#This Row],[Capacité (BTU)]]/1000))*Tableau4[[#This Row],[Nombres appareils installés]]</f>
        <v>8100</v>
      </c>
      <c r="Z164" s="188">
        <f>Tableau4[[#This Row],[AF 3 ($)]]/Tableau4[[#This Row],[Nombres appareils installés]]</f>
        <v>4050</v>
      </c>
      <c r="AA164" s="193">
        <f>Tableau4[[#This Row],[AF 3 par appareil ($)]]/Tableau4[[#This Row],[Surcoût par appareil ($)]]</f>
        <v>0.59686974975683083</v>
      </c>
      <c r="AB164" s="193">
        <f>Tableau4[[#This Row],[Couverture 3 (%)]]*Tableau4[[#This Row],[Nombres appareils installés]]</f>
        <v>1.1937394995136617</v>
      </c>
      <c r="AC164" s="188">
        <f>($AC$4+$AD$4*(Tableau4[[#This Row],[Capacité (BTU)]]/1000))*Tableau4[[#This Row],[Nombres appareils installés]]</f>
        <v>6880</v>
      </c>
      <c r="AD164" s="188">
        <f>Tableau4[[#This Row],[AF 4 ($)]]/Tableau4[[#This Row],[Nombres appareils installés]]</f>
        <v>3440</v>
      </c>
      <c r="AE164" s="194">
        <f>Tableau4[[#This Row],[Couverture 4 (%)]]*Tableau4[[#This Row],[Nombres appareils installés]]</f>
        <v>1.0139416983523448</v>
      </c>
      <c r="AF164" s="193">
        <f>Tableau4[[#This Row],[AF 4 par appareil  ($)]]/Tableau4[[#This Row],[Surcoût par appareil ($)]]</f>
        <v>0.50697084917617241</v>
      </c>
    </row>
    <row r="165" spans="2:32" x14ac:dyDescent="0.3">
      <c r="B165" s="195" t="s">
        <v>212</v>
      </c>
      <c r="C165" s="188" t="s">
        <v>224</v>
      </c>
      <c r="D165" s="188">
        <v>12</v>
      </c>
      <c r="E165" s="188">
        <v>310000</v>
      </c>
      <c r="F165" s="196">
        <f>Tableau4[[#This Row],[Economies totales (m3)]]/Tableau4[[#This Row],[Nombres appareils installés]]</f>
        <v>1565.5</v>
      </c>
      <c r="G165" s="190">
        <v>18786</v>
      </c>
      <c r="H165" s="188">
        <f t="shared" si="4"/>
        <v>4385.3999999999996</v>
      </c>
      <c r="I165" s="188">
        <v>2400</v>
      </c>
      <c r="J165" s="188">
        <f>Tableau4[[#This Row],[Surcoût moyens de l''équipement ($)]]+Tableau4[[#This Row],[Surcoût moyen de l''installation ($)]]</f>
        <v>6785.4</v>
      </c>
      <c r="K165" s="188">
        <f>Tableau4[[#This Row],[Surcoût par appareil ($)]]*Tableau4[[#This Row],[Nombres appareils installés]]</f>
        <v>81424.799999999988</v>
      </c>
      <c r="L165" s="190">
        <v>29400</v>
      </c>
      <c r="M165" s="188">
        <f t="shared" si="5"/>
        <v>29400</v>
      </c>
      <c r="N165" s="188">
        <f>Tableau4[[#This Row],[AF 0 ($)]]/Tableau4[[#This Row],[Nombres appareils installés]]</f>
        <v>2450</v>
      </c>
      <c r="O165" s="191">
        <f>(Tableau4[[#This Row],[AF accordée ($)]])/($J$6*D165)</f>
        <v>0.61197981715541783</v>
      </c>
      <c r="P165" s="191">
        <f>Tableau4[[#This Row],[Couverture 0 (%)]]*Tableau4[[#This Row],[Nombres appareils installés]]</f>
        <v>7.3437578058650139</v>
      </c>
      <c r="Q165" s="188">
        <f>($Q$4+$R$4*(Tableau4[[#This Row],[Capacité (BTU)]]/1000))*Tableau4[[#This Row],[Nombres appareils installés]]</f>
        <v>42600</v>
      </c>
      <c r="R165" s="188">
        <f>Tableau4[[#This Row],[AF 1 ($)]]/Tableau4[[#This Row],[Nombres appareils installés]]</f>
        <v>3550</v>
      </c>
      <c r="S165" s="191">
        <f>Tableau4[[#This Row],[AF 1 ($)]]/(J165*D165)</f>
        <v>0.52318212633006167</v>
      </c>
      <c r="T165" s="191">
        <f>Tableau4[[#This Row],[Couverture 1 (%)]]*Tableau4[[#This Row],[Nombres appareils installés]]</f>
        <v>6.2781855159607396</v>
      </c>
      <c r="U165" s="188">
        <f>($U$4+($V$4*(Tableau4[[#This Row],[Capacité (BTU)]]/1000)))*Tableau4[[#This Row],[Nombres appareils installés]]</f>
        <v>51900</v>
      </c>
      <c r="V165" s="188">
        <f>Tableau4[[#This Row],[AF 2 ($)]]/Tableau4[[#This Row],[Nombres appareils installés]]</f>
        <v>4325</v>
      </c>
      <c r="W165" s="192">
        <f>Tableau4[[#This Row],[AF 2 par appareil ($)]]/Tableau4[[#This Row],[Surcoût par appareil ($)]]</f>
        <v>0.63739794264155392</v>
      </c>
      <c r="X165" s="192">
        <f>Tableau4[[#This Row],[Couverture 2 (%)]]*Tableau4[[#This Row],[Nombres appareils installés]]</f>
        <v>7.648775311698647</v>
      </c>
      <c r="Y165" s="188">
        <f>($Y$4+$Z$4*(Tableau4[[#This Row],[Capacité (BTU)]]/1000))*Tableau4[[#This Row],[Nombres appareils installés]]</f>
        <v>48600</v>
      </c>
      <c r="Z165" s="188">
        <f>Tableau4[[#This Row],[AF 3 ($)]]/Tableau4[[#This Row],[Nombres appareils installés]]</f>
        <v>4050</v>
      </c>
      <c r="AA165" s="193">
        <f>Tableau4[[#This Row],[AF 3 par appareil ($)]]/Tableau4[[#This Row],[Surcoût par appareil ($)]]</f>
        <v>0.59686974975683083</v>
      </c>
      <c r="AB165" s="193">
        <f>Tableau4[[#This Row],[Couverture 3 (%)]]*Tableau4[[#This Row],[Nombres appareils installés]]</f>
        <v>7.1624369970819703</v>
      </c>
      <c r="AC165" s="188">
        <f>($AC$4+$AD$4*(Tableau4[[#This Row],[Capacité (BTU)]]/1000))*Tableau4[[#This Row],[Nombres appareils installés]]</f>
        <v>41280</v>
      </c>
      <c r="AD165" s="188">
        <f>Tableau4[[#This Row],[AF 4 ($)]]/Tableau4[[#This Row],[Nombres appareils installés]]</f>
        <v>3440</v>
      </c>
      <c r="AE165" s="194">
        <f>Tableau4[[#This Row],[Couverture 4 (%)]]*Tableau4[[#This Row],[Nombres appareils installés]]</f>
        <v>6.0836501901140689</v>
      </c>
      <c r="AF165" s="193">
        <f>Tableau4[[#This Row],[AF 4 par appareil  ($)]]/Tableau4[[#This Row],[Surcoût par appareil ($)]]</f>
        <v>0.50697084917617241</v>
      </c>
    </row>
    <row r="166" spans="2:32" x14ac:dyDescent="0.3">
      <c r="B166" s="197" t="s">
        <v>225</v>
      </c>
      <c r="C166" s="188" t="s">
        <v>122</v>
      </c>
      <c r="D166" s="197">
        <v>2</v>
      </c>
      <c r="E166" s="197">
        <v>100000</v>
      </c>
      <c r="F166" s="198">
        <f>Tableau4[[#This Row],[Economies totales (m3)]]/Tableau4[[#This Row],[Nombres appareils installés]]</f>
        <v>505</v>
      </c>
      <c r="G166" s="197">
        <v>1010</v>
      </c>
      <c r="H166" s="188">
        <f t="shared" si="4"/>
        <v>1823.4</v>
      </c>
      <c r="I166" s="188">
        <v>2400</v>
      </c>
      <c r="J166" s="188">
        <f>Tableau4[[#This Row],[Surcoût moyens de l''équipement ($)]]+Tableau4[[#This Row],[Surcoût moyen de l''installation ($)]]</f>
        <v>4223.3999999999996</v>
      </c>
      <c r="K166" s="188">
        <f>Tableau4[[#This Row],[Surcoût par appareil ($)]]*Tableau4[[#This Row],[Nombres appareils installés]]</f>
        <v>8446.7999999999993</v>
      </c>
      <c r="L166" s="197">
        <v>3400</v>
      </c>
      <c r="M166" s="188">
        <f t="shared" si="5"/>
        <v>2800</v>
      </c>
      <c r="N166" s="188">
        <f>Tableau4[[#This Row],[AF 0 ($)]]/Tableau4[[#This Row],[Nombres appareils installés]]</f>
        <v>1400</v>
      </c>
      <c r="O166" s="191">
        <f>(Tableau4[[#This Row],[AF accordée ($)]])/($J$6*D166)</f>
        <v>0.42463905680171854</v>
      </c>
      <c r="P166" s="191">
        <f>Tableau4[[#This Row],[Couverture 0 (%)]]*Tableau4[[#This Row],[Nombres appareils installés]]</f>
        <v>0.84927811360343708</v>
      </c>
      <c r="Q166" s="188">
        <f>($Q$4+$R$4*(Tableau4[[#This Row],[Capacité (BTU)]]/1000))*Tableau4[[#This Row],[Nombres appareils installés]]</f>
        <v>5000</v>
      </c>
      <c r="R166" s="188">
        <f>Tableau4[[#This Row],[AF 1 ($)]]/Tableau4[[#This Row],[Nombres appareils installés]]</f>
        <v>2500</v>
      </c>
      <c r="S166" s="191">
        <f>Tableau4[[#This Row],[AF 1 ($)]]/(J166*D166)</f>
        <v>0.59194014301273856</v>
      </c>
      <c r="T166" s="191">
        <f>Tableau4[[#This Row],[Couverture 1 (%)]]*Tableau4[[#This Row],[Nombres appareils installés]]</f>
        <v>1.1838802860254771</v>
      </c>
      <c r="U166" s="188">
        <f>($U$4+($V$4*(Tableau4[[#This Row],[Capacité (BTU)]]/1000)))*Tableau4[[#This Row],[Nombres appareils installés]]</f>
        <v>5500</v>
      </c>
      <c r="V166" s="188">
        <f>Tableau4[[#This Row],[AF 2 ($)]]/Tableau4[[#This Row],[Nombres appareils installés]]</f>
        <v>2750</v>
      </c>
      <c r="W166" s="192">
        <f>Tableau4[[#This Row],[AF 2 par appareil ($)]]/Tableau4[[#This Row],[Surcoût par appareil ($)]]</f>
        <v>0.65113415731401247</v>
      </c>
      <c r="X166" s="192">
        <f>Tableau4[[#This Row],[Couverture 2 (%)]]*Tableau4[[#This Row],[Nombres appareils installés]]</f>
        <v>1.3022683146280249</v>
      </c>
      <c r="Y166" s="188">
        <f>($Y$4+$Z$4*(Tableau4[[#This Row],[Capacité (BTU)]]/1000))*Tableau4[[#This Row],[Nombres appareils installés]]</f>
        <v>6000</v>
      </c>
      <c r="Z166" s="188">
        <f>Tableau4[[#This Row],[AF 3 ($)]]/Tableau4[[#This Row],[Nombres appareils installés]]</f>
        <v>3000</v>
      </c>
      <c r="AA166" s="193">
        <f>Tableau4[[#This Row],[AF 3 par appareil ($)]]/Tableau4[[#This Row],[Surcoût par appareil ($)]]</f>
        <v>0.71032817161528627</v>
      </c>
      <c r="AB166" s="193">
        <f>Tableau4[[#This Row],[Couverture 3 (%)]]*Tableau4[[#This Row],[Nombres appareils installés]]</f>
        <v>1.4206563432305725</v>
      </c>
      <c r="AC166" s="188">
        <f>($AC$4+$AD$4*(Tableau4[[#This Row],[Capacité (BTU)]]/1000))*Tableau4[[#This Row],[Nombres appareils installés]]</f>
        <v>5200</v>
      </c>
      <c r="AD166" s="188">
        <f>Tableau4[[#This Row],[AF 4 ($)]]/Tableau4[[#This Row],[Nombres appareils installés]]</f>
        <v>2600</v>
      </c>
      <c r="AE166" s="194">
        <f>Tableau4[[#This Row],[Couverture 4 (%)]]*Tableau4[[#This Row],[Nombres appareils installés]]</f>
        <v>1.2312354974664963</v>
      </c>
      <c r="AF166" s="193">
        <f>Tableau4[[#This Row],[AF 4 par appareil  ($)]]/Tableau4[[#This Row],[Surcoût par appareil ($)]]</f>
        <v>0.61561774873324815</v>
      </c>
    </row>
    <row r="167" spans="2:32" x14ac:dyDescent="0.3">
      <c r="B167" s="197" t="s">
        <v>225</v>
      </c>
      <c r="C167" s="188" t="s">
        <v>122</v>
      </c>
      <c r="D167" s="197">
        <v>1</v>
      </c>
      <c r="E167" s="197">
        <v>130000</v>
      </c>
      <c r="F167" s="198">
        <f>Tableau4[[#This Row],[Economies totales (m3)]]/Tableau4[[#This Row],[Nombres appareils installés]]</f>
        <v>656.5</v>
      </c>
      <c r="G167" s="197">
        <v>656.5</v>
      </c>
      <c r="H167" s="188">
        <f t="shared" si="4"/>
        <v>2027.4</v>
      </c>
      <c r="I167" s="188">
        <v>2400</v>
      </c>
      <c r="J167" s="188">
        <f>Tableau4[[#This Row],[Surcoût moyens de l''équipement ($)]]+Tableau4[[#This Row],[Surcoût moyen de l''installation ($)]]</f>
        <v>4427.3999999999996</v>
      </c>
      <c r="K167" s="188">
        <f>Tableau4[[#This Row],[Surcoût par appareil ($)]]*Tableau4[[#This Row],[Nombres appareils installés]]</f>
        <v>4427.3999999999996</v>
      </c>
      <c r="L167" s="197">
        <v>1550</v>
      </c>
      <c r="M167" s="188">
        <f t="shared" si="5"/>
        <v>1550</v>
      </c>
      <c r="N167" s="188">
        <f>Tableau4[[#This Row],[AF 0 ($)]]/Tableau4[[#This Row],[Nombres appareils installés]]</f>
        <v>1550</v>
      </c>
      <c r="O167" s="191">
        <f>(Tableau4[[#This Row],[AF accordée ($)]])/($J$6*D167)</f>
        <v>0.38717090473097865</v>
      </c>
      <c r="P167" s="191">
        <f>Tableau4[[#This Row],[Couverture 0 (%)]]*Tableau4[[#This Row],[Nombres appareils installés]]</f>
        <v>0.38717090473097865</v>
      </c>
      <c r="Q167" s="188">
        <f>($Q$4+$R$4*(Tableau4[[#This Row],[Capacité (BTU)]]/1000))*Tableau4[[#This Row],[Nombres appareils installés]]</f>
        <v>2650</v>
      </c>
      <c r="R167" s="188">
        <f>Tableau4[[#This Row],[AF 1 ($)]]/Tableau4[[#This Row],[Nombres appareils installés]]</f>
        <v>2650</v>
      </c>
      <c r="S167" s="191">
        <f>Tableau4[[#This Row],[AF 1 ($)]]/(J167*D167)</f>
        <v>0.59854542169218961</v>
      </c>
      <c r="T167" s="191">
        <f>Tableau4[[#This Row],[Couverture 1 (%)]]*Tableau4[[#This Row],[Nombres appareils installés]]</f>
        <v>0.59854542169218961</v>
      </c>
      <c r="U167" s="188">
        <f>($U$4+($V$4*(Tableau4[[#This Row],[Capacité (BTU)]]/1000)))*Tableau4[[#This Row],[Nombres appareils installés]]</f>
        <v>2975</v>
      </c>
      <c r="V167" s="188">
        <f>Tableau4[[#This Row],[AF 2 ($)]]/Tableau4[[#This Row],[Nombres appareils installés]]</f>
        <v>2975</v>
      </c>
      <c r="W167" s="192">
        <f>Tableau4[[#This Row],[AF 2 par appareil ($)]]/Tableau4[[#This Row],[Surcoût par appareil ($)]]</f>
        <v>0.67195193567330724</v>
      </c>
      <c r="X167" s="192">
        <f>Tableau4[[#This Row],[Couverture 2 (%)]]*Tableau4[[#This Row],[Nombres appareils installés]]</f>
        <v>0.67195193567330724</v>
      </c>
      <c r="Y167" s="188">
        <f>($Y$4+$Z$4*(Tableau4[[#This Row],[Capacité (BTU)]]/1000))*Tableau4[[#This Row],[Nombres appareils installés]]</f>
        <v>3150</v>
      </c>
      <c r="Z167" s="188">
        <f>Tableau4[[#This Row],[AF 3 ($)]]/Tableau4[[#This Row],[Nombres appareils installés]]</f>
        <v>3150</v>
      </c>
      <c r="AA167" s="193">
        <f>Tableau4[[#This Row],[AF 3 par appareil ($)]]/Tableau4[[#This Row],[Surcoût par appareil ($)]]</f>
        <v>0.71147852012467816</v>
      </c>
      <c r="AB167" s="193">
        <f>Tableau4[[#This Row],[Couverture 3 (%)]]*Tableau4[[#This Row],[Nombres appareils installés]]</f>
        <v>0.71147852012467816</v>
      </c>
      <c r="AC167" s="188">
        <f>($AC$4+$AD$4*(Tableau4[[#This Row],[Capacité (BTU)]]/1000))*Tableau4[[#This Row],[Nombres appareils installés]]</f>
        <v>2720</v>
      </c>
      <c r="AD167" s="188">
        <f>Tableau4[[#This Row],[AF 4 ($)]]/Tableau4[[#This Row],[Nombres appareils installés]]</f>
        <v>2720</v>
      </c>
      <c r="AE167" s="194">
        <f>Tableau4[[#This Row],[Couverture 4 (%)]]*Tableau4[[#This Row],[Nombres appareils installés]]</f>
        <v>0.61435605547273797</v>
      </c>
      <c r="AF167" s="193">
        <f>Tableau4[[#This Row],[AF 4 par appareil  ($)]]/Tableau4[[#This Row],[Surcoût par appareil ($)]]</f>
        <v>0.61435605547273797</v>
      </c>
    </row>
    <row r="168" spans="2:32" x14ac:dyDescent="0.3">
      <c r="B168" s="197" t="s">
        <v>225</v>
      </c>
      <c r="C168" s="188" t="s">
        <v>122</v>
      </c>
      <c r="D168" s="197">
        <v>3</v>
      </c>
      <c r="E168" s="197">
        <v>135000</v>
      </c>
      <c r="F168" s="198">
        <f>Tableau4[[#This Row],[Economies totales (m3)]]/Tableau4[[#This Row],[Nombres appareils installés]]</f>
        <v>681.75</v>
      </c>
      <c r="G168" s="197">
        <v>2045.25</v>
      </c>
      <c r="H168" s="188">
        <f t="shared" si="4"/>
        <v>2066.65</v>
      </c>
      <c r="I168" s="188">
        <v>2400</v>
      </c>
      <c r="J168" s="188">
        <f>Tableau4[[#This Row],[Surcoût moyens de l''équipement ($)]]+Tableau4[[#This Row],[Surcoût moyen de l''installation ($)]]</f>
        <v>4466.6499999999996</v>
      </c>
      <c r="K168" s="188">
        <f>Tableau4[[#This Row],[Surcoût par appareil ($)]]*Tableau4[[#This Row],[Nombres appareils installés]]</f>
        <v>13399.949999999999</v>
      </c>
      <c r="L168" s="197">
        <v>4725</v>
      </c>
      <c r="M168" s="188">
        <f t="shared" si="5"/>
        <v>4725</v>
      </c>
      <c r="N168" s="188">
        <f>Tableau4[[#This Row],[AF 0 ($)]]/Tableau4[[#This Row],[Nombres appareils installés]]</f>
        <v>1575</v>
      </c>
      <c r="O168" s="191">
        <f>(Tableau4[[#This Row],[AF accordée ($)]])/($J$6*D168)</f>
        <v>0.3934155967427686</v>
      </c>
      <c r="P168" s="191">
        <f>Tableau4[[#This Row],[Couverture 0 (%)]]*Tableau4[[#This Row],[Nombres appareils installés]]</f>
        <v>1.1802467902283058</v>
      </c>
      <c r="Q168" s="188">
        <f>($Q$4+$R$4*(Tableau4[[#This Row],[Capacité (BTU)]]/1000))*Tableau4[[#This Row],[Nombres appareils installés]]</f>
        <v>8025</v>
      </c>
      <c r="R168" s="188">
        <f>Tableau4[[#This Row],[AF 1 ($)]]/Tableau4[[#This Row],[Nombres appareils installés]]</f>
        <v>2675</v>
      </c>
      <c r="S168" s="191">
        <f>Tableau4[[#This Row],[AF 1 ($)]]/(J168*D168)</f>
        <v>0.59888283165235701</v>
      </c>
      <c r="T168" s="191">
        <f>Tableau4[[#This Row],[Couverture 1 (%)]]*Tableau4[[#This Row],[Nombres appareils installés]]</f>
        <v>1.7966484949570711</v>
      </c>
      <c r="U168" s="188">
        <f>($U$4+($V$4*(Tableau4[[#This Row],[Capacité (BTU)]]/1000)))*Tableau4[[#This Row],[Nombres appareils installés]]</f>
        <v>9037.5</v>
      </c>
      <c r="V168" s="188">
        <f>Tableau4[[#This Row],[AF 2 ($)]]/Tableau4[[#This Row],[Nombres appareils installés]]</f>
        <v>3012.5</v>
      </c>
      <c r="W168" s="192">
        <f>Tableau4[[#This Row],[AF 2 par appareil ($)]]/Tableau4[[#This Row],[Surcoût par appareil ($)]]</f>
        <v>0.67444281508513093</v>
      </c>
      <c r="X168" s="192">
        <f>Tableau4[[#This Row],[Couverture 2 (%)]]*Tableau4[[#This Row],[Nombres appareils installés]]</f>
        <v>2.0233284452553928</v>
      </c>
      <c r="Y168" s="188">
        <f>($Y$4+$Z$4*(Tableau4[[#This Row],[Capacité (BTU)]]/1000))*Tableau4[[#This Row],[Nombres appareils installés]]</f>
        <v>9525</v>
      </c>
      <c r="Z168" s="188">
        <f>Tableau4[[#This Row],[AF 3 ($)]]/Tableau4[[#This Row],[Nombres appareils installés]]</f>
        <v>3175</v>
      </c>
      <c r="AA168" s="193">
        <f>Tableau4[[#This Row],[AF 3 par appareil ($)]]/Tableau4[[#This Row],[Surcoût par appareil ($)]]</f>
        <v>0.71082354784905921</v>
      </c>
      <c r="AB168" s="193">
        <f>Tableau4[[#This Row],[Couverture 3 (%)]]*Tableau4[[#This Row],[Nombres appareils installés]]</f>
        <v>2.1324706435471779</v>
      </c>
      <c r="AC168" s="188">
        <f>($AC$4+$AD$4*(Tableau4[[#This Row],[Capacité (BTU)]]/1000))*Tableau4[[#This Row],[Nombres appareils installés]]</f>
        <v>8220</v>
      </c>
      <c r="AD168" s="188">
        <f>Tableau4[[#This Row],[AF 4 ($)]]/Tableau4[[#This Row],[Nombres appareils installés]]</f>
        <v>2740</v>
      </c>
      <c r="AE168" s="194">
        <f>Tableau4[[#This Row],[Couverture 4 (%)]]*Tableau4[[#This Row],[Nombres appareils installés]]</f>
        <v>1.8403053742737847</v>
      </c>
      <c r="AF168" s="193">
        <f>Tableau4[[#This Row],[AF 4 par appareil  ($)]]/Tableau4[[#This Row],[Surcoût par appareil ($)]]</f>
        <v>0.61343512475792827</v>
      </c>
    </row>
    <row r="169" spans="2:32" x14ac:dyDescent="0.3">
      <c r="B169" s="188" t="s">
        <v>225</v>
      </c>
      <c r="C169" s="188" t="s">
        <v>122</v>
      </c>
      <c r="D169" s="188">
        <v>1</v>
      </c>
      <c r="E169" s="188">
        <v>175000</v>
      </c>
      <c r="F169" s="196">
        <f>Tableau4[[#This Row],[Economies totales (m3)]]/Tableau4[[#This Row],[Nombres appareils installés]]</f>
        <v>883.75</v>
      </c>
      <c r="G169" s="188">
        <v>883.75</v>
      </c>
      <c r="H169" s="188">
        <f t="shared" si="4"/>
        <v>2434.65</v>
      </c>
      <c r="I169" s="188">
        <v>2400</v>
      </c>
      <c r="J169" s="188">
        <f>Tableau4[[#This Row],[Surcoût moyens de l''équipement ($)]]+Tableau4[[#This Row],[Surcoût moyen de l''installation ($)]]</f>
        <v>4834.6499999999996</v>
      </c>
      <c r="K169" s="188">
        <f>Tableau4[[#This Row],[Surcoût par appareil ($)]]*Tableau4[[#This Row],[Nombres appareils installés]]</f>
        <v>4834.6499999999996</v>
      </c>
      <c r="L169" s="188">
        <v>1775</v>
      </c>
      <c r="M169" s="188">
        <f t="shared" si="5"/>
        <v>1775</v>
      </c>
      <c r="N169" s="188">
        <f>Tableau4[[#This Row],[AF 0 ($)]]/Tableau4[[#This Row],[Nombres appareils installés]]</f>
        <v>1775</v>
      </c>
      <c r="O169" s="191">
        <f>(Tableau4[[#This Row],[AF accordée ($)]])/($J$6*D169)</f>
        <v>0.44337313283708846</v>
      </c>
      <c r="P169" s="191">
        <f>Tableau4[[#This Row],[Couverture 0 (%)]]*Tableau4[[#This Row],[Nombres appareils installés]]</f>
        <v>0.44337313283708846</v>
      </c>
      <c r="Q169" s="188">
        <f>($Q$4+$R$4*(Tableau4[[#This Row],[Capacité (BTU)]]/1000))*Tableau4[[#This Row],[Nombres appareils installés]]</f>
        <v>2875</v>
      </c>
      <c r="R169" s="188">
        <f>Tableau4[[#This Row],[AF 1 ($)]]/Tableau4[[#This Row],[Nombres appareils installés]]</f>
        <v>2875</v>
      </c>
      <c r="S169" s="191">
        <f>Tableau4[[#This Row],[AF 1 ($)]]/(J169*D169)</f>
        <v>0.59466559109759765</v>
      </c>
      <c r="T169" s="191">
        <f>Tableau4[[#This Row],[Couverture 1 (%)]]*Tableau4[[#This Row],[Nombres appareils installés]]</f>
        <v>0.59466559109759765</v>
      </c>
      <c r="U169" s="188">
        <f>($U$4+($V$4*(Tableau4[[#This Row],[Capacité (BTU)]]/1000)))*Tableau4[[#This Row],[Nombres appareils installés]]</f>
        <v>3312.5</v>
      </c>
      <c r="V169" s="188">
        <f>Tableau4[[#This Row],[AF 2 ($)]]/Tableau4[[#This Row],[Nombres appareils installés]]</f>
        <v>3312.5</v>
      </c>
      <c r="W169" s="192">
        <f>Tableau4[[#This Row],[AF 2 par appareil ($)]]/Tableau4[[#This Row],[Surcoût par appareil ($)]]</f>
        <v>0.68515818104723203</v>
      </c>
      <c r="X169" s="192">
        <f>Tableau4[[#This Row],[Couverture 2 (%)]]*Tableau4[[#This Row],[Nombres appareils installés]]</f>
        <v>0.68515818104723203</v>
      </c>
      <c r="Y169" s="188">
        <f>($Y$4+$Z$4*(Tableau4[[#This Row],[Capacité (BTU)]]/1000))*Tableau4[[#This Row],[Nombres appareils installés]]</f>
        <v>3375</v>
      </c>
      <c r="Z169" s="188">
        <f>Tableau4[[#This Row],[AF 3 ($)]]/Tableau4[[#This Row],[Nombres appareils installés]]</f>
        <v>3375</v>
      </c>
      <c r="AA169" s="193">
        <f>Tableau4[[#This Row],[AF 3 par appareil ($)]]/Tableau4[[#This Row],[Surcoût par appareil ($)]]</f>
        <v>0.69808569389717978</v>
      </c>
      <c r="AB169" s="193">
        <f>Tableau4[[#This Row],[Couverture 3 (%)]]*Tableau4[[#This Row],[Nombres appareils installés]]</f>
        <v>0.69808569389717978</v>
      </c>
      <c r="AC169" s="188">
        <f>($AC$4+$AD$4*(Tableau4[[#This Row],[Capacité (BTU)]]/1000))*Tableau4[[#This Row],[Nombres appareils installés]]</f>
        <v>2900</v>
      </c>
      <c r="AD169" s="188">
        <f>Tableau4[[#This Row],[AF 4 ($)]]/Tableau4[[#This Row],[Nombres appareils installés]]</f>
        <v>2900</v>
      </c>
      <c r="AE169" s="194">
        <f>Tableau4[[#This Row],[Couverture 4 (%)]]*Tableau4[[#This Row],[Nombres appareils installés]]</f>
        <v>0.59983659623757668</v>
      </c>
      <c r="AF169" s="193">
        <f>Tableau4[[#This Row],[AF 4 par appareil  ($)]]/Tableau4[[#This Row],[Surcoût par appareil ($)]]</f>
        <v>0.59983659623757668</v>
      </c>
    </row>
    <row r="170" spans="2:32" x14ac:dyDescent="0.3">
      <c r="B170" s="197" t="s">
        <v>225</v>
      </c>
      <c r="C170" s="188" t="s">
        <v>122</v>
      </c>
      <c r="D170" s="197">
        <v>4</v>
      </c>
      <c r="E170" s="197">
        <v>175000</v>
      </c>
      <c r="F170" s="198">
        <f>Tableau4[[#This Row],[Economies totales (m3)]]/Tableau4[[#This Row],[Nombres appareils installés]]</f>
        <v>883.75</v>
      </c>
      <c r="G170" s="197">
        <v>3535</v>
      </c>
      <c r="H170" s="188">
        <f t="shared" si="4"/>
        <v>2434.65</v>
      </c>
      <c r="I170" s="188">
        <v>2400</v>
      </c>
      <c r="J170" s="188">
        <f>Tableau4[[#This Row],[Surcoût moyens de l''équipement ($)]]+Tableau4[[#This Row],[Surcoût moyen de l''installation ($)]]</f>
        <v>4834.6499999999996</v>
      </c>
      <c r="K170" s="188">
        <f>Tableau4[[#This Row],[Surcoût par appareil ($)]]*Tableau4[[#This Row],[Nombres appareils installés]]</f>
        <v>19338.599999999999</v>
      </c>
      <c r="L170" s="197">
        <v>7100</v>
      </c>
      <c r="M170" s="188">
        <f t="shared" si="5"/>
        <v>7100</v>
      </c>
      <c r="N170" s="188">
        <f>Tableau4[[#This Row],[AF 0 ($)]]/Tableau4[[#This Row],[Nombres appareils installés]]</f>
        <v>1775</v>
      </c>
      <c r="O170" s="191">
        <f>(Tableau4[[#This Row],[AF accordée ($)]])/($J$6*D170)</f>
        <v>0.44337313283708846</v>
      </c>
      <c r="P170" s="191">
        <f>Tableau4[[#This Row],[Couverture 0 (%)]]*Tableau4[[#This Row],[Nombres appareils installés]]</f>
        <v>1.7734925313483538</v>
      </c>
      <c r="Q170" s="188">
        <f>($Q$4+$R$4*(Tableau4[[#This Row],[Capacité (BTU)]]/1000))*Tableau4[[#This Row],[Nombres appareils installés]]</f>
        <v>11500</v>
      </c>
      <c r="R170" s="188">
        <f>Tableau4[[#This Row],[AF 1 ($)]]/Tableau4[[#This Row],[Nombres appareils installés]]</f>
        <v>2875</v>
      </c>
      <c r="S170" s="191">
        <f>Tableau4[[#This Row],[AF 1 ($)]]/(J170*D170)</f>
        <v>0.59466559109759765</v>
      </c>
      <c r="T170" s="191">
        <f>Tableau4[[#This Row],[Couverture 1 (%)]]*Tableau4[[#This Row],[Nombres appareils installés]]</f>
        <v>2.3786623643903906</v>
      </c>
      <c r="U170" s="188">
        <f>($U$4+($V$4*(Tableau4[[#This Row],[Capacité (BTU)]]/1000)))*Tableau4[[#This Row],[Nombres appareils installés]]</f>
        <v>13250</v>
      </c>
      <c r="V170" s="188">
        <f>Tableau4[[#This Row],[AF 2 ($)]]/Tableau4[[#This Row],[Nombres appareils installés]]</f>
        <v>3312.5</v>
      </c>
      <c r="W170" s="192">
        <f>Tableau4[[#This Row],[AF 2 par appareil ($)]]/Tableau4[[#This Row],[Surcoût par appareil ($)]]</f>
        <v>0.68515818104723203</v>
      </c>
      <c r="X170" s="192">
        <f>Tableau4[[#This Row],[Couverture 2 (%)]]*Tableau4[[#This Row],[Nombres appareils installés]]</f>
        <v>2.7406327241889281</v>
      </c>
      <c r="Y170" s="188">
        <f>($Y$4+$Z$4*(Tableau4[[#This Row],[Capacité (BTU)]]/1000))*Tableau4[[#This Row],[Nombres appareils installés]]</f>
        <v>13500</v>
      </c>
      <c r="Z170" s="188">
        <f>Tableau4[[#This Row],[AF 3 ($)]]/Tableau4[[#This Row],[Nombres appareils installés]]</f>
        <v>3375</v>
      </c>
      <c r="AA170" s="193">
        <f>Tableau4[[#This Row],[AF 3 par appareil ($)]]/Tableau4[[#This Row],[Surcoût par appareil ($)]]</f>
        <v>0.69808569389717978</v>
      </c>
      <c r="AB170" s="193">
        <f>Tableau4[[#This Row],[Couverture 3 (%)]]*Tableau4[[#This Row],[Nombres appareils installés]]</f>
        <v>2.7923427755887191</v>
      </c>
      <c r="AC170" s="188">
        <f>($AC$4+$AD$4*(Tableau4[[#This Row],[Capacité (BTU)]]/1000))*Tableau4[[#This Row],[Nombres appareils installés]]</f>
        <v>11600</v>
      </c>
      <c r="AD170" s="188">
        <f>Tableau4[[#This Row],[AF 4 ($)]]/Tableau4[[#This Row],[Nombres appareils installés]]</f>
        <v>2900</v>
      </c>
      <c r="AE170" s="194">
        <f>Tableau4[[#This Row],[Couverture 4 (%)]]*Tableau4[[#This Row],[Nombres appareils installés]]</f>
        <v>2.3993463849503067</v>
      </c>
      <c r="AF170" s="193">
        <f>Tableau4[[#This Row],[AF 4 par appareil  ($)]]/Tableau4[[#This Row],[Surcoût par appareil ($)]]</f>
        <v>0.59983659623757668</v>
      </c>
    </row>
    <row r="171" spans="2:32" x14ac:dyDescent="0.3">
      <c r="B171" s="197" t="s">
        <v>225</v>
      </c>
      <c r="C171" s="188" t="s">
        <v>122</v>
      </c>
      <c r="D171" s="197">
        <v>2</v>
      </c>
      <c r="E171" s="197">
        <v>180000</v>
      </c>
      <c r="F171" s="198">
        <f>Tableau4[[#This Row],[Economies totales (m3)]]/Tableau4[[#This Row],[Nombres appareils installés]]</f>
        <v>909</v>
      </c>
      <c r="G171" s="197">
        <v>1818</v>
      </c>
      <c r="H171" s="188">
        <f t="shared" si="4"/>
        <v>2487.4</v>
      </c>
      <c r="I171" s="188">
        <v>2400</v>
      </c>
      <c r="J171" s="188">
        <f>Tableau4[[#This Row],[Surcoût moyens de l''équipement ($)]]+Tableau4[[#This Row],[Surcoût moyen de l''installation ($)]]</f>
        <v>4887.3999999999996</v>
      </c>
      <c r="K171" s="188">
        <f>Tableau4[[#This Row],[Surcoût par appareil ($)]]*Tableau4[[#This Row],[Nombres appareils installés]]</f>
        <v>9774.7999999999993</v>
      </c>
      <c r="L171" s="197">
        <v>3600</v>
      </c>
      <c r="M171" s="188">
        <f t="shared" si="5"/>
        <v>3600</v>
      </c>
      <c r="N171" s="188">
        <f>Tableau4[[#This Row],[AF 0 ($)]]/Tableau4[[#This Row],[Nombres appareils installés]]</f>
        <v>1800</v>
      </c>
      <c r="O171" s="191">
        <f>(Tableau4[[#This Row],[AF accordée ($)]])/($J$6*D171)</f>
        <v>0.44961782484887847</v>
      </c>
      <c r="P171" s="191">
        <f>Tableau4[[#This Row],[Couverture 0 (%)]]*Tableau4[[#This Row],[Nombres appareils installés]]</f>
        <v>0.89923564969775693</v>
      </c>
      <c r="Q171" s="188">
        <f>($Q$4+$R$4*(Tableau4[[#This Row],[Capacité (BTU)]]/1000))*Tableau4[[#This Row],[Nombres appareils installés]]</f>
        <v>5800</v>
      </c>
      <c r="R171" s="188">
        <f>Tableau4[[#This Row],[AF 1 ($)]]/Tableau4[[#This Row],[Nombres appareils installés]]</f>
        <v>2900</v>
      </c>
      <c r="S171" s="191">
        <f>Tableau4[[#This Row],[AF 1 ($)]]/(J171*D171)</f>
        <v>0.59336252404141265</v>
      </c>
      <c r="T171" s="191">
        <f>Tableau4[[#This Row],[Couverture 1 (%)]]*Tableau4[[#This Row],[Nombres appareils installés]]</f>
        <v>1.1867250480828253</v>
      </c>
      <c r="U171" s="188">
        <f>($U$4+($V$4*(Tableau4[[#This Row],[Capacité (BTU)]]/1000)))*Tableau4[[#This Row],[Nombres appareils installés]]</f>
        <v>6700</v>
      </c>
      <c r="V171" s="188">
        <f>Tableau4[[#This Row],[AF 2 ($)]]/Tableau4[[#This Row],[Nombres appareils installés]]</f>
        <v>3350</v>
      </c>
      <c r="W171" s="192">
        <f>Tableau4[[#This Row],[AF 2 par appareil ($)]]/Tableau4[[#This Row],[Surcoût par appareil ($)]]</f>
        <v>0.68543601915128705</v>
      </c>
      <c r="X171" s="192">
        <f>Tableau4[[#This Row],[Couverture 2 (%)]]*Tableau4[[#This Row],[Nombres appareils installés]]</f>
        <v>1.3708720383025741</v>
      </c>
      <c r="Y171" s="188">
        <f>($Y$4+$Z$4*(Tableau4[[#This Row],[Capacité (BTU)]]/1000))*Tableau4[[#This Row],[Nombres appareils installés]]</f>
        <v>6800</v>
      </c>
      <c r="Z171" s="188">
        <f>Tableau4[[#This Row],[AF 3 ($)]]/Tableau4[[#This Row],[Nombres appareils installés]]</f>
        <v>3400</v>
      </c>
      <c r="AA171" s="193">
        <f>Tableau4[[#This Row],[AF 3 par appareil ($)]]/Tableau4[[#This Row],[Surcoût par appareil ($)]]</f>
        <v>0.69566640749682862</v>
      </c>
      <c r="AB171" s="193">
        <f>Tableau4[[#This Row],[Couverture 3 (%)]]*Tableau4[[#This Row],[Nombres appareils installés]]</f>
        <v>1.3913328149936572</v>
      </c>
      <c r="AC171" s="188">
        <f>($AC$4+$AD$4*(Tableau4[[#This Row],[Capacité (BTU)]]/1000))*Tableau4[[#This Row],[Nombres appareils installés]]</f>
        <v>5840</v>
      </c>
      <c r="AD171" s="188">
        <f>Tableau4[[#This Row],[AF 4 ($)]]/Tableau4[[#This Row],[Nombres appareils installés]]</f>
        <v>2920</v>
      </c>
      <c r="AE171" s="194">
        <f>Tableau4[[#This Row],[Couverture 4 (%)]]*Tableau4[[#This Row],[Nombres appareils installés]]</f>
        <v>1.1949093587592585</v>
      </c>
      <c r="AF171" s="193">
        <f>Tableau4[[#This Row],[AF 4 par appareil  ($)]]/Tableau4[[#This Row],[Surcoût par appareil ($)]]</f>
        <v>0.59745467937962926</v>
      </c>
    </row>
    <row r="172" spans="2:32" x14ac:dyDescent="0.3">
      <c r="B172" s="188" t="s">
        <v>225</v>
      </c>
      <c r="C172" s="188" t="s">
        <v>122</v>
      </c>
      <c r="D172" s="188">
        <v>7</v>
      </c>
      <c r="E172" s="188">
        <v>180000</v>
      </c>
      <c r="F172" s="196">
        <f>Tableau4[[#This Row],[Economies totales (m3)]]/Tableau4[[#This Row],[Nombres appareils installés]]</f>
        <v>909</v>
      </c>
      <c r="G172" s="188">
        <v>6363</v>
      </c>
      <c r="H172" s="188">
        <f t="shared" si="4"/>
        <v>2487.4</v>
      </c>
      <c r="I172" s="188">
        <v>2400</v>
      </c>
      <c r="J172" s="188">
        <f>Tableau4[[#This Row],[Surcoût moyens de l''équipement ($)]]+Tableau4[[#This Row],[Surcoût moyen de l''installation ($)]]</f>
        <v>4887.3999999999996</v>
      </c>
      <c r="K172" s="188">
        <f>Tableau4[[#This Row],[Surcoût par appareil ($)]]*Tableau4[[#This Row],[Nombres appareils installés]]</f>
        <v>34211.799999999996</v>
      </c>
      <c r="L172" s="188">
        <v>12600</v>
      </c>
      <c r="M172" s="188">
        <f t="shared" si="5"/>
        <v>12600</v>
      </c>
      <c r="N172" s="188">
        <f>Tableau4[[#This Row],[AF 0 ($)]]/Tableau4[[#This Row],[Nombres appareils installés]]</f>
        <v>1800</v>
      </c>
      <c r="O172" s="191">
        <f>(Tableau4[[#This Row],[AF accordée ($)]])/($J$6*D172)</f>
        <v>0.44961782484887847</v>
      </c>
      <c r="P172" s="191">
        <f>Tableau4[[#This Row],[Couverture 0 (%)]]*Tableau4[[#This Row],[Nombres appareils installés]]</f>
        <v>3.1473247739421493</v>
      </c>
      <c r="Q172" s="188">
        <f>($Q$4+$R$4*(Tableau4[[#This Row],[Capacité (BTU)]]/1000))*Tableau4[[#This Row],[Nombres appareils installés]]</f>
        <v>20300</v>
      </c>
      <c r="R172" s="188">
        <f>Tableau4[[#This Row],[AF 1 ($)]]/Tableau4[[#This Row],[Nombres appareils installés]]</f>
        <v>2900</v>
      </c>
      <c r="S172" s="191">
        <f>Tableau4[[#This Row],[AF 1 ($)]]/(J172*D172)</f>
        <v>0.59336252404141265</v>
      </c>
      <c r="T172" s="191">
        <f>Tableau4[[#This Row],[Couverture 1 (%)]]*Tableau4[[#This Row],[Nombres appareils installés]]</f>
        <v>4.1535376682898884</v>
      </c>
      <c r="U172" s="188">
        <f>($U$4+($V$4*(Tableau4[[#This Row],[Capacité (BTU)]]/1000)))*Tableau4[[#This Row],[Nombres appareils installés]]</f>
        <v>23450</v>
      </c>
      <c r="V172" s="188">
        <f>Tableau4[[#This Row],[AF 2 ($)]]/Tableau4[[#This Row],[Nombres appareils installés]]</f>
        <v>3350</v>
      </c>
      <c r="W172" s="192">
        <f>Tableau4[[#This Row],[AF 2 par appareil ($)]]/Tableau4[[#This Row],[Surcoût par appareil ($)]]</f>
        <v>0.68543601915128705</v>
      </c>
      <c r="X172" s="192">
        <f>Tableau4[[#This Row],[Couverture 2 (%)]]*Tableau4[[#This Row],[Nombres appareils installés]]</f>
        <v>4.7980521340590094</v>
      </c>
      <c r="Y172" s="188">
        <f>($Y$4+$Z$4*(Tableau4[[#This Row],[Capacité (BTU)]]/1000))*Tableau4[[#This Row],[Nombres appareils installés]]</f>
        <v>23800</v>
      </c>
      <c r="Z172" s="188">
        <f>Tableau4[[#This Row],[AF 3 ($)]]/Tableau4[[#This Row],[Nombres appareils installés]]</f>
        <v>3400</v>
      </c>
      <c r="AA172" s="193">
        <f>Tableau4[[#This Row],[AF 3 par appareil ($)]]/Tableau4[[#This Row],[Surcoût par appareil ($)]]</f>
        <v>0.69566640749682862</v>
      </c>
      <c r="AB172" s="193">
        <f>Tableau4[[#This Row],[Couverture 3 (%)]]*Tableau4[[#This Row],[Nombres appareils installés]]</f>
        <v>4.8696648524778006</v>
      </c>
      <c r="AC172" s="188">
        <f>($AC$4+$AD$4*(Tableau4[[#This Row],[Capacité (BTU)]]/1000))*Tableau4[[#This Row],[Nombres appareils installés]]</f>
        <v>20440</v>
      </c>
      <c r="AD172" s="188">
        <f>Tableau4[[#This Row],[AF 4 ($)]]/Tableau4[[#This Row],[Nombres appareils installés]]</f>
        <v>2920</v>
      </c>
      <c r="AE172" s="194">
        <f>Tableau4[[#This Row],[Couverture 4 (%)]]*Tableau4[[#This Row],[Nombres appareils installés]]</f>
        <v>4.1821827556574052</v>
      </c>
      <c r="AF172" s="193">
        <f>Tableau4[[#This Row],[AF 4 par appareil  ($)]]/Tableau4[[#This Row],[Surcoût par appareil ($)]]</f>
        <v>0.59745467937962926</v>
      </c>
    </row>
    <row r="173" spans="2:32" x14ac:dyDescent="0.3">
      <c r="B173" s="188" t="s">
        <v>225</v>
      </c>
      <c r="C173" s="188" t="s">
        <v>122</v>
      </c>
      <c r="D173" s="188">
        <v>1</v>
      </c>
      <c r="E173" s="188">
        <v>260000</v>
      </c>
      <c r="F173" s="196">
        <f>Tableau4[[#This Row],[Economies totales (m3)]]/Tableau4[[#This Row],[Nombres appareils installés]]</f>
        <v>1313</v>
      </c>
      <c r="G173" s="188">
        <v>1313</v>
      </c>
      <c r="H173" s="188">
        <f t="shared" si="4"/>
        <v>3535.3999999999996</v>
      </c>
      <c r="I173" s="188">
        <v>2400</v>
      </c>
      <c r="J173" s="188">
        <f>Tableau4[[#This Row],[Surcoût moyens de l''équipement ($)]]+Tableau4[[#This Row],[Surcoût moyen de l''installation ($)]]</f>
        <v>5935.4</v>
      </c>
      <c r="K173" s="188">
        <f>Tableau4[[#This Row],[Surcoût par appareil ($)]]*Tableau4[[#This Row],[Nombres appareils installés]]</f>
        <v>5935.4</v>
      </c>
      <c r="L173" s="188">
        <v>2200</v>
      </c>
      <c r="M173" s="188">
        <f t="shared" si="5"/>
        <v>2200</v>
      </c>
      <c r="N173" s="188">
        <f>Tableau4[[#This Row],[AF 0 ($)]]/Tableau4[[#This Row],[Nombres appareils installés]]</f>
        <v>2200</v>
      </c>
      <c r="O173" s="191">
        <f>(Tableau4[[#This Row],[AF accordée ($)]])/($J$6*D173)</f>
        <v>0.54953289703751806</v>
      </c>
      <c r="P173" s="191">
        <f>Tableau4[[#This Row],[Couverture 0 (%)]]*Tableau4[[#This Row],[Nombres appareils installés]]</f>
        <v>0.54953289703751806</v>
      </c>
      <c r="Q173" s="188">
        <f>($Q$4+$R$4*(Tableau4[[#This Row],[Capacité (BTU)]]/1000))*Tableau4[[#This Row],[Nombres appareils installés]]</f>
        <v>3300</v>
      </c>
      <c r="R173" s="188">
        <f>Tableau4[[#This Row],[AF 1 ($)]]/Tableau4[[#This Row],[Nombres appareils installés]]</f>
        <v>3300</v>
      </c>
      <c r="S173" s="191">
        <f>Tableau4[[#This Row],[AF 1 ($)]]/(J173*D173)</f>
        <v>0.55598611719513436</v>
      </c>
      <c r="T173" s="191">
        <f>Tableau4[[#This Row],[Couverture 1 (%)]]*Tableau4[[#This Row],[Nombres appareils installés]]</f>
        <v>0.55598611719513436</v>
      </c>
      <c r="U173" s="188">
        <f>($U$4+($V$4*(Tableau4[[#This Row],[Capacité (BTU)]]/1000)))*Tableau4[[#This Row],[Nombres appareils installés]]</f>
        <v>3950</v>
      </c>
      <c r="V173" s="188">
        <f>Tableau4[[#This Row],[AF 2 ($)]]/Tableau4[[#This Row],[Nombres appareils installés]]</f>
        <v>3950</v>
      </c>
      <c r="W173" s="192">
        <f>Tableau4[[#This Row],[AF 2 par appareil ($)]]/Tableau4[[#This Row],[Surcoût par appareil ($)]]</f>
        <v>0.66549853421841831</v>
      </c>
      <c r="X173" s="192">
        <f>Tableau4[[#This Row],[Couverture 2 (%)]]*Tableau4[[#This Row],[Nombres appareils installés]]</f>
        <v>0.66549853421841831</v>
      </c>
      <c r="Y173" s="188">
        <f>($Y$4+$Z$4*(Tableau4[[#This Row],[Capacité (BTU)]]/1000))*Tableau4[[#This Row],[Nombres appareils installés]]</f>
        <v>3800</v>
      </c>
      <c r="Z173" s="188">
        <f>Tableau4[[#This Row],[AF 3 ($)]]/Tableau4[[#This Row],[Nombres appareils installés]]</f>
        <v>3800</v>
      </c>
      <c r="AA173" s="193">
        <f>Tableau4[[#This Row],[AF 3 par appareil ($)]]/Tableau4[[#This Row],[Surcoût par appareil ($)]]</f>
        <v>0.64022643798227585</v>
      </c>
      <c r="AB173" s="193">
        <f>Tableau4[[#This Row],[Couverture 3 (%)]]*Tableau4[[#This Row],[Nombres appareils installés]]</f>
        <v>0.64022643798227585</v>
      </c>
      <c r="AC173" s="188">
        <f>($AC$4+$AD$4*(Tableau4[[#This Row],[Capacité (BTU)]]/1000))*Tableau4[[#This Row],[Nombres appareils installés]]</f>
        <v>3240</v>
      </c>
      <c r="AD173" s="188">
        <f>Tableau4[[#This Row],[AF 4 ($)]]/Tableau4[[#This Row],[Nombres appareils installés]]</f>
        <v>3240</v>
      </c>
      <c r="AE173" s="194">
        <f>Tableau4[[#This Row],[Couverture 4 (%)]]*Tableau4[[#This Row],[Nombres appareils installés]]</f>
        <v>0.54587727870067737</v>
      </c>
      <c r="AF173" s="193">
        <f>Tableau4[[#This Row],[AF 4 par appareil  ($)]]/Tableau4[[#This Row],[Surcoût par appareil ($)]]</f>
        <v>0.54587727870067737</v>
      </c>
    </row>
    <row r="174" spans="2:32" x14ac:dyDescent="0.3">
      <c r="B174" s="197" t="s">
        <v>225</v>
      </c>
      <c r="C174" s="188" t="s">
        <v>122</v>
      </c>
      <c r="D174" s="197">
        <v>1</v>
      </c>
      <c r="E174" s="197">
        <v>260000</v>
      </c>
      <c r="F174" s="198">
        <f>Tableau4[[#This Row],[Economies totales (m3)]]/Tableau4[[#This Row],[Nombres appareils installés]]</f>
        <v>1313</v>
      </c>
      <c r="G174" s="197">
        <v>1313</v>
      </c>
      <c r="H174" s="188">
        <f t="shared" si="4"/>
        <v>3535.3999999999996</v>
      </c>
      <c r="I174" s="188">
        <v>2400</v>
      </c>
      <c r="J174" s="188">
        <f>Tableau4[[#This Row],[Surcoût moyens de l''équipement ($)]]+Tableau4[[#This Row],[Surcoût moyen de l''installation ($)]]</f>
        <v>5935.4</v>
      </c>
      <c r="K174" s="188">
        <f>Tableau4[[#This Row],[Surcoût par appareil ($)]]*Tableau4[[#This Row],[Nombres appareils installés]]</f>
        <v>5935.4</v>
      </c>
      <c r="L174" s="197">
        <v>2200</v>
      </c>
      <c r="M174" s="188">
        <f t="shared" si="5"/>
        <v>2200</v>
      </c>
      <c r="N174" s="188">
        <f>Tableau4[[#This Row],[AF 0 ($)]]/Tableau4[[#This Row],[Nombres appareils installés]]</f>
        <v>2200</v>
      </c>
      <c r="O174" s="191">
        <f>(Tableau4[[#This Row],[AF accordée ($)]])/($J$6*D174)</f>
        <v>0.54953289703751806</v>
      </c>
      <c r="P174" s="191">
        <f>Tableau4[[#This Row],[Couverture 0 (%)]]*Tableau4[[#This Row],[Nombres appareils installés]]</f>
        <v>0.54953289703751806</v>
      </c>
      <c r="Q174" s="188">
        <f>($Q$4+$R$4*(Tableau4[[#This Row],[Capacité (BTU)]]/1000))*Tableau4[[#This Row],[Nombres appareils installés]]</f>
        <v>3300</v>
      </c>
      <c r="R174" s="188">
        <f>Tableau4[[#This Row],[AF 1 ($)]]/Tableau4[[#This Row],[Nombres appareils installés]]</f>
        <v>3300</v>
      </c>
      <c r="S174" s="191">
        <f>Tableau4[[#This Row],[AF 1 ($)]]/(J174*D174)</f>
        <v>0.55598611719513436</v>
      </c>
      <c r="T174" s="191">
        <f>Tableau4[[#This Row],[Couverture 1 (%)]]*Tableau4[[#This Row],[Nombres appareils installés]]</f>
        <v>0.55598611719513436</v>
      </c>
      <c r="U174" s="188">
        <f>($U$4+($V$4*(Tableau4[[#This Row],[Capacité (BTU)]]/1000)))*Tableau4[[#This Row],[Nombres appareils installés]]</f>
        <v>3950</v>
      </c>
      <c r="V174" s="188">
        <f>Tableau4[[#This Row],[AF 2 ($)]]/Tableau4[[#This Row],[Nombres appareils installés]]</f>
        <v>3950</v>
      </c>
      <c r="W174" s="192">
        <f>Tableau4[[#This Row],[AF 2 par appareil ($)]]/Tableau4[[#This Row],[Surcoût par appareil ($)]]</f>
        <v>0.66549853421841831</v>
      </c>
      <c r="X174" s="192">
        <f>Tableau4[[#This Row],[Couverture 2 (%)]]*Tableau4[[#This Row],[Nombres appareils installés]]</f>
        <v>0.66549853421841831</v>
      </c>
      <c r="Y174" s="188">
        <f>($Y$4+$Z$4*(Tableau4[[#This Row],[Capacité (BTU)]]/1000))*Tableau4[[#This Row],[Nombres appareils installés]]</f>
        <v>3800</v>
      </c>
      <c r="Z174" s="188">
        <f>Tableau4[[#This Row],[AF 3 ($)]]/Tableau4[[#This Row],[Nombres appareils installés]]</f>
        <v>3800</v>
      </c>
      <c r="AA174" s="193">
        <f>Tableau4[[#This Row],[AF 3 par appareil ($)]]/Tableau4[[#This Row],[Surcoût par appareil ($)]]</f>
        <v>0.64022643798227585</v>
      </c>
      <c r="AB174" s="193">
        <f>Tableau4[[#This Row],[Couverture 3 (%)]]*Tableau4[[#This Row],[Nombres appareils installés]]</f>
        <v>0.64022643798227585</v>
      </c>
      <c r="AC174" s="188">
        <f>($AC$4+$AD$4*(Tableau4[[#This Row],[Capacité (BTU)]]/1000))*Tableau4[[#This Row],[Nombres appareils installés]]</f>
        <v>3240</v>
      </c>
      <c r="AD174" s="188">
        <f>Tableau4[[#This Row],[AF 4 ($)]]/Tableau4[[#This Row],[Nombres appareils installés]]</f>
        <v>3240</v>
      </c>
      <c r="AE174" s="194">
        <f>Tableau4[[#This Row],[Couverture 4 (%)]]*Tableau4[[#This Row],[Nombres appareils installés]]</f>
        <v>0.54587727870067737</v>
      </c>
      <c r="AF174" s="193">
        <f>Tableau4[[#This Row],[AF 4 par appareil  ($)]]/Tableau4[[#This Row],[Surcoût par appareil ($)]]</f>
        <v>0.54587727870067737</v>
      </c>
    </row>
    <row r="175" spans="2:32" x14ac:dyDescent="0.3">
      <c r="B175" s="197" t="s">
        <v>225</v>
      </c>
      <c r="C175" s="188" t="s">
        <v>122</v>
      </c>
      <c r="D175" s="197">
        <v>2</v>
      </c>
      <c r="E175" s="197">
        <v>260000</v>
      </c>
      <c r="F175" s="198">
        <f>Tableau4[[#This Row],[Economies totales (m3)]]/Tableau4[[#This Row],[Nombres appareils installés]]</f>
        <v>1313</v>
      </c>
      <c r="G175" s="197">
        <v>2626</v>
      </c>
      <c r="H175" s="188">
        <f t="shared" si="4"/>
        <v>3535.3999999999996</v>
      </c>
      <c r="I175" s="188">
        <v>2400</v>
      </c>
      <c r="J175" s="188">
        <f>Tableau4[[#This Row],[Surcoût moyens de l''équipement ($)]]+Tableau4[[#This Row],[Surcoût moyen de l''installation ($)]]</f>
        <v>5935.4</v>
      </c>
      <c r="K175" s="188">
        <f>Tableau4[[#This Row],[Surcoût par appareil ($)]]*Tableau4[[#This Row],[Nombres appareils installés]]</f>
        <v>11870.8</v>
      </c>
      <c r="L175" s="197">
        <v>4400</v>
      </c>
      <c r="M175" s="188">
        <f t="shared" si="5"/>
        <v>4400</v>
      </c>
      <c r="N175" s="188">
        <f>Tableau4[[#This Row],[AF 0 ($)]]/Tableau4[[#This Row],[Nombres appareils installés]]</f>
        <v>2200</v>
      </c>
      <c r="O175" s="191">
        <f>(Tableau4[[#This Row],[AF accordée ($)]])/($J$6*D175)</f>
        <v>0.54953289703751806</v>
      </c>
      <c r="P175" s="191">
        <f>Tableau4[[#This Row],[Couverture 0 (%)]]*Tableau4[[#This Row],[Nombres appareils installés]]</f>
        <v>1.0990657940750361</v>
      </c>
      <c r="Q175" s="188">
        <f>($Q$4+$R$4*(Tableau4[[#This Row],[Capacité (BTU)]]/1000))*Tableau4[[#This Row],[Nombres appareils installés]]</f>
        <v>6600</v>
      </c>
      <c r="R175" s="188">
        <f>Tableau4[[#This Row],[AF 1 ($)]]/Tableau4[[#This Row],[Nombres appareils installés]]</f>
        <v>3300</v>
      </c>
      <c r="S175" s="191">
        <f>Tableau4[[#This Row],[AF 1 ($)]]/(J175*D175)</f>
        <v>0.55598611719513436</v>
      </c>
      <c r="T175" s="191">
        <f>Tableau4[[#This Row],[Couverture 1 (%)]]*Tableau4[[#This Row],[Nombres appareils installés]]</f>
        <v>1.1119722343902687</v>
      </c>
      <c r="U175" s="188">
        <f>($U$4+($V$4*(Tableau4[[#This Row],[Capacité (BTU)]]/1000)))*Tableau4[[#This Row],[Nombres appareils installés]]</f>
        <v>7900</v>
      </c>
      <c r="V175" s="188">
        <f>Tableau4[[#This Row],[AF 2 ($)]]/Tableau4[[#This Row],[Nombres appareils installés]]</f>
        <v>3950</v>
      </c>
      <c r="W175" s="192">
        <f>Tableau4[[#This Row],[AF 2 par appareil ($)]]/Tableau4[[#This Row],[Surcoût par appareil ($)]]</f>
        <v>0.66549853421841831</v>
      </c>
      <c r="X175" s="192">
        <f>Tableau4[[#This Row],[Couverture 2 (%)]]*Tableau4[[#This Row],[Nombres appareils installés]]</f>
        <v>1.3309970684368366</v>
      </c>
      <c r="Y175" s="188">
        <f>($Y$4+$Z$4*(Tableau4[[#This Row],[Capacité (BTU)]]/1000))*Tableau4[[#This Row],[Nombres appareils installés]]</f>
        <v>7600</v>
      </c>
      <c r="Z175" s="188">
        <f>Tableau4[[#This Row],[AF 3 ($)]]/Tableau4[[#This Row],[Nombres appareils installés]]</f>
        <v>3800</v>
      </c>
      <c r="AA175" s="193">
        <f>Tableau4[[#This Row],[AF 3 par appareil ($)]]/Tableau4[[#This Row],[Surcoût par appareil ($)]]</f>
        <v>0.64022643798227585</v>
      </c>
      <c r="AB175" s="193">
        <f>Tableau4[[#This Row],[Couverture 3 (%)]]*Tableau4[[#This Row],[Nombres appareils installés]]</f>
        <v>1.2804528759645517</v>
      </c>
      <c r="AC175" s="188">
        <f>($AC$4+$AD$4*(Tableau4[[#This Row],[Capacité (BTU)]]/1000))*Tableau4[[#This Row],[Nombres appareils installés]]</f>
        <v>6480</v>
      </c>
      <c r="AD175" s="188">
        <f>Tableau4[[#This Row],[AF 4 ($)]]/Tableau4[[#This Row],[Nombres appareils installés]]</f>
        <v>3240</v>
      </c>
      <c r="AE175" s="194">
        <f>Tableau4[[#This Row],[Couverture 4 (%)]]*Tableau4[[#This Row],[Nombres appareils installés]]</f>
        <v>1.0917545574013547</v>
      </c>
      <c r="AF175" s="193">
        <f>Tableau4[[#This Row],[AF 4 par appareil  ($)]]/Tableau4[[#This Row],[Surcoût par appareil ($)]]</f>
        <v>0.54587727870067737</v>
      </c>
    </row>
    <row r="176" spans="2:32" x14ac:dyDescent="0.3">
      <c r="B176" s="188" t="s">
        <v>225</v>
      </c>
      <c r="C176" s="188" t="s">
        <v>122</v>
      </c>
      <c r="D176" s="188">
        <v>3</v>
      </c>
      <c r="E176" s="188">
        <v>260000</v>
      </c>
      <c r="F176" s="196">
        <f>Tableau4[[#This Row],[Economies totales (m3)]]/Tableau4[[#This Row],[Nombres appareils installés]]</f>
        <v>1313</v>
      </c>
      <c r="G176" s="188">
        <v>3939</v>
      </c>
      <c r="H176" s="188">
        <f t="shared" si="4"/>
        <v>3535.3999999999996</v>
      </c>
      <c r="I176" s="188">
        <v>2400</v>
      </c>
      <c r="J176" s="188">
        <f>Tableau4[[#This Row],[Surcoût moyens de l''équipement ($)]]+Tableau4[[#This Row],[Surcoût moyen de l''installation ($)]]</f>
        <v>5935.4</v>
      </c>
      <c r="K176" s="188">
        <f>Tableau4[[#This Row],[Surcoût par appareil ($)]]*Tableau4[[#This Row],[Nombres appareils installés]]</f>
        <v>17806.199999999997</v>
      </c>
      <c r="L176" s="188">
        <v>6600</v>
      </c>
      <c r="M176" s="188">
        <f t="shared" si="5"/>
        <v>6600</v>
      </c>
      <c r="N176" s="188">
        <f>Tableau4[[#This Row],[AF 0 ($)]]/Tableau4[[#This Row],[Nombres appareils installés]]</f>
        <v>2200</v>
      </c>
      <c r="O176" s="191">
        <f>(Tableau4[[#This Row],[AF accordée ($)]])/($J$6*D176)</f>
        <v>0.54953289703751806</v>
      </c>
      <c r="P176" s="191">
        <f>Tableau4[[#This Row],[Couverture 0 (%)]]*Tableau4[[#This Row],[Nombres appareils installés]]</f>
        <v>1.6485986911125541</v>
      </c>
      <c r="Q176" s="188">
        <f>($Q$4+$R$4*(Tableau4[[#This Row],[Capacité (BTU)]]/1000))*Tableau4[[#This Row],[Nombres appareils installés]]</f>
        <v>9900</v>
      </c>
      <c r="R176" s="188">
        <f>Tableau4[[#This Row],[AF 1 ($)]]/Tableau4[[#This Row],[Nombres appareils installés]]</f>
        <v>3300</v>
      </c>
      <c r="S176" s="191">
        <f>Tableau4[[#This Row],[AF 1 ($)]]/(J176*D176)</f>
        <v>0.55598611719513436</v>
      </c>
      <c r="T176" s="191">
        <f>Tableau4[[#This Row],[Couverture 1 (%)]]*Tableau4[[#This Row],[Nombres appareils installés]]</f>
        <v>1.6679583515854031</v>
      </c>
      <c r="U176" s="188">
        <f>($U$4+($V$4*(Tableau4[[#This Row],[Capacité (BTU)]]/1000)))*Tableau4[[#This Row],[Nombres appareils installés]]</f>
        <v>11850</v>
      </c>
      <c r="V176" s="188">
        <f>Tableau4[[#This Row],[AF 2 ($)]]/Tableau4[[#This Row],[Nombres appareils installés]]</f>
        <v>3950</v>
      </c>
      <c r="W176" s="192">
        <f>Tableau4[[#This Row],[AF 2 par appareil ($)]]/Tableau4[[#This Row],[Surcoût par appareil ($)]]</f>
        <v>0.66549853421841831</v>
      </c>
      <c r="X176" s="192">
        <f>Tableau4[[#This Row],[Couverture 2 (%)]]*Tableau4[[#This Row],[Nombres appareils installés]]</f>
        <v>1.9964956026552549</v>
      </c>
      <c r="Y176" s="188">
        <f>($Y$4+$Z$4*(Tableau4[[#This Row],[Capacité (BTU)]]/1000))*Tableau4[[#This Row],[Nombres appareils installés]]</f>
        <v>11400</v>
      </c>
      <c r="Z176" s="188">
        <f>Tableau4[[#This Row],[AF 3 ($)]]/Tableau4[[#This Row],[Nombres appareils installés]]</f>
        <v>3800</v>
      </c>
      <c r="AA176" s="193">
        <f>Tableau4[[#This Row],[AF 3 par appareil ($)]]/Tableau4[[#This Row],[Surcoût par appareil ($)]]</f>
        <v>0.64022643798227585</v>
      </c>
      <c r="AB176" s="193">
        <f>Tableau4[[#This Row],[Couverture 3 (%)]]*Tableau4[[#This Row],[Nombres appareils installés]]</f>
        <v>1.9206793139468274</v>
      </c>
      <c r="AC176" s="188">
        <f>($AC$4+$AD$4*(Tableau4[[#This Row],[Capacité (BTU)]]/1000))*Tableau4[[#This Row],[Nombres appareils installés]]</f>
        <v>9720</v>
      </c>
      <c r="AD176" s="188">
        <f>Tableau4[[#This Row],[AF 4 ($)]]/Tableau4[[#This Row],[Nombres appareils installés]]</f>
        <v>3240</v>
      </c>
      <c r="AE176" s="194">
        <f>Tableau4[[#This Row],[Couverture 4 (%)]]*Tableau4[[#This Row],[Nombres appareils installés]]</f>
        <v>1.6376318361020321</v>
      </c>
      <c r="AF176" s="193">
        <f>Tableau4[[#This Row],[AF 4 par appareil  ($)]]/Tableau4[[#This Row],[Surcoût par appareil ($)]]</f>
        <v>0.54587727870067737</v>
      </c>
    </row>
    <row r="177" spans="2:32" x14ac:dyDescent="0.3">
      <c r="B177" s="188" t="s">
        <v>225</v>
      </c>
      <c r="C177" s="188" t="s">
        <v>122</v>
      </c>
      <c r="D177" s="188">
        <v>3</v>
      </c>
      <c r="E177" s="188">
        <v>260000</v>
      </c>
      <c r="F177" s="196">
        <f>Tableau4[[#This Row],[Economies totales (m3)]]/Tableau4[[#This Row],[Nombres appareils installés]]</f>
        <v>1313</v>
      </c>
      <c r="G177" s="188">
        <v>3939</v>
      </c>
      <c r="H177" s="188">
        <f t="shared" si="4"/>
        <v>3535.3999999999996</v>
      </c>
      <c r="I177" s="188">
        <v>2400</v>
      </c>
      <c r="J177" s="188">
        <f>Tableau4[[#This Row],[Surcoût moyens de l''équipement ($)]]+Tableau4[[#This Row],[Surcoût moyen de l''installation ($)]]</f>
        <v>5935.4</v>
      </c>
      <c r="K177" s="188">
        <f>Tableau4[[#This Row],[Surcoût par appareil ($)]]*Tableau4[[#This Row],[Nombres appareils installés]]</f>
        <v>17806.199999999997</v>
      </c>
      <c r="L177" s="188">
        <v>6600</v>
      </c>
      <c r="M177" s="188">
        <f t="shared" si="5"/>
        <v>6600</v>
      </c>
      <c r="N177" s="188">
        <f>Tableau4[[#This Row],[AF 0 ($)]]/Tableau4[[#This Row],[Nombres appareils installés]]</f>
        <v>2200</v>
      </c>
      <c r="O177" s="191">
        <f>(Tableau4[[#This Row],[AF accordée ($)]])/($J$6*D177)</f>
        <v>0.54953289703751806</v>
      </c>
      <c r="P177" s="191">
        <f>Tableau4[[#This Row],[Couverture 0 (%)]]*Tableau4[[#This Row],[Nombres appareils installés]]</f>
        <v>1.6485986911125541</v>
      </c>
      <c r="Q177" s="188">
        <f>($Q$4+$R$4*(Tableau4[[#This Row],[Capacité (BTU)]]/1000))*Tableau4[[#This Row],[Nombres appareils installés]]</f>
        <v>9900</v>
      </c>
      <c r="R177" s="188">
        <f>Tableau4[[#This Row],[AF 1 ($)]]/Tableau4[[#This Row],[Nombres appareils installés]]</f>
        <v>3300</v>
      </c>
      <c r="S177" s="191">
        <f>Tableau4[[#This Row],[AF 1 ($)]]/(J177*D177)</f>
        <v>0.55598611719513436</v>
      </c>
      <c r="T177" s="191">
        <f>Tableau4[[#This Row],[Couverture 1 (%)]]*Tableau4[[#This Row],[Nombres appareils installés]]</f>
        <v>1.6679583515854031</v>
      </c>
      <c r="U177" s="188">
        <f>($U$4+($V$4*(Tableau4[[#This Row],[Capacité (BTU)]]/1000)))*Tableau4[[#This Row],[Nombres appareils installés]]</f>
        <v>11850</v>
      </c>
      <c r="V177" s="188">
        <f>Tableau4[[#This Row],[AF 2 ($)]]/Tableau4[[#This Row],[Nombres appareils installés]]</f>
        <v>3950</v>
      </c>
      <c r="W177" s="192">
        <f>Tableau4[[#This Row],[AF 2 par appareil ($)]]/Tableau4[[#This Row],[Surcoût par appareil ($)]]</f>
        <v>0.66549853421841831</v>
      </c>
      <c r="X177" s="192">
        <f>Tableau4[[#This Row],[Couverture 2 (%)]]*Tableau4[[#This Row],[Nombres appareils installés]]</f>
        <v>1.9964956026552549</v>
      </c>
      <c r="Y177" s="188">
        <f>($Y$4+$Z$4*(Tableau4[[#This Row],[Capacité (BTU)]]/1000))*Tableau4[[#This Row],[Nombres appareils installés]]</f>
        <v>11400</v>
      </c>
      <c r="Z177" s="188">
        <f>Tableau4[[#This Row],[AF 3 ($)]]/Tableau4[[#This Row],[Nombres appareils installés]]</f>
        <v>3800</v>
      </c>
      <c r="AA177" s="193">
        <f>Tableau4[[#This Row],[AF 3 par appareil ($)]]/Tableau4[[#This Row],[Surcoût par appareil ($)]]</f>
        <v>0.64022643798227585</v>
      </c>
      <c r="AB177" s="193">
        <f>Tableau4[[#This Row],[Couverture 3 (%)]]*Tableau4[[#This Row],[Nombres appareils installés]]</f>
        <v>1.9206793139468274</v>
      </c>
      <c r="AC177" s="188">
        <f>($AC$4+$AD$4*(Tableau4[[#This Row],[Capacité (BTU)]]/1000))*Tableau4[[#This Row],[Nombres appareils installés]]</f>
        <v>9720</v>
      </c>
      <c r="AD177" s="188">
        <f>Tableau4[[#This Row],[AF 4 ($)]]/Tableau4[[#This Row],[Nombres appareils installés]]</f>
        <v>3240</v>
      </c>
      <c r="AE177" s="194">
        <f>Tableau4[[#This Row],[Couverture 4 (%)]]*Tableau4[[#This Row],[Nombres appareils installés]]</f>
        <v>1.6376318361020321</v>
      </c>
      <c r="AF177" s="193">
        <f>Tableau4[[#This Row],[AF 4 par appareil  ($)]]/Tableau4[[#This Row],[Surcoût par appareil ($)]]</f>
        <v>0.54587727870067737</v>
      </c>
    </row>
    <row r="178" spans="2:32" x14ac:dyDescent="0.3">
      <c r="B178" s="197" t="s">
        <v>225</v>
      </c>
      <c r="C178" s="188" t="s">
        <v>122</v>
      </c>
      <c r="D178" s="197">
        <v>3</v>
      </c>
      <c r="E178" s="197">
        <v>260000</v>
      </c>
      <c r="F178" s="198">
        <f>Tableau4[[#This Row],[Economies totales (m3)]]/Tableau4[[#This Row],[Nombres appareils installés]]</f>
        <v>1313</v>
      </c>
      <c r="G178" s="197">
        <v>3939</v>
      </c>
      <c r="H178" s="188">
        <f t="shared" si="4"/>
        <v>3535.3999999999996</v>
      </c>
      <c r="I178" s="188">
        <v>2400</v>
      </c>
      <c r="J178" s="188">
        <f>Tableau4[[#This Row],[Surcoût moyens de l''équipement ($)]]+Tableau4[[#This Row],[Surcoût moyen de l''installation ($)]]</f>
        <v>5935.4</v>
      </c>
      <c r="K178" s="188">
        <f>Tableau4[[#This Row],[Surcoût par appareil ($)]]*Tableau4[[#This Row],[Nombres appareils installés]]</f>
        <v>17806.199999999997</v>
      </c>
      <c r="L178" s="197">
        <v>6600</v>
      </c>
      <c r="M178" s="188">
        <f t="shared" si="5"/>
        <v>6600</v>
      </c>
      <c r="N178" s="188">
        <f>Tableau4[[#This Row],[AF 0 ($)]]/Tableau4[[#This Row],[Nombres appareils installés]]</f>
        <v>2200</v>
      </c>
      <c r="O178" s="191">
        <f>(Tableau4[[#This Row],[AF accordée ($)]])/($J$6*D178)</f>
        <v>0.54953289703751806</v>
      </c>
      <c r="P178" s="191">
        <f>Tableau4[[#This Row],[Couverture 0 (%)]]*Tableau4[[#This Row],[Nombres appareils installés]]</f>
        <v>1.6485986911125541</v>
      </c>
      <c r="Q178" s="188">
        <f>($Q$4+$R$4*(Tableau4[[#This Row],[Capacité (BTU)]]/1000))*Tableau4[[#This Row],[Nombres appareils installés]]</f>
        <v>9900</v>
      </c>
      <c r="R178" s="188">
        <f>Tableau4[[#This Row],[AF 1 ($)]]/Tableau4[[#This Row],[Nombres appareils installés]]</f>
        <v>3300</v>
      </c>
      <c r="S178" s="191">
        <f>Tableau4[[#This Row],[AF 1 ($)]]/(J178*D178)</f>
        <v>0.55598611719513436</v>
      </c>
      <c r="T178" s="191">
        <f>Tableau4[[#This Row],[Couverture 1 (%)]]*Tableau4[[#This Row],[Nombres appareils installés]]</f>
        <v>1.6679583515854031</v>
      </c>
      <c r="U178" s="188">
        <f>($U$4+($V$4*(Tableau4[[#This Row],[Capacité (BTU)]]/1000)))*Tableau4[[#This Row],[Nombres appareils installés]]</f>
        <v>11850</v>
      </c>
      <c r="V178" s="188">
        <f>Tableau4[[#This Row],[AF 2 ($)]]/Tableau4[[#This Row],[Nombres appareils installés]]</f>
        <v>3950</v>
      </c>
      <c r="W178" s="192">
        <f>Tableau4[[#This Row],[AF 2 par appareil ($)]]/Tableau4[[#This Row],[Surcoût par appareil ($)]]</f>
        <v>0.66549853421841831</v>
      </c>
      <c r="X178" s="192">
        <f>Tableau4[[#This Row],[Couverture 2 (%)]]*Tableau4[[#This Row],[Nombres appareils installés]]</f>
        <v>1.9964956026552549</v>
      </c>
      <c r="Y178" s="188">
        <f>($Y$4+$Z$4*(Tableau4[[#This Row],[Capacité (BTU)]]/1000))*Tableau4[[#This Row],[Nombres appareils installés]]</f>
        <v>11400</v>
      </c>
      <c r="Z178" s="188">
        <f>Tableau4[[#This Row],[AF 3 ($)]]/Tableau4[[#This Row],[Nombres appareils installés]]</f>
        <v>3800</v>
      </c>
      <c r="AA178" s="193">
        <f>Tableau4[[#This Row],[AF 3 par appareil ($)]]/Tableau4[[#This Row],[Surcoût par appareil ($)]]</f>
        <v>0.64022643798227585</v>
      </c>
      <c r="AB178" s="193">
        <f>Tableau4[[#This Row],[Couverture 3 (%)]]*Tableau4[[#This Row],[Nombres appareils installés]]</f>
        <v>1.9206793139468274</v>
      </c>
      <c r="AC178" s="188">
        <f>($AC$4+$AD$4*(Tableau4[[#This Row],[Capacité (BTU)]]/1000))*Tableau4[[#This Row],[Nombres appareils installés]]</f>
        <v>9720</v>
      </c>
      <c r="AD178" s="188">
        <f>Tableau4[[#This Row],[AF 4 ($)]]/Tableau4[[#This Row],[Nombres appareils installés]]</f>
        <v>3240</v>
      </c>
      <c r="AE178" s="194">
        <f>Tableau4[[#This Row],[Couverture 4 (%)]]*Tableau4[[#This Row],[Nombres appareils installés]]</f>
        <v>1.6376318361020321</v>
      </c>
      <c r="AF178" s="193">
        <f>Tableau4[[#This Row],[AF 4 par appareil  ($)]]/Tableau4[[#This Row],[Surcoût par appareil ($)]]</f>
        <v>0.54587727870067737</v>
      </c>
    </row>
    <row r="179" spans="2:32" x14ac:dyDescent="0.3">
      <c r="B179" s="188" t="s">
        <v>225</v>
      </c>
      <c r="C179" s="188" t="s">
        <v>122</v>
      </c>
      <c r="D179" s="188">
        <v>3</v>
      </c>
      <c r="E179" s="188">
        <v>260000</v>
      </c>
      <c r="F179" s="196">
        <f>Tableau4[[#This Row],[Economies totales (m3)]]/Tableau4[[#This Row],[Nombres appareils installés]]</f>
        <v>1313</v>
      </c>
      <c r="G179" s="188">
        <v>3939</v>
      </c>
      <c r="H179" s="188">
        <f t="shared" si="4"/>
        <v>3535.3999999999996</v>
      </c>
      <c r="I179" s="188">
        <v>2400</v>
      </c>
      <c r="J179" s="188">
        <f>Tableau4[[#This Row],[Surcoût moyens de l''équipement ($)]]+Tableau4[[#This Row],[Surcoût moyen de l''installation ($)]]</f>
        <v>5935.4</v>
      </c>
      <c r="K179" s="188">
        <f>Tableau4[[#This Row],[Surcoût par appareil ($)]]*Tableau4[[#This Row],[Nombres appareils installés]]</f>
        <v>17806.199999999997</v>
      </c>
      <c r="L179" s="188">
        <v>6600</v>
      </c>
      <c r="M179" s="188">
        <f t="shared" si="5"/>
        <v>6600</v>
      </c>
      <c r="N179" s="188">
        <f>Tableau4[[#This Row],[AF 0 ($)]]/Tableau4[[#This Row],[Nombres appareils installés]]</f>
        <v>2200</v>
      </c>
      <c r="O179" s="191">
        <f>(Tableau4[[#This Row],[AF accordée ($)]])/($J$6*D179)</f>
        <v>0.54953289703751806</v>
      </c>
      <c r="P179" s="191">
        <f>Tableau4[[#This Row],[Couverture 0 (%)]]*Tableau4[[#This Row],[Nombres appareils installés]]</f>
        <v>1.6485986911125541</v>
      </c>
      <c r="Q179" s="188">
        <f>($Q$4+$R$4*(Tableau4[[#This Row],[Capacité (BTU)]]/1000))*Tableau4[[#This Row],[Nombres appareils installés]]</f>
        <v>9900</v>
      </c>
      <c r="R179" s="188">
        <f>Tableau4[[#This Row],[AF 1 ($)]]/Tableau4[[#This Row],[Nombres appareils installés]]</f>
        <v>3300</v>
      </c>
      <c r="S179" s="191">
        <f>Tableau4[[#This Row],[AF 1 ($)]]/(J179*D179)</f>
        <v>0.55598611719513436</v>
      </c>
      <c r="T179" s="191">
        <f>Tableau4[[#This Row],[Couverture 1 (%)]]*Tableau4[[#This Row],[Nombres appareils installés]]</f>
        <v>1.6679583515854031</v>
      </c>
      <c r="U179" s="188">
        <f>($U$4+($V$4*(Tableau4[[#This Row],[Capacité (BTU)]]/1000)))*Tableau4[[#This Row],[Nombres appareils installés]]</f>
        <v>11850</v>
      </c>
      <c r="V179" s="188">
        <f>Tableau4[[#This Row],[AF 2 ($)]]/Tableau4[[#This Row],[Nombres appareils installés]]</f>
        <v>3950</v>
      </c>
      <c r="W179" s="192">
        <f>Tableau4[[#This Row],[AF 2 par appareil ($)]]/Tableau4[[#This Row],[Surcoût par appareil ($)]]</f>
        <v>0.66549853421841831</v>
      </c>
      <c r="X179" s="192">
        <f>Tableau4[[#This Row],[Couverture 2 (%)]]*Tableau4[[#This Row],[Nombres appareils installés]]</f>
        <v>1.9964956026552549</v>
      </c>
      <c r="Y179" s="188">
        <f>($Y$4+$Z$4*(Tableau4[[#This Row],[Capacité (BTU)]]/1000))*Tableau4[[#This Row],[Nombres appareils installés]]</f>
        <v>11400</v>
      </c>
      <c r="Z179" s="188">
        <f>Tableau4[[#This Row],[AF 3 ($)]]/Tableau4[[#This Row],[Nombres appareils installés]]</f>
        <v>3800</v>
      </c>
      <c r="AA179" s="193">
        <f>Tableau4[[#This Row],[AF 3 par appareil ($)]]/Tableau4[[#This Row],[Surcoût par appareil ($)]]</f>
        <v>0.64022643798227585</v>
      </c>
      <c r="AB179" s="193">
        <f>Tableau4[[#This Row],[Couverture 3 (%)]]*Tableau4[[#This Row],[Nombres appareils installés]]</f>
        <v>1.9206793139468274</v>
      </c>
      <c r="AC179" s="188">
        <f>($AC$4+$AD$4*(Tableau4[[#This Row],[Capacité (BTU)]]/1000))*Tableau4[[#This Row],[Nombres appareils installés]]</f>
        <v>9720</v>
      </c>
      <c r="AD179" s="188">
        <f>Tableau4[[#This Row],[AF 4 ($)]]/Tableau4[[#This Row],[Nombres appareils installés]]</f>
        <v>3240</v>
      </c>
      <c r="AE179" s="194">
        <f>Tableau4[[#This Row],[Couverture 4 (%)]]*Tableau4[[#This Row],[Nombres appareils installés]]</f>
        <v>1.6376318361020321</v>
      </c>
      <c r="AF179" s="193">
        <f>Tableau4[[#This Row],[AF 4 par appareil  ($)]]/Tableau4[[#This Row],[Surcoût par appareil ($)]]</f>
        <v>0.54587727870067737</v>
      </c>
    </row>
    <row r="180" spans="2:32" x14ac:dyDescent="0.3">
      <c r="B180" s="197" t="s">
        <v>225</v>
      </c>
      <c r="C180" s="188" t="s">
        <v>122</v>
      </c>
      <c r="D180" s="197">
        <v>4</v>
      </c>
      <c r="E180" s="197">
        <v>260000</v>
      </c>
      <c r="F180" s="198">
        <f>Tableau4[[#This Row],[Economies totales (m3)]]/Tableau4[[#This Row],[Nombres appareils installés]]</f>
        <v>1313</v>
      </c>
      <c r="G180" s="197">
        <v>5252</v>
      </c>
      <c r="H180" s="188">
        <f t="shared" si="4"/>
        <v>3535.3999999999996</v>
      </c>
      <c r="I180" s="188">
        <v>2400</v>
      </c>
      <c r="J180" s="188">
        <f>Tableau4[[#This Row],[Surcoût moyens de l''équipement ($)]]+Tableau4[[#This Row],[Surcoût moyen de l''installation ($)]]</f>
        <v>5935.4</v>
      </c>
      <c r="K180" s="188">
        <f>Tableau4[[#This Row],[Surcoût par appareil ($)]]*Tableau4[[#This Row],[Nombres appareils installés]]</f>
        <v>23741.599999999999</v>
      </c>
      <c r="L180" s="197">
        <v>8800</v>
      </c>
      <c r="M180" s="188">
        <f t="shared" si="5"/>
        <v>8800</v>
      </c>
      <c r="N180" s="188">
        <f>Tableau4[[#This Row],[AF 0 ($)]]/Tableau4[[#This Row],[Nombres appareils installés]]</f>
        <v>2200</v>
      </c>
      <c r="O180" s="191">
        <f>(Tableau4[[#This Row],[AF accordée ($)]])/($J$6*D180)</f>
        <v>0.54953289703751806</v>
      </c>
      <c r="P180" s="191">
        <f>Tableau4[[#This Row],[Couverture 0 (%)]]*Tableau4[[#This Row],[Nombres appareils installés]]</f>
        <v>2.1981315881500723</v>
      </c>
      <c r="Q180" s="188">
        <f>($Q$4+$R$4*(Tableau4[[#This Row],[Capacité (BTU)]]/1000))*Tableau4[[#This Row],[Nombres appareils installés]]</f>
        <v>13200</v>
      </c>
      <c r="R180" s="188">
        <f>Tableau4[[#This Row],[AF 1 ($)]]/Tableau4[[#This Row],[Nombres appareils installés]]</f>
        <v>3300</v>
      </c>
      <c r="S180" s="191">
        <f>Tableau4[[#This Row],[AF 1 ($)]]/(J180*D180)</f>
        <v>0.55598611719513436</v>
      </c>
      <c r="T180" s="191">
        <f>Tableau4[[#This Row],[Couverture 1 (%)]]*Tableau4[[#This Row],[Nombres appareils installés]]</f>
        <v>2.2239444687805374</v>
      </c>
      <c r="U180" s="188">
        <f>($U$4+($V$4*(Tableau4[[#This Row],[Capacité (BTU)]]/1000)))*Tableau4[[#This Row],[Nombres appareils installés]]</f>
        <v>15800</v>
      </c>
      <c r="V180" s="188">
        <f>Tableau4[[#This Row],[AF 2 ($)]]/Tableau4[[#This Row],[Nombres appareils installés]]</f>
        <v>3950</v>
      </c>
      <c r="W180" s="192">
        <f>Tableau4[[#This Row],[AF 2 par appareil ($)]]/Tableau4[[#This Row],[Surcoût par appareil ($)]]</f>
        <v>0.66549853421841831</v>
      </c>
      <c r="X180" s="192">
        <f>Tableau4[[#This Row],[Couverture 2 (%)]]*Tableau4[[#This Row],[Nombres appareils installés]]</f>
        <v>2.6619941368736733</v>
      </c>
      <c r="Y180" s="188">
        <f>($Y$4+$Z$4*(Tableau4[[#This Row],[Capacité (BTU)]]/1000))*Tableau4[[#This Row],[Nombres appareils installés]]</f>
        <v>15200</v>
      </c>
      <c r="Z180" s="188">
        <f>Tableau4[[#This Row],[AF 3 ($)]]/Tableau4[[#This Row],[Nombres appareils installés]]</f>
        <v>3800</v>
      </c>
      <c r="AA180" s="193">
        <f>Tableau4[[#This Row],[AF 3 par appareil ($)]]/Tableau4[[#This Row],[Surcoût par appareil ($)]]</f>
        <v>0.64022643798227585</v>
      </c>
      <c r="AB180" s="193">
        <f>Tableau4[[#This Row],[Couverture 3 (%)]]*Tableau4[[#This Row],[Nombres appareils installés]]</f>
        <v>2.5609057519291034</v>
      </c>
      <c r="AC180" s="188">
        <f>($AC$4+$AD$4*(Tableau4[[#This Row],[Capacité (BTU)]]/1000))*Tableau4[[#This Row],[Nombres appareils installés]]</f>
        <v>12960</v>
      </c>
      <c r="AD180" s="188">
        <f>Tableau4[[#This Row],[AF 4 ($)]]/Tableau4[[#This Row],[Nombres appareils installés]]</f>
        <v>3240</v>
      </c>
      <c r="AE180" s="194">
        <f>Tableau4[[#This Row],[Couverture 4 (%)]]*Tableau4[[#This Row],[Nombres appareils installés]]</f>
        <v>2.1835091148027095</v>
      </c>
      <c r="AF180" s="193">
        <f>Tableau4[[#This Row],[AF 4 par appareil  ($)]]/Tableau4[[#This Row],[Surcoût par appareil ($)]]</f>
        <v>0.54587727870067737</v>
      </c>
    </row>
    <row r="181" spans="2:32" x14ac:dyDescent="0.3">
      <c r="B181" s="188" t="s">
        <v>225</v>
      </c>
      <c r="C181" s="188" t="s">
        <v>122</v>
      </c>
      <c r="D181" s="188">
        <v>5</v>
      </c>
      <c r="E181" s="188">
        <v>260000</v>
      </c>
      <c r="F181" s="196">
        <f>Tableau4[[#This Row],[Economies totales (m3)]]/Tableau4[[#This Row],[Nombres appareils installés]]</f>
        <v>1313</v>
      </c>
      <c r="G181" s="188">
        <v>6565</v>
      </c>
      <c r="H181" s="188">
        <f t="shared" si="4"/>
        <v>3535.3999999999996</v>
      </c>
      <c r="I181" s="188">
        <v>2400</v>
      </c>
      <c r="J181" s="188">
        <f>Tableau4[[#This Row],[Surcoût moyens de l''équipement ($)]]+Tableau4[[#This Row],[Surcoût moyen de l''installation ($)]]</f>
        <v>5935.4</v>
      </c>
      <c r="K181" s="188">
        <f>Tableau4[[#This Row],[Surcoût par appareil ($)]]*Tableau4[[#This Row],[Nombres appareils installés]]</f>
        <v>29677</v>
      </c>
      <c r="L181" s="188">
        <v>11000</v>
      </c>
      <c r="M181" s="188">
        <f t="shared" si="5"/>
        <v>11000</v>
      </c>
      <c r="N181" s="188">
        <f>Tableau4[[#This Row],[AF 0 ($)]]/Tableau4[[#This Row],[Nombres appareils installés]]</f>
        <v>2200</v>
      </c>
      <c r="O181" s="191">
        <f>(Tableau4[[#This Row],[AF accordée ($)]])/($J$6*D181)</f>
        <v>0.54953289703751806</v>
      </c>
      <c r="P181" s="191">
        <f>Tableau4[[#This Row],[Couverture 0 (%)]]*Tableau4[[#This Row],[Nombres appareils installés]]</f>
        <v>2.7476644851875904</v>
      </c>
      <c r="Q181" s="188">
        <f>($Q$4+$R$4*(Tableau4[[#This Row],[Capacité (BTU)]]/1000))*Tableau4[[#This Row],[Nombres appareils installés]]</f>
        <v>16500</v>
      </c>
      <c r="R181" s="188">
        <f>Tableau4[[#This Row],[AF 1 ($)]]/Tableau4[[#This Row],[Nombres appareils installés]]</f>
        <v>3300</v>
      </c>
      <c r="S181" s="191">
        <f>Tableau4[[#This Row],[AF 1 ($)]]/(J181*D181)</f>
        <v>0.55598611719513424</v>
      </c>
      <c r="T181" s="191">
        <f>Tableau4[[#This Row],[Couverture 1 (%)]]*Tableau4[[#This Row],[Nombres appareils installés]]</f>
        <v>2.7799305859756713</v>
      </c>
      <c r="U181" s="188">
        <f>($U$4+($V$4*(Tableau4[[#This Row],[Capacité (BTU)]]/1000)))*Tableau4[[#This Row],[Nombres appareils installés]]</f>
        <v>19750</v>
      </c>
      <c r="V181" s="188">
        <f>Tableau4[[#This Row],[AF 2 ($)]]/Tableau4[[#This Row],[Nombres appareils installés]]</f>
        <v>3950</v>
      </c>
      <c r="W181" s="192">
        <f>Tableau4[[#This Row],[AF 2 par appareil ($)]]/Tableau4[[#This Row],[Surcoût par appareil ($)]]</f>
        <v>0.66549853421841831</v>
      </c>
      <c r="X181" s="192">
        <f>Tableau4[[#This Row],[Couverture 2 (%)]]*Tableau4[[#This Row],[Nombres appareils installés]]</f>
        <v>3.3274926710920916</v>
      </c>
      <c r="Y181" s="188">
        <f>($Y$4+$Z$4*(Tableau4[[#This Row],[Capacité (BTU)]]/1000))*Tableau4[[#This Row],[Nombres appareils installés]]</f>
        <v>19000</v>
      </c>
      <c r="Z181" s="188">
        <f>Tableau4[[#This Row],[AF 3 ($)]]/Tableau4[[#This Row],[Nombres appareils installés]]</f>
        <v>3800</v>
      </c>
      <c r="AA181" s="193">
        <f>Tableau4[[#This Row],[AF 3 par appareil ($)]]/Tableau4[[#This Row],[Surcoût par appareil ($)]]</f>
        <v>0.64022643798227585</v>
      </c>
      <c r="AB181" s="193">
        <f>Tableau4[[#This Row],[Couverture 3 (%)]]*Tableau4[[#This Row],[Nombres appareils installés]]</f>
        <v>3.2011321899113794</v>
      </c>
      <c r="AC181" s="188">
        <f>($AC$4+$AD$4*(Tableau4[[#This Row],[Capacité (BTU)]]/1000))*Tableau4[[#This Row],[Nombres appareils installés]]</f>
        <v>16200</v>
      </c>
      <c r="AD181" s="188">
        <f>Tableau4[[#This Row],[AF 4 ($)]]/Tableau4[[#This Row],[Nombres appareils installés]]</f>
        <v>3240</v>
      </c>
      <c r="AE181" s="194">
        <f>Tableau4[[#This Row],[Couverture 4 (%)]]*Tableau4[[#This Row],[Nombres appareils installés]]</f>
        <v>2.7293863935033871</v>
      </c>
      <c r="AF181" s="193">
        <f>Tableau4[[#This Row],[AF 4 par appareil  ($)]]/Tableau4[[#This Row],[Surcoût par appareil ($)]]</f>
        <v>0.54587727870067737</v>
      </c>
    </row>
    <row r="182" spans="2:32" x14ac:dyDescent="0.3">
      <c r="B182" s="188" t="s">
        <v>225</v>
      </c>
      <c r="C182" s="188" t="s">
        <v>122</v>
      </c>
      <c r="D182" s="188">
        <v>1</v>
      </c>
      <c r="E182" s="188">
        <v>310000</v>
      </c>
      <c r="F182" s="196">
        <f>Tableau4[[#This Row],[Economies totales (m3)]]/Tableau4[[#This Row],[Nombres appareils installés]]</f>
        <v>1565.5</v>
      </c>
      <c r="G182" s="188">
        <v>1565.5</v>
      </c>
      <c r="H182" s="188">
        <f t="shared" si="4"/>
        <v>4385.3999999999996</v>
      </c>
      <c r="I182" s="188">
        <v>2400</v>
      </c>
      <c r="J182" s="188">
        <f>Tableau4[[#This Row],[Surcoût moyens de l''équipement ($)]]+Tableau4[[#This Row],[Surcoût moyen de l''installation ($)]]</f>
        <v>6785.4</v>
      </c>
      <c r="K182" s="188">
        <f>Tableau4[[#This Row],[Surcoût par appareil ($)]]*Tableau4[[#This Row],[Nombres appareils installés]]</f>
        <v>6785.4</v>
      </c>
      <c r="L182" s="188">
        <v>2450</v>
      </c>
      <c r="M182" s="188">
        <f t="shared" si="5"/>
        <v>2450</v>
      </c>
      <c r="N182" s="188">
        <f>Tableau4[[#This Row],[AF 0 ($)]]/Tableau4[[#This Row],[Nombres appareils installés]]</f>
        <v>2450</v>
      </c>
      <c r="O182" s="191">
        <f>(Tableau4[[#This Row],[AF accordée ($)]])/($J$6*D182)</f>
        <v>0.61197981715541783</v>
      </c>
      <c r="P182" s="191">
        <f>Tableau4[[#This Row],[Couverture 0 (%)]]*Tableau4[[#This Row],[Nombres appareils installés]]</f>
        <v>0.61197981715541783</v>
      </c>
      <c r="Q182" s="188">
        <f>($Q$4+$R$4*(Tableau4[[#This Row],[Capacité (BTU)]]/1000))*Tableau4[[#This Row],[Nombres appareils installés]]</f>
        <v>3550</v>
      </c>
      <c r="R182" s="188">
        <f>Tableau4[[#This Row],[AF 1 ($)]]/Tableau4[[#This Row],[Nombres appareils installés]]</f>
        <v>3550</v>
      </c>
      <c r="S182" s="191">
        <f>Tableau4[[#This Row],[AF 1 ($)]]/(J182*D182)</f>
        <v>0.52318212633006167</v>
      </c>
      <c r="T182" s="191">
        <f>Tableau4[[#This Row],[Couverture 1 (%)]]*Tableau4[[#This Row],[Nombres appareils installés]]</f>
        <v>0.52318212633006167</v>
      </c>
      <c r="U182" s="188">
        <f>($U$4+($V$4*(Tableau4[[#This Row],[Capacité (BTU)]]/1000)))*Tableau4[[#This Row],[Nombres appareils installés]]</f>
        <v>4325</v>
      </c>
      <c r="V182" s="188">
        <f>Tableau4[[#This Row],[AF 2 ($)]]/Tableau4[[#This Row],[Nombres appareils installés]]</f>
        <v>4325</v>
      </c>
      <c r="W182" s="192">
        <f>Tableau4[[#This Row],[AF 2 par appareil ($)]]/Tableau4[[#This Row],[Surcoût par appareil ($)]]</f>
        <v>0.63739794264155392</v>
      </c>
      <c r="X182" s="192">
        <f>Tableau4[[#This Row],[Couverture 2 (%)]]*Tableau4[[#This Row],[Nombres appareils installés]]</f>
        <v>0.63739794264155392</v>
      </c>
      <c r="Y182" s="188">
        <f>($Y$4+$Z$4*(Tableau4[[#This Row],[Capacité (BTU)]]/1000))*Tableau4[[#This Row],[Nombres appareils installés]]</f>
        <v>4050</v>
      </c>
      <c r="Z182" s="188">
        <f>Tableau4[[#This Row],[AF 3 ($)]]/Tableau4[[#This Row],[Nombres appareils installés]]</f>
        <v>4050</v>
      </c>
      <c r="AA182" s="193">
        <f>Tableau4[[#This Row],[AF 3 par appareil ($)]]/Tableau4[[#This Row],[Surcoût par appareil ($)]]</f>
        <v>0.59686974975683083</v>
      </c>
      <c r="AB182" s="193">
        <f>Tableau4[[#This Row],[Couverture 3 (%)]]*Tableau4[[#This Row],[Nombres appareils installés]]</f>
        <v>0.59686974975683083</v>
      </c>
      <c r="AC182" s="188">
        <f>($AC$4+$AD$4*(Tableau4[[#This Row],[Capacité (BTU)]]/1000))*Tableau4[[#This Row],[Nombres appareils installés]]</f>
        <v>3440</v>
      </c>
      <c r="AD182" s="188">
        <f>Tableau4[[#This Row],[AF 4 ($)]]/Tableau4[[#This Row],[Nombres appareils installés]]</f>
        <v>3440</v>
      </c>
      <c r="AE182" s="194">
        <f>Tableau4[[#This Row],[Couverture 4 (%)]]*Tableau4[[#This Row],[Nombres appareils installés]]</f>
        <v>0.50697084917617241</v>
      </c>
      <c r="AF182" s="193">
        <f>Tableau4[[#This Row],[AF 4 par appareil  ($)]]/Tableau4[[#This Row],[Surcoût par appareil ($)]]</f>
        <v>0.50697084917617241</v>
      </c>
    </row>
    <row r="183" spans="2:32" x14ac:dyDescent="0.3">
      <c r="B183" s="197" t="s">
        <v>225</v>
      </c>
      <c r="C183" s="188" t="s">
        <v>122</v>
      </c>
      <c r="D183" s="197">
        <v>1</v>
      </c>
      <c r="E183" s="197">
        <v>310000</v>
      </c>
      <c r="F183" s="198">
        <f>Tableau4[[#This Row],[Economies totales (m3)]]/Tableau4[[#This Row],[Nombres appareils installés]]</f>
        <v>1565.5</v>
      </c>
      <c r="G183" s="197">
        <v>1565.5</v>
      </c>
      <c r="H183" s="188">
        <f t="shared" si="4"/>
        <v>4385.3999999999996</v>
      </c>
      <c r="I183" s="188">
        <v>2400</v>
      </c>
      <c r="J183" s="188">
        <f>Tableau4[[#This Row],[Surcoût moyens de l''équipement ($)]]+Tableau4[[#This Row],[Surcoût moyen de l''installation ($)]]</f>
        <v>6785.4</v>
      </c>
      <c r="K183" s="188">
        <f>Tableau4[[#This Row],[Surcoût par appareil ($)]]*Tableau4[[#This Row],[Nombres appareils installés]]</f>
        <v>6785.4</v>
      </c>
      <c r="L183" s="197">
        <v>2450</v>
      </c>
      <c r="M183" s="188">
        <f t="shared" si="5"/>
        <v>2450</v>
      </c>
      <c r="N183" s="188">
        <f>Tableau4[[#This Row],[AF 0 ($)]]/Tableau4[[#This Row],[Nombres appareils installés]]</f>
        <v>2450</v>
      </c>
      <c r="O183" s="191">
        <f>(Tableau4[[#This Row],[AF accordée ($)]])/($J$6*D183)</f>
        <v>0.61197981715541783</v>
      </c>
      <c r="P183" s="191">
        <f>Tableau4[[#This Row],[Couverture 0 (%)]]*Tableau4[[#This Row],[Nombres appareils installés]]</f>
        <v>0.61197981715541783</v>
      </c>
      <c r="Q183" s="188">
        <f>($Q$4+$R$4*(Tableau4[[#This Row],[Capacité (BTU)]]/1000))*Tableau4[[#This Row],[Nombres appareils installés]]</f>
        <v>3550</v>
      </c>
      <c r="R183" s="188">
        <f>Tableau4[[#This Row],[AF 1 ($)]]/Tableau4[[#This Row],[Nombres appareils installés]]</f>
        <v>3550</v>
      </c>
      <c r="S183" s="191">
        <f>Tableau4[[#This Row],[AF 1 ($)]]/(J183*D183)</f>
        <v>0.52318212633006167</v>
      </c>
      <c r="T183" s="191">
        <f>Tableau4[[#This Row],[Couverture 1 (%)]]*Tableau4[[#This Row],[Nombres appareils installés]]</f>
        <v>0.52318212633006167</v>
      </c>
      <c r="U183" s="188">
        <f>($U$4+($V$4*(Tableau4[[#This Row],[Capacité (BTU)]]/1000)))*Tableau4[[#This Row],[Nombres appareils installés]]</f>
        <v>4325</v>
      </c>
      <c r="V183" s="188">
        <f>Tableau4[[#This Row],[AF 2 ($)]]/Tableau4[[#This Row],[Nombres appareils installés]]</f>
        <v>4325</v>
      </c>
      <c r="W183" s="192">
        <f>Tableau4[[#This Row],[AF 2 par appareil ($)]]/Tableau4[[#This Row],[Surcoût par appareil ($)]]</f>
        <v>0.63739794264155392</v>
      </c>
      <c r="X183" s="192">
        <f>Tableau4[[#This Row],[Couverture 2 (%)]]*Tableau4[[#This Row],[Nombres appareils installés]]</f>
        <v>0.63739794264155392</v>
      </c>
      <c r="Y183" s="188">
        <f>($Y$4+$Z$4*(Tableau4[[#This Row],[Capacité (BTU)]]/1000))*Tableau4[[#This Row],[Nombres appareils installés]]</f>
        <v>4050</v>
      </c>
      <c r="Z183" s="188">
        <f>Tableau4[[#This Row],[AF 3 ($)]]/Tableau4[[#This Row],[Nombres appareils installés]]</f>
        <v>4050</v>
      </c>
      <c r="AA183" s="193">
        <f>Tableau4[[#This Row],[AF 3 par appareil ($)]]/Tableau4[[#This Row],[Surcoût par appareil ($)]]</f>
        <v>0.59686974975683083</v>
      </c>
      <c r="AB183" s="193">
        <f>Tableau4[[#This Row],[Couverture 3 (%)]]*Tableau4[[#This Row],[Nombres appareils installés]]</f>
        <v>0.59686974975683083</v>
      </c>
      <c r="AC183" s="188">
        <f>($AC$4+$AD$4*(Tableau4[[#This Row],[Capacité (BTU)]]/1000))*Tableau4[[#This Row],[Nombres appareils installés]]</f>
        <v>3440</v>
      </c>
      <c r="AD183" s="188">
        <f>Tableau4[[#This Row],[AF 4 ($)]]/Tableau4[[#This Row],[Nombres appareils installés]]</f>
        <v>3440</v>
      </c>
      <c r="AE183" s="194">
        <f>Tableau4[[#This Row],[Couverture 4 (%)]]*Tableau4[[#This Row],[Nombres appareils installés]]</f>
        <v>0.50697084917617241</v>
      </c>
      <c r="AF183" s="193">
        <f>Tableau4[[#This Row],[AF 4 par appareil  ($)]]/Tableau4[[#This Row],[Surcoût par appareil ($)]]</f>
        <v>0.50697084917617241</v>
      </c>
    </row>
    <row r="184" spans="2:32" x14ac:dyDescent="0.3">
      <c r="B184" s="188" t="s">
        <v>225</v>
      </c>
      <c r="C184" s="188" t="s">
        <v>122</v>
      </c>
      <c r="D184" s="188">
        <v>1</v>
      </c>
      <c r="E184" s="188">
        <v>310000</v>
      </c>
      <c r="F184" s="196">
        <f>Tableau4[[#This Row],[Economies totales (m3)]]/Tableau4[[#This Row],[Nombres appareils installés]]</f>
        <v>1565.5</v>
      </c>
      <c r="G184" s="188">
        <v>1565.5</v>
      </c>
      <c r="H184" s="188">
        <f t="shared" si="4"/>
        <v>4385.3999999999996</v>
      </c>
      <c r="I184" s="188">
        <v>2400</v>
      </c>
      <c r="J184" s="188">
        <f>Tableau4[[#This Row],[Surcoût moyens de l''équipement ($)]]+Tableau4[[#This Row],[Surcoût moyen de l''installation ($)]]</f>
        <v>6785.4</v>
      </c>
      <c r="K184" s="188">
        <f>Tableau4[[#This Row],[Surcoût par appareil ($)]]*Tableau4[[#This Row],[Nombres appareils installés]]</f>
        <v>6785.4</v>
      </c>
      <c r="L184" s="188">
        <v>2450</v>
      </c>
      <c r="M184" s="188">
        <f t="shared" si="5"/>
        <v>2450</v>
      </c>
      <c r="N184" s="188">
        <f>Tableau4[[#This Row],[AF 0 ($)]]/Tableau4[[#This Row],[Nombres appareils installés]]</f>
        <v>2450</v>
      </c>
      <c r="O184" s="191">
        <f>(Tableau4[[#This Row],[AF accordée ($)]])/($J$6*D184)</f>
        <v>0.61197981715541783</v>
      </c>
      <c r="P184" s="191">
        <f>Tableau4[[#This Row],[Couverture 0 (%)]]*Tableau4[[#This Row],[Nombres appareils installés]]</f>
        <v>0.61197981715541783</v>
      </c>
      <c r="Q184" s="188">
        <f>($Q$4+$R$4*(Tableau4[[#This Row],[Capacité (BTU)]]/1000))*Tableau4[[#This Row],[Nombres appareils installés]]</f>
        <v>3550</v>
      </c>
      <c r="R184" s="188">
        <f>Tableau4[[#This Row],[AF 1 ($)]]/Tableau4[[#This Row],[Nombres appareils installés]]</f>
        <v>3550</v>
      </c>
      <c r="S184" s="191">
        <f>Tableau4[[#This Row],[AF 1 ($)]]/(J184*D184)</f>
        <v>0.52318212633006167</v>
      </c>
      <c r="T184" s="191">
        <f>Tableau4[[#This Row],[Couverture 1 (%)]]*Tableau4[[#This Row],[Nombres appareils installés]]</f>
        <v>0.52318212633006167</v>
      </c>
      <c r="U184" s="188">
        <f>($U$4+($V$4*(Tableau4[[#This Row],[Capacité (BTU)]]/1000)))*Tableau4[[#This Row],[Nombres appareils installés]]</f>
        <v>4325</v>
      </c>
      <c r="V184" s="188">
        <f>Tableau4[[#This Row],[AF 2 ($)]]/Tableau4[[#This Row],[Nombres appareils installés]]</f>
        <v>4325</v>
      </c>
      <c r="W184" s="192">
        <f>Tableau4[[#This Row],[AF 2 par appareil ($)]]/Tableau4[[#This Row],[Surcoût par appareil ($)]]</f>
        <v>0.63739794264155392</v>
      </c>
      <c r="X184" s="192">
        <f>Tableau4[[#This Row],[Couverture 2 (%)]]*Tableau4[[#This Row],[Nombres appareils installés]]</f>
        <v>0.63739794264155392</v>
      </c>
      <c r="Y184" s="188">
        <f>($Y$4+$Z$4*(Tableau4[[#This Row],[Capacité (BTU)]]/1000))*Tableau4[[#This Row],[Nombres appareils installés]]</f>
        <v>4050</v>
      </c>
      <c r="Z184" s="188">
        <f>Tableau4[[#This Row],[AF 3 ($)]]/Tableau4[[#This Row],[Nombres appareils installés]]</f>
        <v>4050</v>
      </c>
      <c r="AA184" s="193">
        <f>Tableau4[[#This Row],[AF 3 par appareil ($)]]/Tableau4[[#This Row],[Surcoût par appareil ($)]]</f>
        <v>0.59686974975683083</v>
      </c>
      <c r="AB184" s="193">
        <f>Tableau4[[#This Row],[Couverture 3 (%)]]*Tableau4[[#This Row],[Nombres appareils installés]]</f>
        <v>0.59686974975683083</v>
      </c>
      <c r="AC184" s="188">
        <f>($AC$4+$AD$4*(Tableau4[[#This Row],[Capacité (BTU)]]/1000))*Tableau4[[#This Row],[Nombres appareils installés]]</f>
        <v>3440</v>
      </c>
      <c r="AD184" s="188">
        <f>Tableau4[[#This Row],[AF 4 ($)]]/Tableau4[[#This Row],[Nombres appareils installés]]</f>
        <v>3440</v>
      </c>
      <c r="AE184" s="194">
        <f>Tableau4[[#This Row],[Couverture 4 (%)]]*Tableau4[[#This Row],[Nombres appareils installés]]</f>
        <v>0.50697084917617241</v>
      </c>
      <c r="AF184" s="193">
        <f>Tableau4[[#This Row],[AF 4 par appareil  ($)]]/Tableau4[[#This Row],[Surcoût par appareil ($)]]</f>
        <v>0.50697084917617241</v>
      </c>
    </row>
    <row r="185" spans="2:32" x14ac:dyDescent="0.3">
      <c r="B185" s="188" t="s">
        <v>225</v>
      </c>
      <c r="C185" s="188" t="s">
        <v>122</v>
      </c>
      <c r="D185" s="188">
        <v>2</v>
      </c>
      <c r="E185" s="188">
        <v>310000</v>
      </c>
      <c r="F185" s="196">
        <f>Tableau4[[#This Row],[Economies totales (m3)]]/Tableau4[[#This Row],[Nombres appareils installés]]</f>
        <v>1565.5</v>
      </c>
      <c r="G185" s="188">
        <v>3131</v>
      </c>
      <c r="H185" s="188">
        <f t="shared" si="4"/>
        <v>4385.3999999999996</v>
      </c>
      <c r="I185" s="188">
        <v>2400</v>
      </c>
      <c r="J185" s="188">
        <f>Tableau4[[#This Row],[Surcoût moyens de l''équipement ($)]]+Tableau4[[#This Row],[Surcoût moyen de l''installation ($)]]</f>
        <v>6785.4</v>
      </c>
      <c r="K185" s="188">
        <f>Tableau4[[#This Row],[Surcoût par appareil ($)]]*Tableau4[[#This Row],[Nombres appareils installés]]</f>
        <v>13570.8</v>
      </c>
      <c r="L185" s="188">
        <v>4900</v>
      </c>
      <c r="M185" s="188">
        <f t="shared" si="5"/>
        <v>4900</v>
      </c>
      <c r="N185" s="188">
        <f>Tableau4[[#This Row],[AF 0 ($)]]/Tableau4[[#This Row],[Nombres appareils installés]]</f>
        <v>2450</v>
      </c>
      <c r="O185" s="191">
        <f>(Tableau4[[#This Row],[AF accordée ($)]])/($J$6*D185)</f>
        <v>0.61197981715541783</v>
      </c>
      <c r="P185" s="191">
        <f>Tableau4[[#This Row],[Couverture 0 (%)]]*Tableau4[[#This Row],[Nombres appareils installés]]</f>
        <v>1.2239596343108357</v>
      </c>
      <c r="Q185" s="188">
        <f>($Q$4+$R$4*(Tableau4[[#This Row],[Capacité (BTU)]]/1000))*Tableau4[[#This Row],[Nombres appareils installés]]</f>
        <v>7100</v>
      </c>
      <c r="R185" s="188">
        <f>Tableau4[[#This Row],[AF 1 ($)]]/Tableau4[[#This Row],[Nombres appareils installés]]</f>
        <v>3550</v>
      </c>
      <c r="S185" s="191">
        <f>Tableau4[[#This Row],[AF 1 ($)]]/(J185*D185)</f>
        <v>0.52318212633006167</v>
      </c>
      <c r="T185" s="191">
        <f>Tableau4[[#This Row],[Couverture 1 (%)]]*Tableau4[[#This Row],[Nombres appareils installés]]</f>
        <v>1.0463642526601233</v>
      </c>
      <c r="U185" s="188">
        <f>($U$4+($V$4*(Tableau4[[#This Row],[Capacité (BTU)]]/1000)))*Tableau4[[#This Row],[Nombres appareils installés]]</f>
        <v>8650</v>
      </c>
      <c r="V185" s="188">
        <f>Tableau4[[#This Row],[AF 2 ($)]]/Tableau4[[#This Row],[Nombres appareils installés]]</f>
        <v>4325</v>
      </c>
      <c r="W185" s="192">
        <f>Tableau4[[#This Row],[AF 2 par appareil ($)]]/Tableau4[[#This Row],[Surcoût par appareil ($)]]</f>
        <v>0.63739794264155392</v>
      </c>
      <c r="X185" s="192">
        <f>Tableau4[[#This Row],[Couverture 2 (%)]]*Tableau4[[#This Row],[Nombres appareils installés]]</f>
        <v>1.2747958852831078</v>
      </c>
      <c r="Y185" s="188">
        <f>($Y$4+$Z$4*(Tableau4[[#This Row],[Capacité (BTU)]]/1000))*Tableau4[[#This Row],[Nombres appareils installés]]</f>
        <v>8100</v>
      </c>
      <c r="Z185" s="188">
        <f>Tableau4[[#This Row],[AF 3 ($)]]/Tableau4[[#This Row],[Nombres appareils installés]]</f>
        <v>4050</v>
      </c>
      <c r="AA185" s="193">
        <f>Tableau4[[#This Row],[AF 3 par appareil ($)]]/Tableau4[[#This Row],[Surcoût par appareil ($)]]</f>
        <v>0.59686974975683083</v>
      </c>
      <c r="AB185" s="193">
        <f>Tableau4[[#This Row],[Couverture 3 (%)]]*Tableau4[[#This Row],[Nombres appareils installés]]</f>
        <v>1.1937394995136617</v>
      </c>
      <c r="AC185" s="188">
        <f>($AC$4+$AD$4*(Tableau4[[#This Row],[Capacité (BTU)]]/1000))*Tableau4[[#This Row],[Nombres appareils installés]]</f>
        <v>6880</v>
      </c>
      <c r="AD185" s="188">
        <f>Tableau4[[#This Row],[AF 4 ($)]]/Tableau4[[#This Row],[Nombres appareils installés]]</f>
        <v>3440</v>
      </c>
      <c r="AE185" s="194">
        <f>Tableau4[[#This Row],[Couverture 4 (%)]]*Tableau4[[#This Row],[Nombres appareils installés]]</f>
        <v>1.0139416983523448</v>
      </c>
      <c r="AF185" s="193">
        <f>Tableau4[[#This Row],[AF 4 par appareil  ($)]]/Tableau4[[#This Row],[Surcoût par appareil ($)]]</f>
        <v>0.50697084917617241</v>
      </c>
    </row>
    <row r="186" spans="2:32" x14ac:dyDescent="0.3">
      <c r="B186" s="197" t="s">
        <v>225</v>
      </c>
      <c r="C186" s="188" t="s">
        <v>122</v>
      </c>
      <c r="D186" s="197">
        <v>2</v>
      </c>
      <c r="E186" s="197">
        <v>310000</v>
      </c>
      <c r="F186" s="198">
        <f>Tableau4[[#This Row],[Economies totales (m3)]]/Tableau4[[#This Row],[Nombres appareils installés]]</f>
        <v>1565.5</v>
      </c>
      <c r="G186" s="197">
        <v>3131</v>
      </c>
      <c r="H186" s="188">
        <f t="shared" si="4"/>
        <v>4385.3999999999996</v>
      </c>
      <c r="I186" s="188">
        <v>2400</v>
      </c>
      <c r="J186" s="188">
        <f>Tableau4[[#This Row],[Surcoût moyens de l''équipement ($)]]+Tableau4[[#This Row],[Surcoût moyen de l''installation ($)]]</f>
        <v>6785.4</v>
      </c>
      <c r="K186" s="188">
        <f>Tableau4[[#This Row],[Surcoût par appareil ($)]]*Tableau4[[#This Row],[Nombres appareils installés]]</f>
        <v>13570.8</v>
      </c>
      <c r="L186" s="197">
        <v>4900</v>
      </c>
      <c r="M186" s="188">
        <f t="shared" si="5"/>
        <v>4900</v>
      </c>
      <c r="N186" s="188">
        <f>Tableau4[[#This Row],[AF 0 ($)]]/Tableau4[[#This Row],[Nombres appareils installés]]</f>
        <v>2450</v>
      </c>
      <c r="O186" s="191">
        <f>(Tableau4[[#This Row],[AF accordée ($)]])/($J$6*D186)</f>
        <v>0.61197981715541783</v>
      </c>
      <c r="P186" s="191">
        <f>Tableau4[[#This Row],[Couverture 0 (%)]]*Tableau4[[#This Row],[Nombres appareils installés]]</f>
        <v>1.2239596343108357</v>
      </c>
      <c r="Q186" s="188">
        <f>($Q$4+$R$4*(Tableau4[[#This Row],[Capacité (BTU)]]/1000))*Tableau4[[#This Row],[Nombres appareils installés]]</f>
        <v>7100</v>
      </c>
      <c r="R186" s="188">
        <f>Tableau4[[#This Row],[AF 1 ($)]]/Tableau4[[#This Row],[Nombres appareils installés]]</f>
        <v>3550</v>
      </c>
      <c r="S186" s="191">
        <f>Tableau4[[#This Row],[AF 1 ($)]]/(J186*D186)</f>
        <v>0.52318212633006167</v>
      </c>
      <c r="T186" s="191">
        <f>Tableau4[[#This Row],[Couverture 1 (%)]]*Tableau4[[#This Row],[Nombres appareils installés]]</f>
        <v>1.0463642526601233</v>
      </c>
      <c r="U186" s="188">
        <f>($U$4+($V$4*(Tableau4[[#This Row],[Capacité (BTU)]]/1000)))*Tableau4[[#This Row],[Nombres appareils installés]]</f>
        <v>8650</v>
      </c>
      <c r="V186" s="188">
        <f>Tableau4[[#This Row],[AF 2 ($)]]/Tableau4[[#This Row],[Nombres appareils installés]]</f>
        <v>4325</v>
      </c>
      <c r="W186" s="192">
        <f>Tableau4[[#This Row],[AF 2 par appareil ($)]]/Tableau4[[#This Row],[Surcoût par appareil ($)]]</f>
        <v>0.63739794264155392</v>
      </c>
      <c r="X186" s="192">
        <f>Tableau4[[#This Row],[Couverture 2 (%)]]*Tableau4[[#This Row],[Nombres appareils installés]]</f>
        <v>1.2747958852831078</v>
      </c>
      <c r="Y186" s="188">
        <f>($Y$4+$Z$4*(Tableau4[[#This Row],[Capacité (BTU)]]/1000))*Tableau4[[#This Row],[Nombres appareils installés]]</f>
        <v>8100</v>
      </c>
      <c r="Z186" s="188">
        <f>Tableau4[[#This Row],[AF 3 ($)]]/Tableau4[[#This Row],[Nombres appareils installés]]</f>
        <v>4050</v>
      </c>
      <c r="AA186" s="193">
        <f>Tableau4[[#This Row],[AF 3 par appareil ($)]]/Tableau4[[#This Row],[Surcoût par appareil ($)]]</f>
        <v>0.59686974975683083</v>
      </c>
      <c r="AB186" s="193">
        <f>Tableau4[[#This Row],[Couverture 3 (%)]]*Tableau4[[#This Row],[Nombres appareils installés]]</f>
        <v>1.1937394995136617</v>
      </c>
      <c r="AC186" s="188">
        <f>($AC$4+$AD$4*(Tableau4[[#This Row],[Capacité (BTU)]]/1000))*Tableau4[[#This Row],[Nombres appareils installés]]</f>
        <v>6880</v>
      </c>
      <c r="AD186" s="188">
        <f>Tableau4[[#This Row],[AF 4 ($)]]/Tableau4[[#This Row],[Nombres appareils installés]]</f>
        <v>3440</v>
      </c>
      <c r="AE186" s="194">
        <f>Tableau4[[#This Row],[Couverture 4 (%)]]*Tableau4[[#This Row],[Nombres appareils installés]]</f>
        <v>1.0139416983523448</v>
      </c>
      <c r="AF186" s="193">
        <f>Tableau4[[#This Row],[AF 4 par appareil  ($)]]/Tableau4[[#This Row],[Surcoût par appareil ($)]]</f>
        <v>0.50697084917617241</v>
      </c>
    </row>
    <row r="187" spans="2:32" x14ac:dyDescent="0.3">
      <c r="B187" s="188" t="s">
        <v>225</v>
      </c>
      <c r="C187" s="188" t="s">
        <v>122</v>
      </c>
      <c r="D187" s="188">
        <v>2</v>
      </c>
      <c r="E187" s="188">
        <v>310000</v>
      </c>
      <c r="F187" s="196">
        <f>Tableau4[[#This Row],[Economies totales (m3)]]/Tableau4[[#This Row],[Nombres appareils installés]]</f>
        <v>1565.5</v>
      </c>
      <c r="G187" s="188">
        <v>3131</v>
      </c>
      <c r="H187" s="188">
        <f t="shared" si="4"/>
        <v>4385.3999999999996</v>
      </c>
      <c r="I187" s="188">
        <v>2400</v>
      </c>
      <c r="J187" s="188">
        <f>Tableau4[[#This Row],[Surcoût moyens de l''équipement ($)]]+Tableau4[[#This Row],[Surcoût moyen de l''installation ($)]]</f>
        <v>6785.4</v>
      </c>
      <c r="K187" s="188">
        <f>Tableau4[[#This Row],[Surcoût par appareil ($)]]*Tableau4[[#This Row],[Nombres appareils installés]]</f>
        <v>13570.8</v>
      </c>
      <c r="L187" s="188">
        <v>4900</v>
      </c>
      <c r="M187" s="188">
        <f t="shared" si="5"/>
        <v>4900</v>
      </c>
      <c r="N187" s="188">
        <f>Tableau4[[#This Row],[AF 0 ($)]]/Tableau4[[#This Row],[Nombres appareils installés]]</f>
        <v>2450</v>
      </c>
      <c r="O187" s="191">
        <f>(Tableau4[[#This Row],[AF accordée ($)]])/($J$6*D187)</f>
        <v>0.61197981715541783</v>
      </c>
      <c r="P187" s="191">
        <f>Tableau4[[#This Row],[Couverture 0 (%)]]*Tableau4[[#This Row],[Nombres appareils installés]]</f>
        <v>1.2239596343108357</v>
      </c>
      <c r="Q187" s="188">
        <f>($Q$4+$R$4*(Tableau4[[#This Row],[Capacité (BTU)]]/1000))*Tableau4[[#This Row],[Nombres appareils installés]]</f>
        <v>7100</v>
      </c>
      <c r="R187" s="188">
        <f>Tableau4[[#This Row],[AF 1 ($)]]/Tableau4[[#This Row],[Nombres appareils installés]]</f>
        <v>3550</v>
      </c>
      <c r="S187" s="191">
        <f>Tableau4[[#This Row],[AF 1 ($)]]/(J187*D187)</f>
        <v>0.52318212633006167</v>
      </c>
      <c r="T187" s="191">
        <f>Tableau4[[#This Row],[Couverture 1 (%)]]*Tableau4[[#This Row],[Nombres appareils installés]]</f>
        <v>1.0463642526601233</v>
      </c>
      <c r="U187" s="188">
        <f>($U$4+($V$4*(Tableau4[[#This Row],[Capacité (BTU)]]/1000)))*Tableau4[[#This Row],[Nombres appareils installés]]</f>
        <v>8650</v>
      </c>
      <c r="V187" s="188">
        <f>Tableau4[[#This Row],[AF 2 ($)]]/Tableau4[[#This Row],[Nombres appareils installés]]</f>
        <v>4325</v>
      </c>
      <c r="W187" s="192">
        <f>Tableau4[[#This Row],[AF 2 par appareil ($)]]/Tableau4[[#This Row],[Surcoût par appareil ($)]]</f>
        <v>0.63739794264155392</v>
      </c>
      <c r="X187" s="192">
        <f>Tableau4[[#This Row],[Couverture 2 (%)]]*Tableau4[[#This Row],[Nombres appareils installés]]</f>
        <v>1.2747958852831078</v>
      </c>
      <c r="Y187" s="188">
        <f>($Y$4+$Z$4*(Tableau4[[#This Row],[Capacité (BTU)]]/1000))*Tableau4[[#This Row],[Nombres appareils installés]]</f>
        <v>8100</v>
      </c>
      <c r="Z187" s="188">
        <f>Tableau4[[#This Row],[AF 3 ($)]]/Tableau4[[#This Row],[Nombres appareils installés]]</f>
        <v>4050</v>
      </c>
      <c r="AA187" s="193">
        <f>Tableau4[[#This Row],[AF 3 par appareil ($)]]/Tableau4[[#This Row],[Surcoût par appareil ($)]]</f>
        <v>0.59686974975683083</v>
      </c>
      <c r="AB187" s="193">
        <f>Tableau4[[#This Row],[Couverture 3 (%)]]*Tableau4[[#This Row],[Nombres appareils installés]]</f>
        <v>1.1937394995136617</v>
      </c>
      <c r="AC187" s="188">
        <f>($AC$4+$AD$4*(Tableau4[[#This Row],[Capacité (BTU)]]/1000))*Tableau4[[#This Row],[Nombres appareils installés]]</f>
        <v>6880</v>
      </c>
      <c r="AD187" s="188">
        <f>Tableau4[[#This Row],[AF 4 ($)]]/Tableau4[[#This Row],[Nombres appareils installés]]</f>
        <v>3440</v>
      </c>
      <c r="AE187" s="194">
        <f>Tableau4[[#This Row],[Couverture 4 (%)]]*Tableau4[[#This Row],[Nombres appareils installés]]</f>
        <v>1.0139416983523448</v>
      </c>
      <c r="AF187" s="193">
        <f>Tableau4[[#This Row],[AF 4 par appareil  ($)]]/Tableau4[[#This Row],[Surcoût par appareil ($)]]</f>
        <v>0.50697084917617241</v>
      </c>
    </row>
    <row r="188" spans="2:32" x14ac:dyDescent="0.3">
      <c r="B188" s="199" t="s">
        <v>226</v>
      </c>
      <c r="C188" s="188">
        <f>COUNTA(Tableau4[Numéro dossier])</f>
        <v>182</v>
      </c>
      <c r="D188" s="188">
        <f>SUM(Tableau4[Nombres appareils installés])</f>
        <v>422</v>
      </c>
      <c r="E188" s="200"/>
      <c r="F188" s="200"/>
      <c r="W188" s="201"/>
      <c r="X188" s="201"/>
    </row>
    <row r="190" spans="2:32" x14ac:dyDescent="0.3">
      <c r="E190" s="202"/>
      <c r="F190" s="202"/>
      <c r="G190" s="202"/>
    </row>
    <row r="191" spans="2:32" x14ac:dyDescent="0.3">
      <c r="E191" s="203"/>
      <c r="F191" s="203"/>
      <c r="G191" s="203"/>
    </row>
    <row r="202" spans="7:7" x14ac:dyDescent="0.3"/>
  </sheetData>
  <mergeCells count="6">
    <mergeCell ref="AC2:AF2"/>
    <mergeCell ref="H4:J4"/>
    <mergeCell ref="M2:O2"/>
    <mergeCell ref="Q2:S2"/>
    <mergeCell ref="U2:W2"/>
    <mergeCell ref="Y2:AA2"/>
  </mergeCell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2ACF-2F50-4C65-9133-4681A7CF6686}">
  <dimension ref="B2:E14"/>
  <sheetViews>
    <sheetView workbookViewId="0">
      <selection activeCell="D20" sqref="D20"/>
    </sheetView>
  </sheetViews>
  <sheetFormatPr defaultRowHeight="14.4" x14ac:dyDescent="0.3"/>
  <cols>
    <col min="3" max="3" width="18.33203125" bestFit="1" customWidth="1"/>
    <col min="4" max="4" width="20.5546875" bestFit="1" customWidth="1"/>
  </cols>
  <sheetData>
    <row r="2" spans="2:5" x14ac:dyDescent="0.3">
      <c r="B2" t="s">
        <v>227</v>
      </c>
      <c r="C2" t="s">
        <v>228</v>
      </c>
      <c r="D2" t="s">
        <v>229</v>
      </c>
      <c r="E2" t="s">
        <v>230</v>
      </c>
    </row>
    <row r="3" spans="2:5" x14ac:dyDescent="0.3">
      <c r="B3">
        <v>50000</v>
      </c>
      <c r="C3">
        <f>0.0051*B3</f>
        <v>255.00000000000003</v>
      </c>
      <c r="D3">
        <v>272</v>
      </c>
      <c r="E3" s="204">
        <f>ABS(D3-C3)/C3</f>
        <v>6.6666666666666541E-2</v>
      </c>
    </row>
    <row r="4" spans="2:5" x14ac:dyDescent="0.3">
      <c r="B4">
        <v>100000</v>
      </c>
      <c r="C4">
        <f t="shared" ref="C4:C10" si="0">0.0051*B4</f>
        <v>510.00000000000006</v>
      </c>
      <c r="D4">
        <v>543</v>
      </c>
      <c r="E4" s="204">
        <f t="shared" ref="E4:E10" si="1">ABS(D4-C4)/C4</f>
        <v>6.4705882352941058E-2</v>
      </c>
    </row>
    <row r="5" spans="2:5" x14ac:dyDescent="0.3">
      <c r="B5">
        <v>150000</v>
      </c>
      <c r="C5">
        <f t="shared" si="0"/>
        <v>765</v>
      </c>
      <c r="D5">
        <v>815</v>
      </c>
      <c r="E5" s="204">
        <f t="shared" si="1"/>
        <v>6.535947712418301E-2</v>
      </c>
    </row>
    <row r="6" spans="2:5" x14ac:dyDescent="0.3">
      <c r="B6">
        <v>200000</v>
      </c>
      <c r="C6">
        <f t="shared" si="0"/>
        <v>1020.0000000000001</v>
      </c>
      <c r="D6">
        <v>1087</v>
      </c>
      <c r="E6" s="204">
        <f t="shared" si="1"/>
        <v>6.5686274509803799E-2</v>
      </c>
    </row>
    <row r="7" spans="2:5" x14ac:dyDescent="0.3">
      <c r="B7">
        <v>250000</v>
      </c>
      <c r="C7">
        <f t="shared" si="0"/>
        <v>1275</v>
      </c>
      <c r="D7">
        <v>1359</v>
      </c>
      <c r="E7" s="204">
        <f t="shared" si="1"/>
        <v>6.5882352941176475E-2</v>
      </c>
    </row>
    <row r="8" spans="2:5" x14ac:dyDescent="0.3">
      <c r="B8">
        <v>300000</v>
      </c>
      <c r="C8">
        <f t="shared" si="0"/>
        <v>1530</v>
      </c>
      <c r="D8">
        <v>1630</v>
      </c>
      <c r="E8" s="204">
        <f t="shared" si="1"/>
        <v>6.535947712418301E-2</v>
      </c>
    </row>
    <row r="9" spans="2:5" x14ac:dyDescent="0.3">
      <c r="B9">
        <v>350000</v>
      </c>
      <c r="C9">
        <f t="shared" si="0"/>
        <v>1785.0000000000002</v>
      </c>
      <c r="D9">
        <v>1902</v>
      </c>
      <c r="E9" s="204">
        <f t="shared" si="1"/>
        <v>6.5546218487394822E-2</v>
      </c>
    </row>
    <row r="10" spans="2:5" x14ac:dyDescent="0.3">
      <c r="B10">
        <v>400000</v>
      </c>
      <c r="C10">
        <f t="shared" si="0"/>
        <v>2040.0000000000002</v>
      </c>
      <c r="D10">
        <v>2174</v>
      </c>
      <c r="E10" s="204">
        <f t="shared" si="1"/>
        <v>6.5686274509803799E-2</v>
      </c>
    </row>
    <row r="14" spans="2:5" x14ac:dyDescent="0.3">
      <c r="D14" s="205"/>
    </row>
  </sheetData>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B5775-6D22-4842-9656-15DAB7219ED0}">
  <sheetPr codeName="Sheet5"/>
  <dimension ref="A1:T65"/>
  <sheetViews>
    <sheetView topLeftCell="G1" zoomScaleNormal="100" workbookViewId="0">
      <selection activeCell="I24" sqref="I24"/>
    </sheetView>
  </sheetViews>
  <sheetFormatPr defaultColWidth="11.44140625" defaultRowHeight="14.4" x14ac:dyDescent="0.3"/>
  <cols>
    <col min="8" max="15" width="0" hidden="1" customWidth="1"/>
    <col min="16" max="17" width="21.33203125" customWidth="1"/>
    <col min="18" max="18" width="23" customWidth="1"/>
    <col min="19" max="19" width="12.6640625" customWidth="1"/>
  </cols>
  <sheetData>
    <row r="1" spans="1:20" ht="86.4" x14ac:dyDescent="0.3">
      <c r="A1" s="23" t="s">
        <v>231</v>
      </c>
      <c r="B1" s="23" t="s">
        <v>232</v>
      </c>
      <c r="C1" s="24" t="s">
        <v>233</v>
      </c>
      <c r="D1" s="23" t="s">
        <v>234</v>
      </c>
      <c r="E1" s="23" t="s">
        <v>235</v>
      </c>
      <c r="F1" s="23" t="s">
        <v>236</v>
      </c>
      <c r="G1" s="23" t="s">
        <v>237</v>
      </c>
      <c r="H1" s="23" t="s">
        <v>238</v>
      </c>
      <c r="I1" s="23" t="s">
        <v>239</v>
      </c>
      <c r="J1" s="23" t="s">
        <v>240</v>
      </c>
      <c r="K1" s="23" t="s">
        <v>241</v>
      </c>
      <c r="L1" s="23" t="s">
        <v>242</v>
      </c>
      <c r="M1" s="23" t="s">
        <v>243</v>
      </c>
      <c r="N1" s="23" t="s">
        <v>244</v>
      </c>
      <c r="O1" s="23" t="s">
        <v>245</v>
      </c>
      <c r="P1" s="23" t="s">
        <v>246</v>
      </c>
      <c r="Q1" s="25" t="s">
        <v>247</v>
      </c>
      <c r="R1" s="25" t="s">
        <v>248</v>
      </c>
      <c r="S1" s="25" t="s">
        <v>249</v>
      </c>
    </row>
    <row r="2" spans="1:20" x14ac:dyDescent="0.3">
      <c r="A2" s="1" t="s">
        <v>250</v>
      </c>
      <c r="B2" s="3" t="s">
        <v>251</v>
      </c>
      <c r="C2" s="3" t="s">
        <v>252</v>
      </c>
      <c r="D2" s="3" t="s">
        <v>253</v>
      </c>
      <c r="E2" s="3" t="s">
        <v>254</v>
      </c>
      <c r="F2" s="3"/>
      <c r="G2" s="5">
        <v>50000</v>
      </c>
      <c r="H2" s="5" t="s">
        <v>255</v>
      </c>
      <c r="I2" s="6"/>
      <c r="J2" s="3"/>
      <c r="K2" s="7">
        <v>0.97</v>
      </c>
      <c r="L2" s="8"/>
      <c r="M2" s="8" t="s">
        <v>256</v>
      </c>
      <c r="N2" s="8" t="s">
        <v>257</v>
      </c>
      <c r="O2" s="8"/>
      <c r="P2" s="9">
        <v>3120</v>
      </c>
      <c r="Q2" s="26">
        <f>(P2/2)</f>
        <v>1560</v>
      </c>
      <c r="R2" s="26">
        <f>(P2/2)+2400</f>
        <v>3960</v>
      </c>
      <c r="S2">
        <f>G2/1000*5+2000</f>
        <v>2250</v>
      </c>
      <c r="T2">
        <f>MAX(S2:S65)</f>
        <v>4500</v>
      </c>
    </row>
    <row r="3" spans="1:20" x14ac:dyDescent="0.3">
      <c r="A3" s="2" t="s">
        <v>250</v>
      </c>
      <c r="B3" s="4" t="s">
        <v>251</v>
      </c>
      <c r="C3" s="4" t="s">
        <v>252</v>
      </c>
      <c r="D3" s="4" t="s">
        <v>253</v>
      </c>
      <c r="E3" s="4" t="s">
        <v>258</v>
      </c>
      <c r="F3" s="4"/>
      <c r="G3" s="10">
        <v>100000</v>
      </c>
      <c r="H3" s="10" t="s">
        <v>255</v>
      </c>
      <c r="I3" s="11"/>
      <c r="J3" s="4"/>
      <c r="K3" s="12">
        <v>0.96</v>
      </c>
      <c r="L3" s="13"/>
      <c r="M3" s="13" t="s">
        <v>256</v>
      </c>
      <c r="N3" s="13" t="s">
        <v>257</v>
      </c>
      <c r="O3" s="13"/>
      <c r="P3" s="14">
        <v>3990</v>
      </c>
      <c r="Q3" s="26">
        <f t="shared" ref="Q3:Q65" si="0">(P3/2)</f>
        <v>1995</v>
      </c>
      <c r="R3" s="26">
        <f t="shared" ref="R3:R65" si="1">(P3/2)+2400</f>
        <v>4395</v>
      </c>
      <c r="S3">
        <f t="shared" ref="S3:S65" si="2">G3/1000*5+2000</f>
        <v>2500</v>
      </c>
    </row>
    <row r="4" spans="1:20" x14ac:dyDescent="0.3">
      <c r="A4" s="1" t="s">
        <v>250</v>
      </c>
      <c r="B4" s="3" t="s">
        <v>251</v>
      </c>
      <c r="C4" s="3" t="s">
        <v>252</v>
      </c>
      <c r="D4" s="3" t="s">
        <v>253</v>
      </c>
      <c r="E4" s="3" t="s">
        <v>259</v>
      </c>
      <c r="F4" s="3"/>
      <c r="G4" s="5">
        <v>150000</v>
      </c>
      <c r="H4" s="5" t="s">
        <v>255</v>
      </c>
      <c r="I4" s="6"/>
      <c r="J4" s="3"/>
      <c r="K4" s="7">
        <v>0.95</v>
      </c>
      <c r="L4" s="8"/>
      <c r="M4" s="8" t="s">
        <v>256</v>
      </c>
      <c r="N4" s="8" t="s">
        <v>257</v>
      </c>
      <c r="O4" s="8"/>
      <c r="P4" s="9">
        <v>4328</v>
      </c>
      <c r="Q4" s="26">
        <f t="shared" si="0"/>
        <v>2164</v>
      </c>
      <c r="R4" s="26">
        <f t="shared" si="1"/>
        <v>4564</v>
      </c>
      <c r="S4">
        <f t="shared" si="2"/>
        <v>2750</v>
      </c>
    </row>
    <row r="5" spans="1:20" x14ac:dyDescent="0.3">
      <c r="A5" s="2" t="s">
        <v>250</v>
      </c>
      <c r="B5" s="4" t="s">
        <v>251</v>
      </c>
      <c r="C5" s="4" t="s">
        <v>252</v>
      </c>
      <c r="D5" s="4" t="s">
        <v>253</v>
      </c>
      <c r="E5" s="4" t="s">
        <v>260</v>
      </c>
      <c r="F5" s="4"/>
      <c r="G5" s="10">
        <v>200000</v>
      </c>
      <c r="H5" s="10" t="s">
        <v>255</v>
      </c>
      <c r="I5" s="11"/>
      <c r="J5" s="4"/>
      <c r="K5" s="12">
        <v>0.96</v>
      </c>
      <c r="L5" s="13"/>
      <c r="M5" s="13" t="s">
        <v>256</v>
      </c>
      <c r="N5" s="13" t="s">
        <v>257</v>
      </c>
      <c r="O5" s="13"/>
      <c r="P5" s="14">
        <v>4960</v>
      </c>
      <c r="Q5" s="26">
        <f t="shared" si="0"/>
        <v>2480</v>
      </c>
      <c r="R5" s="26">
        <f t="shared" si="1"/>
        <v>4880</v>
      </c>
      <c r="S5">
        <f t="shared" si="2"/>
        <v>3000</v>
      </c>
    </row>
    <row r="6" spans="1:20" x14ac:dyDescent="0.3">
      <c r="A6" s="1" t="s">
        <v>250</v>
      </c>
      <c r="B6" s="3" t="s">
        <v>251</v>
      </c>
      <c r="C6" s="3" t="s">
        <v>252</v>
      </c>
      <c r="D6" s="3" t="s">
        <v>253</v>
      </c>
      <c r="E6" s="3" t="s">
        <v>261</v>
      </c>
      <c r="F6" s="3"/>
      <c r="G6" s="5">
        <v>300000</v>
      </c>
      <c r="H6" s="5" t="s">
        <v>255</v>
      </c>
      <c r="I6" s="6"/>
      <c r="J6" s="3"/>
      <c r="K6" s="7">
        <v>0.95</v>
      </c>
      <c r="L6" s="8"/>
      <c r="M6" s="8" t="s">
        <v>256</v>
      </c>
      <c r="N6" s="8" t="s">
        <v>257</v>
      </c>
      <c r="O6" s="8"/>
      <c r="P6" s="9">
        <v>6680</v>
      </c>
      <c r="Q6" s="26">
        <f t="shared" si="0"/>
        <v>3340</v>
      </c>
      <c r="R6" s="26">
        <f t="shared" si="1"/>
        <v>5740</v>
      </c>
      <c r="S6">
        <f t="shared" si="2"/>
        <v>3500</v>
      </c>
    </row>
    <row r="7" spans="1:20" x14ac:dyDescent="0.3">
      <c r="A7" s="2" t="s">
        <v>250</v>
      </c>
      <c r="B7" s="4" t="s">
        <v>251</v>
      </c>
      <c r="C7" s="4" t="s">
        <v>252</v>
      </c>
      <c r="D7" s="4" t="s">
        <v>253</v>
      </c>
      <c r="E7" s="4" t="s">
        <v>262</v>
      </c>
      <c r="F7" s="4"/>
      <c r="G7" s="10">
        <v>400000</v>
      </c>
      <c r="H7" s="10" t="s">
        <v>255</v>
      </c>
      <c r="I7" s="11"/>
      <c r="J7" s="4"/>
      <c r="K7" s="12">
        <v>0.96</v>
      </c>
      <c r="L7" s="13"/>
      <c r="M7" s="13" t="s">
        <v>256</v>
      </c>
      <c r="N7" s="13" t="s">
        <v>257</v>
      </c>
      <c r="O7" s="13"/>
      <c r="P7" s="14">
        <v>8300</v>
      </c>
      <c r="Q7" s="26">
        <f t="shared" si="0"/>
        <v>4150</v>
      </c>
      <c r="R7" s="26">
        <f t="shared" si="1"/>
        <v>6550</v>
      </c>
      <c r="S7">
        <f t="shared" si="2"/>
        <v>4000</v>
      </c>
    </row>
    <row r="8" spans="1:20" x14ac:dyDescent="0.3">
      <c r="A8" s="1" t="s">
        <v>250</v>
      </c>
      <c r="B8" s="3" t="s">
        <v>251</v>
      </c>
      <c r="C8" s="3" t="s">
        <v>252</v>
      </c>
      <c r="D8" s="3" t="s">
        <v>263</v>
      </c>
      <c r="E8" s="3" t="s">
        <v>264</v>
      </c>
      <c r="F8" s="3"/>
      <c r="G8" s="5">
        <v>50000</v>
      </c>
      <c r="H8" s="5" t="s">
        <v>255</v>
      </c>
      <c r="I8" s="6"/>
      <c r="J8" s="3"/>
      <c r="K8" s="7">
        <v>0.97</v>
      </c>
      <c r="L8" s="8"/>
      <c r="M8" s="8" t="s">
        <v>256</v>
      </c>
      <c r="N8" s="8" t="s">
        <v>257</v>
      </c>
      <c r="O8" s="8"/>
      <c r="P8" s="9">
        <v>3120</v>
      </c>
      <c r="Q8" s="26">
        <f t="shared" si="0"/>
        <v>1560</v>
      </c>
      <c r="R8" s="26">
        <f t="shared" si="1"/>
        <v>3960</v>
      </c>
      <c r="S8">
        <f t="shared" si="2"/>
        <v>2250</v>
      </c>
    </row>
    <row r="9" spans="1:20" x14ac:dyDescent="0.3">
      <c r="A9" s="2" t="s">
        <v>250</v>
      </c>
      <c r="B9" s="4" t="s">
        <v>251</v>
      </c>
      <c r="C9" s="4" t="s">
        <v>252</v>
      </c>
      <c r="D9" s="4" t="s">
        <v>263</v>
      </c>
      <c r="E9" s="4" t="s">
        <v>265</v>
      </c>
      <c r="F9" s="4"/>
      <c r="G9" s="10">
        <v>100000</v>
      </c>
      <c r="H9" s="10" t="s">
        <v>255</v>
      </c>
      <c r="I9" s="11"/>
      <c r="J9" s="4"/>
      <c r="K9" s="12">
        <v>0.96</v>
      </c>
      <c r="L9" s="13"/>
      <c r="M9" s="13" t="s">
        <v>256</v>
      </c>
      <c r="N9" s="13" t="s">
        <v>257</v>
      </c>
      <c r="O9" s="13"/>
      <c r="P9" s="14">
        <v>3990</v>
      </c>
      <c r="Q9" s="26">
        <f t="shared" si="0"/>
        <v>1995</v>
      </c>
      <c r="R9" s="26">
        <f t="shared" si="1"/>
        <v>4395</v>
      </c>
      <c r="S9">
        <f t="shared" si="2"/>
        <v>2500</v>
      </c>
    </row>
    <row r="10" spans="1:20" x14ac:dyDescent="0.3">
      <c r="A10" s="1" t="s">
        <v>250</v>
      </c>
      <c r="B10" s="3" t="s">
        <v>251</v>
      </c>
      <c r="C10" s="3" t="s">
        <v>252</v>
      </c>
      <c r="D10" s="3" t="s">
        <v>263</v>
      </c>
      <c r="E10" s="3" t="s">
        <v>266</v>
      </c>
      <c r="F10" s="3"/>
      <c r="G10" s="5">
        <v>150000</v>
      </c>
      <c r="H10" s="5" t="s">
        <v>255</v>
      </c>
      <c r="I10" s="6"/>
      <c r="J10" s="3"/>
      <c r="K10" s="7">
        <v>0.95</v>
      </c>
      <c r="L10" s="8"/>
      <c r="M10" s="8" t="s">
        <v>256</v>
      </c>
      <c r="N10" s="8" t="s">
        <v>257</v>
      </c>
      <c r="O10" s="8"/>
      <c r="P10" s="9">
        <v>4328</v>
      </c>
      <c r="Q10" s="26">
        <f t="shared" si="0"/>
        <v>2164</v>
      </c>
      <c r="R10" s="26">
        <f t="shared" si="1"/>
        <v>4564</v>
      </c>
      <c r="S10">
        <f t="shared" si="2"/>
        <v>2750</v>
      </c>
    </row>
    <row r="11" spans="1:20" x14ac:dyDescent="0.3">
      <c r="A11" s="2" t="s">
        <v>250</v>
      </c>
      <c r="B11" s="4" t="s">
        <v>251</v>
      </c>
      <c r="C11" s="4" t="s">
        <v>252</v>
      </c>
      <c r="D11" s="4" t="s">
        <v>263</v>
      </c>
      <c r="E11" s="4" t="s">
        <v>267</v>
      </c>
      <c r="F11" s="4"/>
      <c r="G11" s="10">
        <v>200000</v>
      </c>
      <c r="H11" s="10" t="s">
        <v>255</v>
      </c>
      <c r="I11" s="11"/>
      <c r="J11" s="4"/>
      <c r="K11" s="12">
        <v>0.96</v>
      </c>
      <c r="L11" s="13"/>
      <c r="M11" s="13" t="s">
        <v>256</v>
      </c>
      <c r="N11" s="13" t="s">
        <v>257</v>
      </c>
      <c r="O11" s="13"/>
      <c r="P11" s="14">
        <v>4960</v>
      </c>
      <c r="Q11" s="26">
        <f t="shared" si="0"/>
        <v>2480</v>
      </c>
      <c r="R11" s="26">
        <f t="shared" si="1"/>
        <v>4880</v>
      </c>
      <c r="S11">
        <f t="shared" si="2"/>
        <v>3000</v>
      </c>
    </row>
    <row r="12" spans="1:20" x14ac:dyDescent="0.3">
      <c r="A12" s="1" t="s">
        <v>250</v>
      </c>
      <c r="B12" s="3" t="s">
        <v>251</v>
      </c>
      <c r="C12" s="3" t="s">
        <v>252</v>
      </c>
      <c r="D12" s="3" t="s">
        <v>263</v>
      </c>
      <c r="E12" s="3" t="s">
        <v>268</v>
      </c>
      <c r="F12" s="3"/>
      <c r="G12" s="5">
        <v>300000</v>
      </c>
      <c r="H12" s="5" t="s">
        <v>255</v>
      </c>
      <c r="I12" s="6"/>
      <c r="J12" s="3"/>
      <c r="K12" s="7">
        <v>0.95</v>
      </c>
      <c r="L12" s="8"/>
      <c r="M12" s="8" t="s">
        <v>256</v>
      </c>
      <c r="N12" s="8" t="s">
        <v>257</v>
      </c>
      <c r="O12" s="8"/>
      <c r="P12" s="9">
        <v>6680</v>
      </c>
      <c r="Q12" s="26">
        <f t="shared" si="0"/>
        <v>3340</v>
      </c>
      <c r="R12" s="26">
        <f t="shared" si="1"/>
        <v>5740</v>
      </c>
      <c r="S12">
        <f t="shared" si="2"/>
        <v>3500</v>
      </c>
    </row>
    <row r="13" spans="1:20" x14ac:dyDescent="0.3">
      <c r="A13" s="2" t="s">
        <v>250</v>
      </c>
      <c r="B13" s="4" t="s">
        <v>251</v>
      </c>
      <c r="C13" s="4" t="s">
        <v>252</v>
      </c>
      <c r="D13" s="4" t="s">
        <v>263</v>
      </c>
      <c r="E13" s="4" t="s">
        <v>269</v>
      </c>
      <c r="F13" s="4"/>
      <c r="G13" s="10">
        <v>400000</v>
      </c>
      <c r="H13" s="10" t="s">
        <v>255</v>
      </c>
      <c r="I13" s="11"/>
      <c r="J13" s="4"/>
      <c r="K13" s="12">
        <v>0.96</v>
      </c>
      <c r="L13" s="13"/>
      <c r="M13" s="13" t="s">
        <v>256</v>
      </c>
      <c r="N13" s="13" t="s">
        <v>257</v>
      </c>
      <c r="O13" s="13"/>
      <c r="P13" s="14">
        <v>8300</v>
      </c>
      <c r="Q13" s="26">
        <f t="shared" si="0"/>
        <v>4150</v>
      </c>
      <c r="R13" s="26">
        <f t="shared" si="1"/>
        <v>6550</v>
      </c>
      <c r="S13">
        <f t="shared" si="2"/>
        <v>4000</v>
      </c>
    </row>
    <row r="14" spans="1:20" x14ac:dyDescent="0.3">
      <c r="A14" s="3" t="s">
        <v>250</v>
      </c>
      <c r="B14" s="3"/>
      <c r="C14" s="3" t="s">
        <v>252</v>
      </c>
      <c r="D14" s="3" t="s">
        <v>270</v>
      </c>
      <c r="E14" s="3" t="s">
        <v>271</v>
      </c>
      <c r="F14" s="3"/>
      <c r="G14" s="15">
        <v>50000</v>
      </c>
      <c r="H14" s="5" t="s">
        <v>255</v>
      </c>
      <c r="I14" s="16"/>
      <c r="J14" s="17"/>
      <c r="K14" s="18">
        <v>0.97</v>
      </c>
      <c r="L14" s="8"/>
      <c r="M14" s="8" t="s">
        <v>256</v>
      </c>
      <c r="N14" s="8" t="s">
        <v>257</v>
      </c>
      <c r="O14" s="8"/>
      <c r="P14" s="9">
        <v>2974</v>
      </c>
      <c r="Q14" s="26">
        <f t="shared" si="0"/>
        <v>1487</v>
      </c>
      <c r="R14" s="26">
        <f t="shared" si="1"/>
        <v>3887</v>
      </c>
      <c r="S14">
        <f t="shared" si="2"/>
        <v>2250</v>
      </c>
    </row>
    <row r="15" spans="1:20" x14ac:dyDescent="0.3">
      <c r="A15" s="4" t="s">
        <v>250</v>
      </c>
      <c r="B15" s="4"/>
      <c r="C15" s="4" t="s">
        <v>252</v>
      </c>
      <c r="D15" s="4" t="s">
        <v>270</v>
      </c>
      <c r="E15" s="4" t="s">
        <v>272</v>
      </c>
      <c r="F15" s="4"/>
      <c r="G15" s="19">
        <v>100000</v>
      </c>
      <c r="H15" s="10" t="s">
        <v>255</v>
      </c>
      <c r="I15" s="20"/>
      <c r="J15" s="21"/>
      <c r="K15" s="22">
        <v>0.96</v>
      </c>
      <c r="L15" s="13"/>
      <c r="M15" s="13" t="s">
        <v>256</v>
      </c>
      <c r="N15" s="13" t="s">
        <v>257</v>
      </c>
      <c r="O15" s="13"/>
      <c r="P15" s="14">
        <v>3791</v>
      </c>
      <c r="Q15" s="26">
        <f t="shared" si="0"/>
        <v>1895.5</v>
      </c>
      <c r="R15" s="26">
        <f t="shared" si="1"/>
        <v>4295.5</v>
      </c>
      <c r="S15">
        <f t="shared" si="2"/>
        <v>2500</v>
      </c>
    </row>
    <row r="16" spans="1:20" x14ac:dyDescent="0.3">
      <c r="A16" s="3" t="s">
        <v>250</v>
      </c>
      <c r="B16" s="3"/>
      <c r="C16" s="3" t="s">
        <v>252</v>
      </c>
      <c r="D16" s="3" t="s">
        <v>270</v>
      </c>
      <c r="E16" s="3" t="s">
        <v>273</v>
      </c>
      <c r="F16" s="3"/>
      <c r="G16" s="15">
        <v>150000</v>
      </c>
      <c r="H16" s="5" t="s">
        <v>255</v>
      </c>
      <c r="I16" s="16"/>
      <c r="J16" s="17"/>
      <c r="K16" s="18">
        <v>0.95</v>
      </c>
      <c r="L16" s="8"/>
      <c r="M16" s="8" t="s">
        <v>256</v>
      </c>
      <c r="N16" s="8" t="s">
        <v>257</v>
      </c>
      <c r="O16" s="8"/>
      <c r="P16" s="9">
        <v>4125</v>
      </c>
      <c r="Q16" s="26">
        <f t="shared" si="0"/>
        <v>2062.5</v>
      </c>
      <c r="R16" s="26">
        <f t="shared" si="1"/>
        <v>4462.5</v>
      </c>
      <c r="S16">
        <f t="shared" si="2"/>
        <v>2750</v>
      </c>
    </row>
    <row r="17" spans="1:19" x14ac:dyDescent="0.3">
      <c r="A17" s="4" t="s">
        <v>250</v>
      </c>
      <c r="B17" s="4"/>
      <c r="C17" s="4" t="s">
        <v>252</v>
      </c>
      <c r="D17" s="4" t="s">
        <v>270</v>
      </c>
      <c r="E17" s="4" t="s">
        <v>274</v>
      </c>
      <c r="F17" s="4"/>
      <c r="G17" s="19">
        <v>200000</v>
      </c>
      <c r="H17" s="10" t="s">
        <v>255</v>
      </c>
      <c r="I17" s="20"/>
      <c r="J17" s="21"/>
      <c r="K17" s="22">
        <v>0.96</v>
      </c>
      <c r="L17" s="13"/>
      <c r="M17" s="13" t="s">
        <v>256</v>
      </c>
      <c r="N17" s="13" t="s">
        <v>257</v>
      </c>
      <c r="O17" s="13"/>
      <c r="P17" s="14">
        <v>4712</v>
      </c>
      <c r="Q17" s="26">
        <f t="shared" si="0"/>
        <v>2356</v>
      </c>
      <c r="R17" s="26">
        <f t="shared" si="1"/>
        <v>4756</v>
      </c>
      <c r="S17">
        <f t="shared" si="2"/>
        <v>3000</v>
      </c>
    </row>
    <row r="18" spans="1:19" x14ac:dyDescent="0.3">
      <c r="A18" s="3" t="s">
        <v>250</v>
      </c>
      <c r="B18" s="3"/>
      <c r="C18" s="3" t="s">
        <v>252</v>
      </c>
      <c r="D18" s="3" t="s">
        <v>270</v>
      </c>
      <c r="E18" s="3" t="s">
        <v>275</v>
      </c>
      <c r="F18" s="3"/>
      <c r="G18" s="15">
        <v>300000</v>
      </c>
      <c r="H18" s="5" t="s">
        <v>255</v>
      </c>
      <c r="I18" s="16"/>
      <c r="J18" s="17"/>
      <c r="K18" s="18">
        <v>0.95</v>
      </c>
      <c r="L18" s="8"/>
      <c r="M18" s="8" t="s">
        <v>256</v>
      </c>
      <c r="N18" s="8" t="s">
        <v>257</v>
      </c>
      <c r="O18" s="8"/>
      <c r="P18" s="9">
        <v>6345</v>
      </c>
      <c r="Q18" s="26">
        <f t="shared" si="0"/>
        <v>3172.5</v>
      </c>
      <c r="R18" s="26">
        <f t="shared" si="1"/>
        <v>5572.5</v>
      </c>
      <c r="S18">
        <f t="shared" si="2"/>
        <v>3500</v>
      </c>
    </row>
    <row r="19" spans="1:19" x14ac:dyDescent="0.3">
      <c r="A19" s="4" t="s">
        <v>250</v>
      </c>
      <c r="B19" s="4"/>
      <c r="C19" s="4" t="s">
        <v>252</v>
      </c>
      <c r="D19" s="4" t="s">
        <v>270</v>
      </c>
      <c r="E19" s="4" t="s">
        <v>276</v>
      </c>
      <c r="F19" s="4"/>
      <c r="G19" s="19">
        <v>400000</v>
      </c>
      <c r="H19" s="10" t="s">
        <v>255</v>
      </c>
      <c r="I19" s="20"/>
      <c r="J19" s="21"/>
      <c r="K19" s="22">
        <v>0.96</v>
      </c>
      <c r="L19" s="13"/>
      <c r="M19" s="13" t="s">
        <v>256</v>
      </c>
      <c r="N19" s="13" t="s">
        <v>257</v>
      </c>
      <c r="O19" s="13"/>
      <c r="P19" s="14">
        <v>7881</v>
      </c>
      <c r="Q19" s="26">
        <f t="shared" si="0"/>
        <v>3940.5</v>
      </c>
      <c r="R19" s="26">
        <f t="shared" si="1"/>
        <v>6340.5</v>
      </c>
      <c r="S19">
        <f t="shared" si="2"/>
        <v>4000</v>
      </c>
    </row>
    <row r="20" spans="1:19" x14ac:dyDescent="0.3">
      <c r="A20" s="3" t="s">
        <v>250</v>
      </c>
      <c r="B20" s="3"/>
      <c r="C20" s="3" t="s">
        <v>252</v>
      </c>
      <c r="D20" s="3" t="s">
        <v>270</v>
      </c>
      <c r="E20" s="3" t="s">
        <v>277</v>
      </c>
      <c r="F20" s="3"/>
      <c r="G20" s="15">
        <v>50000</v>
      </c>
      <c r="H20" s="5" t="s">
        <v>255</v>
      </c>
      <c r="I20" s="16"/>
      <c r="J20" s="17"/>
      <c r="K20" s="18">
        <v>0.97</v>
      </c>
      <c r="L20" s="8"/>
      <c r="M20" s="8" t="s">
        <v>256</v>
      </c>
      <c r="N20" s="8" t="s">
        <v>257</v>
      </c>
      <c r="O20" s="8"/>
      <c r="P20" s="9">
        <v>2974</v>
      </c>
      <c r="Q20" s="26">
        <f t="shared" si="0"/>
        <v>1487</v>
      </c>
      <c r="R20" s="26">
        <f t="shared" si="1"/>
        <v>3887</v>
      </c>
      <c r="S20">
        <f t="shared" si="2"/>
        <v>2250</v>
      </c>
    </row>
    <row r="21" spans="1:19" x14ac:dyDescent="0.3">
      <c r="A21" s="4" t="s">
        <v>250</v>
      </c>
      <c r="B21" s="4"/>
      <c r="C21" s="4" t="s">
        <v>252</v>
      </c>
      <c r="D21" s="4" t="s">
        <v>270</v>
      </c>
      <c r="E21" s="4" t="s">
        <v>278</v>
      </c>
      <c r="F21" s="4"/>
      <c r="G21" s="19">
        <v>100000</v>
      </c>
      <c r="H21" s="10" t="s">
        <v>255</v>
      </c>
      <c r="I21" s="20"/>
      <c r="J21" s="21"/>
      <c r="K21" s="22">
        <v>0.96</v>
      </c>
      <c r="L21" s="13"/>
      <c r="M21" s="13" t="s">
        <v>256</v>
      </c>
      <c r="N21" s="13" t="s">
        <v>257</v>
      </c>
      <c r="O21" s="13"/>
      <c r="P21" s="14">
        <v>3791</v>
      </c>
      <c r="Q21" s="26">
        <f t="shared" si="0"/>
        <v>1895.5</v>
      </c>
      <c r="R21" s="26">
        <f t="shared" si="1"/>
        <v>4295.5</v>
      </c>
      <c r="S21">
        <f t="shared" si="2"/>
        <v>2500</v>
      </c>
    </row>
    <row r="22" spans="1:19" x14ac:dyDescent="0.3">
      <c r="A22" s="3" t="s">
        <v>250</v>
      </c>
      <c r="B22" s="3"/>
      <c r="C22" s="3" t="s">
        <v>252</v>
      </c>
      <c r="D22" s="3" t="s">
        <v>270</v>
      </c>
      <c r="E22" s="3" t="s">
        <v>279</v>
      </c>
      <c r="F22" s="3"/>
      <c r="G22" s="15">
        <v>150000</v>
      </c>
      <c r="H22" s="5" t="s">
        <v>255</v>
      </c>
      <c r="I22" s="16"/>
      <c r="J22" s="17"/>
      <c r="K22" s="18">
        <v>0.95</v>
      </c>
      <c r="L22" s="8"/>
      <c r="M22" s="8" t="s">
        <v>256</v>
      </c>
      <c r="N22" s="8" t="s">
        <v>257</v>
      </c>
      <c r="O22" s="8"/>
      <c r="P22" s="9">
        <v>4125</v>
      </c>
      <c r="Q22" s="26">
        <f t="shared" si="0"/>
        <v>2062.5</v>
      </c>
      <c r="R22" s="26">
        <f t="shared" si="1"/>
        <v>4462.5</v>
      </c>
      <c r="S22">
        <f t="shared" si="2"/>
        <v>2750</v>
      </c>
    </row>
    <row r="23" spans="1:19" x14ac:dyDescent="0.3">
      <c r="A23" s="4" t="s">
        <v>250</v>
      </c>
      <c r="B23" s="4"/>
      <c r="C23" s="4" t="s">
        <v>252</v>
      </c>
      <c r="D23" s="4" t="s">
        <v>270</v>
      </c>
      <c r="E23" s="4" t="s">
        <v>280</v>
      </c>
      <c r="F23" s="4"/>
      <c r="G23" s="19">
        <v>200000</v>
      </c>
      <c r="H23" s="10" t="s">
        <v>255</v>
      </c>
      <c r="I23" s="20"/>
      <c r="J23" s="21"/>
      <c r="K23" s="22">
        <v>0.96</v>
      </c>
      <c r="L23" s="13"/>
      <c r="M23" s="13" t="s">
        <v>256</v>
      </c>
      <c r="N23" s="13" t="s">
        <v>257</v>
      </c>
      <c r="O23" s="13"/>
      <c r="P23" s="14">
        <v>4712</v>
      </c>
      <c r="Q23" s="26">
        <f t="shared" si="0"/>
        <v>2356</v>
      </c>
      <c r="R23" s="26">
        <f t="shared" si="1"/>
        <v>4756</v>
      </c>
      <c r="S23">
        <f t="shared" si="2"/>
        <v>3000</v>
      </c>
    </row>
    <row r="24" spans="1:19" x14ac:dyDescent="0.3">
      <c r="A24" s="3" t="s">
        <v>250</v>
      </c>
      <c r="B24" s="3"/>
      <c r="C24" s="3" t="s">
        <v>252</v>
      </c>
      <c r="D24" s="3" t="s">
        <v>270</v>
      </c>
      <c r="E24" s="3" t="s">
        <v>281</v>
      </c>
      <c r="F24" s="3"/>
      <c r="G24" s="15">
        <v>300000</v>
      </c>
      <c r="H24" s="5" t="s">
        <v>255</v>
      </c>
      <c r="I24" s="16"/>
      <c r="J24" s="17"/>
      <c r="K24" s="18">
        <v>0.95</v>
      </c>
      <c r="L24" s="8"/>
      <c r="M24" s="8" t="s">
        <v>256</v>
      </c>
      <c r="N24" s="8" t="s">
        <v>257</v>
      </c>
      <c r="O24" s="8"/>
      <c r="P24" s="9">
        <v>6345</v>
      </c>
      <c r="Q24" s="26">
        <f t="shared" si="0"/>
        <v>3172.5</v>
      </c>
      <c r="R24" s="26">
        <f t="shared" si="1"/>
        <v>5572.5</v>
      </c>
      <c r="S24">
        <f t="shared" si="2"/>
        <v>3500</v>
      </c>
    </row>
    <row r="25" spans="1:19" x14ac:dyDescent="0.3">
      <c r="A25" s="4" t="s">
        <v>250</v>
      </c>
      <c r="B25" s="4"/>
      <c r="C25" s="4" t="s">
        <v>252</v>
      </c>
      <c r="D25" s="4" t="s">
        <v>270</v>
      </c>
      <c r="E25" s="4" t="s">
        <v>282</v>
      </c>
      <c r="F25" s="4"/>
      <c r="G25" s="19">
        <v>400000</v>
      </c>
      <c r="H25" s="10" t="s">
        <v>255</v>
      </c>
      <c r="I25" s="20"/>
      <c r="J25" s="21"/>
      <c r="K25" s="22">
        <v>0.96</v>
      </c>
      <c r="L25" s="13"/>
      <c r="M25" s="13" t="s">
        <v>256</v>
      </c>
      <c r="N25" s="13" t="s">
        <v>257</v>
      </c>
      <c r="O25" s="13"/>
      <c r="P25" s="14">
        <v>7881</v>
      </c>
      <c r="Q25" s="26">
        <f t="shared" si="0"/>
        <v>3940.5</v>
      </c>
      <c r="R25" s="26">
        <f t="shared" si="1"/>
        <v>6340.5</v>
      </c>
      <c r="S25">
        <f t="shared" si="2"/>
        <v>4000</v>
      </c>
    </row>
    <row r="26" spans="1:19" x14ac:dyDescent="0.3">
      <c r="A26" s="1" t="s">
        <v>250</v>
      </c>
      <c r="B26" s="3" t="s">
        <v>283</v>
      </c>
      <c r="C26" s="3" t="s">
        <v>284</v>
      </c>
      <c r="D26" s="3" t="s">
        <v>285</v>
      </c>
      <c r="E26" s="3" t="s">
        <v>286</v>
      </c>
      <c r="F26" s="3"/>
      <c r="G26" s="5">
        <v>215000</v>
      </c>
      <c r="H26" s="5" t="s">
        <v>255</v>
      </c>
      <c r="I26" s="6"/>
      <c r="J26" s="3"/>
      <c r="K26" s="7">
        <v>0.93</v>
      </c>
      <c r="L26" s="8"/>
      <c r="M26" s="8" t="s">
        <v>287</v>
      </c>
      <c r="N26" s="8" t="s">
        <v>288</v>
      </c>
      <c r="O26" s="8"/>
      <c r="P26" s="9">
        <v>8840</v>
      </c>
      <c r="Q26" s="26">
        <f t="shared" si="0"/>
        <v>4420</v>
      </c>
      <c r="R26" s="26">
        <f t="shared" si="1"/>
        <v>6820</v>
      </c>
      <c r="S26">
        <f t="shared" si="2"/>
        <v>3075</v>
      </c>
    </row>
    <row r="27" spans="1:19" x14ac:dyDescent="0.3">
      <c r="A27" s="2" t="s">
        <v>250</v>
      </c>
      <c r="B27" s="4" t="s">
        <v>283</v>
      </c>
      <c r="C27" s="4" t="s">
        <v>284</v>
      </c>
      <c r="D27" s="4" t="s">
        <v>285</v>
      </c>
      <c r="E27" s="4" t="s">
        <v>289</v>
      </c>
      <c r="F27" s="4"/>
      <c r="G27" s="10">
        <v>260000</v>
      </c>
      <c r="H27" s="10" t="s">
        <v>255</v>
      </c>
      <c r="I27" s="11"/>
      <c r="J27" s="4"/>
      <c r="K27" s="12">
        <v>0.93</v>
      </c>
      <c r="L27" s="13"/>
      <c r="M27" s="13" t="s">
        <v>287</v>
      </c>
      <c r="N27" s="13" t="s">
        <v>288</v>
      </c>
      <c r="O27" s="13"/>
      <c r="P27" s="14">
        <v>9635</v>
      </c>
      <c r="Q27" s="26">
        <f t="shared" si="0"/>
        <v>4817.5</v>
      </c>
      <c r="R27" s="26">
        <f t="shared" si="1"/>
        <v>7217.5</v>
      </c>
      <c r="S27">
        <f t="shared" si="2"/>
        <v>3300</v>
      </c>
    </row>
    <row r="28" spans="1:19" x14ac:dyDescent="0.3">
      <c r="A28" s="1" t="s">
        <v>250</v>
      </c>
      <c r="B28" s="3" t="s">
        <v>283</v>
      </c>
      <c r="C28" s="3" t="s">
        <v>284</v>
      </c>
      <c r="D28" s="3" t="s">
        <v>285</v>
      </c>
      <c r="E28" s="3" t="s">
        <v>290</v>
      </c>
      <c r="F28" s="3"/>
      <c r="G28" s="5">
        <v>310000</v>
      </c>
      <c r="H28" s="5" t="s">
        <v>255</v>
      </c>
      <c r="I28" s="6"/>
      <c r="J28" s="3"/>
      <c r="K28" s="7">
        <v>0.93</v>
      </c>
      <c r="L28" s="8"/>
      <c r="M28" s="8" t="s">
        <v>287</v>
      </c>
      <c r="N28" s="8" t="s">
        <v>288</v>
      </c>
      <c r="O28" s="8"/>
      <c r="P28" s="9">
        <v>10750</v>
      </c>
      <c r="Q28" s="26">
        <f t="shared" si="0"/>
        <v>5375</v>
      </c>
      <c r="R28" s="26">
        <f t="shared" si="1"/>
        <v>7775</v>
      </c>
      <c r="S28">
        <f t="shared" si="2"/>
        <v>3550</v>
      </c>
    </row>
    <row r="29" spans="1:19" x14ac:dyDescent="0.3">
      <c r="A29" s="2" t="s">
        <v>250</v>
      </c>
      <c r="B29" s="4" t="s">
        <v>283</v>
      </c>
      <c r="C29" s="4" t="s">
        <v>284</v>
      </c>
      <c r="D29" s="4" t="s">
        <v>285</v>
      </c>
      <c r="E29" s="4" t="s">
        <v>291</v>
      </c>
      <c r="F29" s="4"/>
      <c r="G29" s="10">
        <v>110000</v>
      </c>
      <c r="H29" s="10" t="s">
        <v>255</v>
      </c>
      <c r="I29" s="11"/>
      <c r="J29" s="4"/>
      <c r="K29" s="12">
        <v>0.93</v>
      </c>
      <c r="L29" s="13"/>
      <c r="M29" s="13" t="s">
        <v>287</v>
      </c>
      <c r="N29" s="13" t="s">
        <v>288</v>
      </c>
      <c r="O29" s="13"/>
      <c r="P29" s="14">
        <v>3495</v>
      </c>
      <c r="Q29" s="26">
        <f t="shared" si="0"/>
        <v>1747.5</v>
      </c>
      <c r="R29" s="26">
        <f t="shared" si="1"/>
        <v>4147.5</v>
      </c>
      <c r="S29">
        <f t="shared" si="2"/>
        <v>2550</v>
      </c>
    </row>
    <row r="30" spans="1:19" x14ac:dyDescent="0.3">
      <c r="A30" s="1" t="s">
        <v>250</v>
      </c>
      <c r="B30" s="3" t="s">
        <v>283</v>
      </c>
      <c r="C30" s="3" t="s">
        <v>284</v>
      </c>
      <c r="D30" s="3" t="s">
        <v>285</v>
      </c>
      <c r="E30" s="3" t="s">
        <v>292</v>
      </c>
      <c r="F30" s="3"/>
      <c r="G30" s="5">
        <v>135000</v>
      </c>
      <c r="H30" s="5" t="s">
        <v>255</v>
      </c>
      <c r="I30" s="6"/>
      <c r="J30" s="3"/>
      <c r="K30" s="7">
        <v>0.93</v>
      </c>
      <c r="L30" s="8"/>
      <c r="M30" s="8" t="s">
        <v>287</v>
      </c>
      <c r="N30" s="8" t="s">
        <v>288</v>
      </c>
      <c r="O30" s="8"/>
      <c r="P30" s="9">
        <v>4315</v>
      </c>
      <c r="Q30" s="26">
        <f t="shared" si="0"/>
        <v>2157.5</v>
      </c>
      <c r="R30" s="26">
        <f t="shared" si="1"/>
        <v>4557.5</v>
      </c>
      <c r="S30">
        <f t="shared" si="2"/>
        <v>2675</v>
      </c>
    </row>
    <row r="31" spans="1:19" x14ac:dyDescent="0.3">
      <c r="A31" s="2" t="s">
        <v>250</v>
      </c>
      <c r="B31" s="4" t="s">
        <v>283</v>
      </c>
      <c r="C31" s="4" t="s">
        <v>284</v>
      </c>
      <c r="D31" s="4" t="s">
        <v>285</v>
      </c>
      <c r="E31" s="4" t="s">
        <v>293</v>
      </c>
      <c r="F31" s="4"/>
      <c r="G31" s="10">
        <v>155000</v>
      </c>
      <c r="H31" s="10" t="s">
        <v>255</v>
      </c>
      <c r="I31" s="11"/>
      <c r="J31" s="4"/>
      <c r="K31" s="12">
        <v>0.93</v>
      </c>
      <c r="L31" s="13"/>
      <c r="M31" s="13" t="s">
        <v>287</v>
      </c>
      <c r="N31" s="13" t="s">
        <v>288</v>
      </c>
      <c r="O31" s="13"/>
      <c r="P31" s="14">
        <v>4623</v>
      </c>
      <c r="Q31" s="26">
        <f t="shared" si="0"/>
        <v>2311.5</v>
      </c>
      <c r="R31" s="26">
        <f t="shared" si="1"/>
        <v>4711.5</v>
      </c>
      <c r="S31">
        <f t="shared" si="2"/>
        <v>2775</v>
      </c>
    </row>
    <row r="32" spans="1:19" x14ac:dyDescent="0.3">
      <c r="A32" s="1" t="s">
        <v>250</v>
      </c>
      <c r="B32" s="3" t="s">
        <v>283</v>
      </c>
      <c r="C32" s="3" t="s">
        <v>284</v>
      </c>
      <c r="D32" s="3" t="s">
        <v>285</v>
      </c>
      <c r="E32" s="3" t="s">
        <v>294</v>
      </c>
      <c r="F32" s="3"/>
      <c r="G32" s="5">
        <v>180000</v>
      </c>
      <c r="H32" s="5" t="s">
        <v>255</v>
      </c>
      <c r="I32" s="6"/>
      <c r="J32" s="3"/>
      <c r="K32" s="7">
        <v>0.93</v>
      </c>
      <c r="L32" s="8"/>
      <c r="M32" s="8" t="s">
        <v>287</v>
      </c>
      <c r="N32" s="8" t="s">
        <v>288</v>
      </c>
      <c r="O32" s="8"/>
      <c r="P32" s="9">
        <v>4765</v>
      </c>
      <c r="Q32" s="26">
        <f t="shared" si="0"/>
        <v>2382.5</v>
      </c>
      <c r="R32" s="26">
        <f t="shared" si="1"/>
        <v>4782.5</v>
      </c>
      <c r="S32">
        <f t="shared" si="2"/>
        <v>2900</v>
      </c>
    </row>
    <row r="33" spans="1:19" x14ac:dyDescent="0.3">
      <c r="A33" s="2" t="s">
        <v>250</v>
      </c>
      <c r="B33" s="4" t="s">
        <v>283</v>
      </c>
      <c r="C33" s="4" t="s">
        <v>284</v>
      </c>
      <c r="D33" s="4" t="s">
        <v>285</v>
      </c>
      <c r="E33" s="4" t="s">
        <v>295</v>
      </c>
      <c r="F33" s="4"/>
      <c r="G33" s="10">
        <v>215000</v>
      </c>
      <c r="H33" s="10" t="s">
        <v>255</v>
      </c>
      <c r="I33" s="11"/>
      <c r="J33" s="4"/>
      <c r="K33" s="12">
        <v>0.93</v>
      </c>
      <c r="L33" s="13"/>
      <c r="M33" s="13" t="s">
        <v>287</v>
      </c>
      <c r="N33" s="13" t="s">
        <v>288</v>
      </c>
      <c r="O33" s="13"/>
      <c r="P33" s="14">
        <v>5418</v>
      </c>
      <c r="Q33" s="26">
        <f t="shared" si="0"/>
        <v>2709</v>
      </c>
      <c r="R33" s="26">
        <f t="shared" si="1"/>
        <v>5109</v>
      </c>
      <c r="S33">
        <f t="shared" si="2"/>
        <v>3075</v>
      </c>
    </row>
    <row r="34" spans="1:19" x14ac:dyDescent="0.3">
      <c r="A34" s="1" t="s">
        <v>250</v>
      </c>
      <c r="B34" s="3" t="s">
        <v>283</v>
      </c>
      <c r="C34" s="3" t="s">
        <v>284</v>
      </c>
      <c r="D34" s="3" t="s">
        <v>285</v>
      </c>
      <c r="E34" s="3" t="s">
        <v>296</v>
      </c>
      <c r="F34" s="3"/>
      <c r="G34" s="5">
        <v>260000</v>
      </c>
      <c r="H34" s="5" t="s">
        <v>255</v>
      </c>
      <c r="I34" s="6"/>
      <c r="J34" s="3"/>
      <c r="K34" s="7">
        <v>0.93</v>
      </c>
      <c r="L34" s="8"/>
      <c r="M34" s="8" t="s">
        <v>287</v>
      </c>
      <c r="N34" s="8" t="s">
        <v>288</v>
      </c>
      <c r="O34" s="8"/>
      <c r="P34" s="9">
        <v>5680</v>
      </c>
      <c r="Q34" s="26">
        <f t="shared" si="0"/>
        <v>2840</v>
      </c>
      <c r="R34" s="26">
        <f t="shared" si="1"/>
        <v>5240</v>
      </c>
      <c r="S34">
        <f t="shared" si="2"/>
        <v>3300</v>
      </c>
    </row>
    <row r="35" spans="1:19" x14ac:dyDescent="0.3">
      <c r="A35" s="2" t="s">
        <v>250</v>
      </c>
      <c r="B35" s="4" t="s">
        <v>283</v>
      </c>
      <c r="C35" s="4" t="s">
        <v>284</v>
      </c>
      <c r="D35" s="4" t="s">
        <v>285</v>
      </c>
      <c r="E35" s="4" t="s">
        <v>297</v>
      </c>
      <c r="F35" s="4"/>
      <c r="G35" s="10">
        <v>310000</v>
      </c>
      <c r="H35" s="10" t="s">
        <v>255</v>
      </c>
      <c r="I35" s="11"/>
      <c r="J35" s="4"/>
      <c r="K35" s="12">
        <v>0.93</v>
      </c>
      <c r="L35" s="13"/>
      <c r="M35" s="13" t="s">
        <v>287</v>
      </c>
      <c r="N35" s="13" t="s">
        <v>288</v>
      </c>
      <c r="O35" s="13"/>
      <c r="P35" s="14">
        <v>6450</v>
      </c>
      <c r="Q35" s="26">
        <f t="shared" si="0"/>
        <v>3225</v>
      </c>
      <c r="R35" s="26">
        <f t="shared" si="1"/>
        <v>5625</v>
      </c>
      <c r="S35">
        <f t="shared" si="2"/>
        <v>3550</v>
      </c>
    </row>
    <row r="36" spans="1:19" x14ac:dyDescent="0.3">
      <c r="A36" s="1" t="s">
        <v>250</v>
      </c>
      <c r="B36" s="3" t="s">
        <v>283</v>
      </c>
      <c r="C36" s="3" t="s">
        <v>284</v>
      </c>
      <c r="D36" s="3" t="s">
        <v>285</v>
      </c>
      <c r="E36" s="3" t="s">
        <v>298</v>
      </c>
      <c r="F36" s="3"/>
      <c r="G36" s="5">
        <v>55000</v>
      </c>
      <c r="H36" s="5" t="s">
        <v>255</v>
      </c>
      <c r="I36" s="6"/>
      <c r="J36" s="3"/>
      <c r="K36" s="7">
        <v>0.93</v>
      </c>
      <c r="L36" s="8"/>
      <c r="M36" s="8" t="s">
        <v>287</v>
      </c>
      <c r="N36" s="8" t="s">
        <v>288</v>
      </c>
      <c r="O36" s="8"/>
      <c r="P36" s="9">
        <v>2210</v>
      </c>
      <c r="Q36" s="26">
        <f t="shared" si="0"/>
        <v>1105</v>
      </c>
      <c r="R36" s="26">
        <f t="shared" si="1"/>
        <v>3505</v>
      </c>
      <c r="S36">
        <f t="shared" si="2"/>
        <v>2275</v>
      </c>
    </row>
    <row r="37" spans="1:19" x14ac:dyDescent="0.3">
      <c r="A37" s="2" t="s">
        <v>250</v>
      </c>
      <c r="B37" s="4" t="s">
        <v>283</v>
      </c>
      <c r="C37" s="4" t="s">
        <v>284</v>
      </c>
      <c r="D37" s="4" t="s">
        <v>285</v>
      </c>
      <c r="E37" s="4" t="s">
        <v>299</v>
      </c>
      <c r="F37" s="4"/>
      <c r="G37" s="10">
        <v>65000</v>
      </c>
      <c r="H37" s="10" t="s">
        <v>255</v>
      </c>
      <c r="I37" s="11"/>
      <c r="J37" s="4"/>
      <c r="K37" s="12">
        <v>0.93</v>
      </c>
      <c r="L37" s="13"/>
      <c r="M37" s="13" t="s">
        <v>287</v>
      </c>
      <c r="N37" s="13" t="s">
        <v>288</v>
      </c>
      <c r="O37" s="13"/>
      <c r="P37" s="14">
        <v>2410</v>
      </c>
      <c r="Q37" s="26">
        <f t="shared" si="0"/>
        <v>1205</v>
      </c>
      <c r="R37" s="26">
        <f t="shared" si="1"/>
        <v>3605</v>
      </c>
      <c r="S37">
        <f t="shared" si="2"/>
        <v>2325</v>
      </c>
    </row>
    <row r="38" spans="1:19" x14ac:dyDescent="0.3">
      <c r="A38" s="1" t="s">
        <v>250</v>
      </c>
      <c r="B38" s="3" t="s">
        <v>283</v>
      </c>
      <c r="C38" s="3" t="s">
        <v>284</v>
      </c>
      <c r="D38" s="3" t="s">
        <v>285</v>
      </c>
      <c r="E38" s="3" t="s">
        <v>300</v>
      </c>
      <c r="F38" s="3"/>
      <c r="G38" s="5">
        <v>85000</v>
      </c>
      <c r="H38" s="5" t="s">
        <v>255</v>
      </c>
      <c r="I38" s="6"/>
      <c r="J38" s="3"/>
      <c r="K38" s="7">
        <v>0.93</v>
      </c>
      <c r="L38" s="8"/>
      <c r="M38" s="8" t="s">
        <v>287</v>
      </c>
      <c r="N38" s="8" t="s">
        <v>288</v>
      </c>
      <c r="O38" s="8"/>
      <c r="P38" s="9">
        <v>2940</v>
      </c>
      <c r="Q38" s="26">
        <f t="shared" si="0"/>
        <v>1470</v>
      </c>
      <c r="R38" s="26">
        <f t="shared" si="1"/>
        <v>3870</v>
      </c>
      <c r="S38">
        <f t="shared" si="2"/>
        <v>2425</v>
      </c>
    </row>
    <row r="39" spans="1:19" x14ac:dyDescent="0.3">
      <c r="A39" s="4" t="s">
        <v>250</v>
      </c>
      <c r="B39" s="4" t="s">
        <v>301</v>
      </c>
      <c r="C39" s="4" t="s">
        <v>302</v>
      </c>
      <c r="D39" s="4" t="s">
        <v>303</v>
      </c>
      <c r="E39" s="4" t="s">
        <v>304</v>
      </c>
      <c r="F39" s="4"/>
      <c r="G39" s="19">
        <v>110000</v>
      </c>
      <c r="H39" s="10" t="s">
        <v>255</v>
      </c>
      <c r="I39" s="20"/>
      <c r="J39" s="21"/>
      <c r="K39" s="13">
        <v>0.93</v>
      </c>
      <c r="L39" s="13"/>
      <c r="M39" s="13" t="s">
        <v>287</v>
      </c>
      <c r="N39" s="13" t="s">
        <v>305</v>
      </c>
      <c r="O39" s="13"/>
      <c r="P39" s="14">
        <v>2124</v>
      </c>
      <c r="Q39" s="26">
        <f t="shared" si="0"/>
        <v>1062</v>
      </c>
      <c r="R39" s="26">
        <f t="shared" si="1"/>
        <v>3462</v>
      </c>
      <c r="S39">
        <f t="shared" si="2"/>
        <v>2550</v>
      </c>
    </row>
    <row r="40" spans="1:19" x14ac:dyDescent="0.3">
      <c r="A40" s="3" t="s">
        <v>250</v>
      </c>
      <c r="B40" s="3" t="s">
        <v>301</v>
      </c>
      <c r="C40" s="3" t="s">
        <v>302</v>
      </c>
      <c r="D40" s="3" t="s">
        <v>303</v>
      </c>
      <c r="E40" s="3" t="s">
        <v>306</v>
      </c>
      <c r="F40" s="3"/>
      <c r="G40" s="15">
        <v>130000</v>
      </c>
      <c r="H40" s="5" t="s">
        <v>255</v>
      </c>
      <c r="I40" s="16"/>
      <c r="J40" s="17"/>
      <c r="K40" s="18">
        <v>0.93</v>
      </c>
      <c r="L40" s="8"/>
      <c r="M40" s="8" t="s">
        <v>287</v>
      </c>
      <c r="N40" s="8" t="s">
        <v>305</v>
      </c>
      <c r="O40" s="8"/>
      <c r="P40" s="9">
        <v>4500</v>
      </c>
      <c r="Q40" s="26">
        <f t="shared" si="0"/>
        <v>2250</v>
      </c>
      <c r="R40" s="26">
        <f t="shared" si="1"/>
        <v>4650</v>
      </c>
      <c r="S40">
        <f t="shared" si="2"/>
        <v>2650</v>
      </c>
    </row>
    <row r="41" spans="1:19" x14ac:dyDescent="0.3">
      <c r="A41" s="4" t="s">
        <v>250</v>
      </c>
      <c r="B41" s="4" t="s">
        <v>301</v>
      </c>
      <c r="C41" s="4" t="s">
        <v>302</v>
      </c>
      <c r="D41" s="4" t="s">
        <v>303</v>
      </c>
      <c r="E41" s="4" t="s">
        <v>307</v>
      </c>
      <c r="F41" s="4"/>
      <c r="G41" s="19">
        <v>175000</v>
      </c>
      <c r="H41" s="10" t="s">
        <v>255</v>
      </c>
      <c r="I41" s="20"/>
      <c r="J41" s="21"/>
      <c r="K41" s="22">
        <v>0.91</v>
      </c>
      <c r="L41" s="13"/>
      <c r="M41" s="13" t="s">
        <v>287</v>
      </c>
      <c r="N41" s="13" t="s">
        <v>305</v>
      </c>
      <c r="O41" s="13"/>
      <c r="P41" s="14">
        <v>5000</v>
      </c>
      <c r="Q41" s="26">
        <f t="shared" si="0"/>
        <v>2500</v>
      </c>
      <c r="R41" s="26">
        <f t="shared" si="1"/>
        <v>4900</v>
      </c>
      <c r="S41">
        <f t="shared" si="2"/>
        <v>2875</v>
      </c>
    </row>
    <row r="42" spans="1:19" x14ac:dyDescent="0.3">
      <c r="A42" s="3" t="s">
        <v>250</v>
      </c>
      <c r="B42" s="3" t="s">
        <v>301</v>
      </c>
      <c r="C42" s="3" t="s">
        <v>302</v>
      </c>
      <c r="D42" s="3" t="s">
        <v>303</v>
      </c>
      <c r="E42" s="3" t="s">
        <v>308</v>
      </c>
      <c r="F42" s="3"/>
      <c r="G42" s="15">
        <v>260000</v>
      </c>
      <c r="H42" s="5" t="s">
        <v>255</v>
      </c>
      <c r="I42" s="16"/>
      <c r="J42" s="17"/>
      <c r="K42" s="18">
        <v>0.92</v>
      </c>
      <c r="L42" s="8"/>
      <c r="M42" s="8" t="s">
        <v>287</v>
      </c>
      <c r="N42" s="8" t="s">
        <v>305</v>
      </c>
      <c r="O42" s="8"/>
      <c r="P42" s="9">
        <v>6100</v>
      </c>
      <c r="Q42" s="26">
        <f t="shared" si="0"/>
        <v>3050</v>
      </c>
      <c r="R42" s="26">
        <f t="shared" si="1"/>
        <v>5450</v>
      </c>
      <c r="S42">
        <f t="shared" si="2"/>
        <v>3300</v>
      </c>
    </row>
    <row r="43" spans="1:19" x14ac:dyDescent="0.3">
      <c r="A43" s="4" t="s">
        <v>250</v>
      </c>
      <c r="B43" s="4" t="s">
        <v>301</v>
      </c>
      <c r="C43" s="4" t="s">
        <v>302</v>
      </c>
      <c r="D43" s="4" t="s">
        <v>303</v>
      </c>
      <c r="E43" s="4" t="s">
        <v>309</v>
      </c>
      <c r="F43" s="4"/>
      <c r="G43" s="19">
        <v>305000</v>
      </c>
      <c r="H43" s="10" t="s">
        <v>255</v>
      </c>
      <c r="I43" s="20"/>
      <c r="J43" s="21"/>
      <c r="K43" s="22">
        <v>0.91</v>
      </c>
      <c r="L43" s="13"/>
      <c r="M43" s="13" t="s">
        <v>287</v>
      </c>
      <c r="N43" s="13" t="s">
        <v>305</v>
      </c>
      <c r="O43" s="13"/>
      <c r="P43" s="14">
        <v>7500</v>
      </c>
      <c r="Q43" s="26">
        <f t="shared" si="0"/>
        <v>3750</v>
      </c>
      <c r="R43" s="26">
        <f t="shared" si="1"/>
        <v>6150</v>
      </c>
      <c r="S43">
        <f t="shared" si="2"/>
        <v>3525</v>
      </c>
    </row>
    <row r="44" spans="1:19" x14ac:dyDescent="0.3">
      <c r="A44" s="3" t="s">
        <v>250</v>
      </c>
      <c r="B44" s="3" t="s">
        <v>301</v>
      </c>
      <c r="C44" s="3" t="s">
        <v>302</v>
      </c>
      <c r="D44" s="3" t="s">
        <v>303</v>
      </c>
      <c r="E44" s="3" t="s">
        <v>310</v>
      </c>
      <c r="F44" s="3"/>
      <c r="G44" s="15">
        <v>55000</v>
      </c>
      <c r="H44" s="5" t="s">
        <v>255</v>
      </c>
      <c r="I44" s="16"/>
      <c r="J44" s="17"/>
      <c r="K44" s="8">
        <v>0.93</v>
      </c>
      <c r="L44" s="8"/>
      <c r="M44" s="8" t="s">
        <v>287</v>
      </c>
      <c r="N44" s="8" t="s">
        <v>305</v>
      </c>
      <c r="O44" s="8"/>
      <c r="P44" s="9">
        <v>1310.26</v>
      </c>
      <c r="Q44" s="26">
        <f t="shared" si="0"/>
        <v>655.13</v>
      </c>
      <c r="R44" s="26">
        <f t="shared" si="1"/>
        <v>3055.13</v>
      </c>
      <c r="S44">
        <f t="shared" si="2"/>
        <v>2275</v>
      </c>
    </row>
    <row r="45" spans="1:19" x14ac:dyDescent="0.3">
      <c r="A45" s="4" t="s">
        <v>250</v>
      </c>
      <c r="B45" s="4" t="s">
        <v>301</v>
      </c>
      <c r="C45" s="4" t="s">
        <v>302</v>
      </c>
      <c r="D45" s="4" t="s">
        <v>303</v>
      </c>
      <c r="E45" s="4" t="s">
        <v>311</v>
      </c>
      <c r="F45" s="4"/>
      <c r="G45" s="19">
        <v>85000</v>
      </c>
      <c r="H45" s="10" t="s">
        <v>255</v>
      </c>
      <c r="I45" s="20"/>
      <c r="J45" s="21"/>
      <c r="K45" s="13">
        <v>0.93</v>
      </c>
      <c r="L45" s="13"/>
      <c r="M45" s="13" t="s">
        <v>287</v>
      </c>
      <c r="N45" s="13" t="s">
        <v>305</v>
      </c>
      <c r="O45" s="13"/>
      <c r="P45" s="14">
        <v>1775</v>
      </c>
      <c r="Q45" s="26">
        <f t="shared" si="0"/>
        <v>887.5</v>
      </c>
      <c r="R45" s="26">
        <f t="shared" si="1"/>
        <v>3287.5</v>
      </c>
      <c r="S45">
        <f t="shared" si="2"/>
        <v>2425</v>
      </c>
    </row>
    <row r="46" spans="1:19" x14ac:dyDescent="0.3">
      <c r="A46" s="1" t="s">
        <v>250</v>
      </c>
      <c r="B46" s="3" t="s">
        <v>312</v>
      </c>
      <c r="C46" s="3" t="s">
        <v>303</v>
      </c>
      <c r="D46" s="3" t="s">
        <v>303</v>
      </c>
      <c r="E46" s="3" t="s">
        <v>313</v>
      </c>
      <c r="F46" s="3"/>
      <c r="G46" s="5">
        <v>130000</v>
      </c>
      <c r="H46" s="5" t="s">
        <v>255</v>
      </c>
      <c r="I46" s="6"/>
      <c r="J46" s="3"/>
      <c r="K46" s="7">
        <v>0.93</v>
      </c>
      <c r="L46" s="8"/>
      <c r="M46" s="8" t="s">
        <v>314</v>
      </c>
      <c r="N46" s="8" t="s">
        <v>305</v>
      </c>
      <c r="O46" s="8"/>
      <c r="P46" s="9">
        <v>3730</v>
      </c>
      <c r="Q46" s="26">
        <f t="shared" si="0"/>
        <v>1865</v>
      </c>
      <c r="R46" s="26">
        <f t="shared" si="1"/>
        <v>4265</v>
      </c>
      <c r="S46">
        <f t="shared" si="2"/>
        <v>2650</v>
      </c>
    </row>
    <row r="47" spans="1:19" x14ac:dyDescent="0.3">
      <c r="A47" s="2" t="s">
        <v>250</v>
      </c>
      <c r="B47" s="4" t="s">
        <v>312</v>
      </c>
      <c r="C47" s="4" t="s">
        <v>303</v>
      </c>
      <c r="D47" s="4" t="s">
        <v>303</v>
      </c>
      <c r="E47" s="4" t="s">
        <v>315</v>
      </c>
      <c r="F47" s="4"/>
      <c r="G47" s="10">
        <v>180000</v>
      </c>
      <c r="H47" s="10" t="s">
        <v>255</v>
      </c>
      <c r="I47" s="11"/>
      <c r="J47" s="4"/>
      <c r="K47" s="12">
        <v>0.91</v>
      </c>
      <c r="L47" s="13"/>
      <c r="M47" s="13" t="s">
        <v>314</v>
      </c>
      <c r="N47" s="13" t="s">
        <v>305</v>
      </c>
      <c r="O47" s="13"/>
      <c r="P47" s="14">
        <v>4100</v>
      </c>
      <c r="Q47" s="26">
        <f t="shared" si="0"/>
        <v>2050</v>
      </c>
      <c r="R47" s="26">
        <f t="shared" si="1"/>
        <v>4450</v>
      </c>
      <c r="S47">
        <f t="shared" si="2"/>
        <v>2900</v>
      </c>
    </row>
    <row r="48" spans="1:19" x14ac:dyDescent="0.3">
      <c r="A48" s="1" t="s">
        <v>250</v>
      </c>
      <c r="B48" s="3" t="s">
        <v>312</v>
      </c>
      <c r="C48" s="3" t="s">
        <v>303</v>
      </c>
      <c r="D48" s="3" t="s">
        <v>303</v>
      </c>
      <c r="E48" s="3" t="s">
        <v>316</v>
      </c>
      <c r="F48" s="3"/>
      <c r="G48" s="5">
        <v>260000</v>
      </c>
      <c r="H48" s="5" t="s">
        <v>255</v>
      </c>
      <c r="I48" s="6"/>
      <c r="J48" s="3"/>
      <c r="K48" s="7">
        <v>0.92</v>
      </c>
      <c r="L48" s="8"/>
      <c r="M48" s="8" t="s">
        <v>314</v>
      </c>
      <c r="N48" s="8" t="s">
        <v>305</v>
      </c>
      <c r="O48" s="8"/>
      <c r="P48" s="9">
        <v>5190</v>
      </c>
      <c r="Q48" s="26">
        <f t="shared" si="0"/>
        <v>2595</v>
      </c>
      <c r="R48" s="26">
        <f t="shared" si="1"/>
        <v>4995</v>
      </c>
      <c r="S48">
        <f t="shared" si="2"/>
        <v>3300</v>
      </c>
    </row>
    <row r="49" spans="1:19" x14ac:dyDescent="0.3">
      <c r="A49" s="2" t="s">
        <v>250</v>
      </c>
      <c r="B49" s="4" t="s">
        <v>312</v>
      </c>
      <c r="C49" s="4" t="s">
        <v>303</v>
      </c>
      <c r="D49" s="4" t="s">
        <v>303</v>
      </c>
      <c r="E49" s="4" t="s">
        <v>317</v>
      </c>
      <c r="F49" s="4"/>
      <c r="G49" s="10">
        <v>310000</v>
      </c>
      <c r="H49" s="10" t="s">
        <v>255</v>
      </c>
      <c r="I49" s="11"/>
      <c r="J49" s="4"/>
      <c r="K49" s="12">
        <v>0.91</v>
      </c>
      <c r="L49" s="13"/>
      <c r="M49" s="13" t="s">
        <v>314</v>
      </c>
      <c r="N49" s="13" t="s">
        <v>305</v>
      </c>
      <c r="O49" s="13"/>
      <c r="P49" s="14">
        <v>6390</v>
      </c>
      <c r="Q49" s="26">
        <f t="shared" si="0"/>
        <v>3195</v>
      </c>
      <c r="R49" s="26">
        <f t="shared" si="1"/>
        <v>5595</v>
      </c>
      <c r="S49">
        <f t="shared" si="2"/>
        <v>3550</v>
      </c>
    </row>
    <row r="50" spans="1:19" x14ac:dyDescent="0.3">
      <c r="A50" s="3" t="s">
        <v>250</v>
      </c>
      <c r="B50" s="3" t="s">
        <v>318</v>
      </c>
      <c r="C50" s="3" t="s">
        <v>318</v>
      </c>
      <c r="D50" s="3" t="s">
        <v>318</v>
      </c>
      <c r="E50" s="3" t="s">
        <v>319</v>
      </c>
      <c r="F50" s="3"/>
      <c r="G50" s="15">
        <v>100000</v>
      </c>
      <c r="H50" s="5" t="s">
        <v>255</v>
      </c>
      <c r="I50" s="16"/>
      <c r="J50" s="17"/>
      <c r="K50" s="18">
        <v>0.95499999999999996</v>
      </c>
      <c r="L50" s="8"/>
      <c r="M50" s="8" t="s">
        <v>320</v>
      </c>
      <c r="N50" s="8" t="s">
        <v>257</v>
      </c>
      <c r="O50" s="8"/>
      <c r="P50" s="9">
        <v>5015</v>
      </c>
      <c r="Q50" s="26">
        <f t="shared" si="0"/>
        <v>2507.5</v>
      </c>
      <c r="R50" s="26">
        <f t="shared" si="1"/>
        <v>4907.5</v>
      </c>
      <c r="S50">
        <f t="shared" si="2"/>
        <v>2500</v>
      </c>
    </row>
    <row r="51" spans="1:19" x14ac:dyDescent="0.3">
      <c r="A51" s="4" t="s">
        <v>250</v>
      </c>
      <c r="B51" s="4" t="s">
        <v>318</v>
      </c>
      <c r="C51" s="4" t="s">
        <v>318</v>
      </c>
      <c r="D51" s="4" t="s">
        <v>318</v>
      </c>
      <c r="E51" s="4" t="s">
        <v>321</v>
      </c>
      <c r="F51" s="4"/>
      <c r="G51" s="19">
        <v>120000</v>
      </c>
      <c r="H51" s="10" t="s">
        <v>255</v>
      </c>
      <c r="I51" s="20"/>
      <c r="J51" s="21"/>
      <c r="K51" s="22">
        <v>0.95199999999999996</v>
      </c>
      <c r="L51" s="13"/>
      <c r="M51" s="13" t="s">
        <v>320</v>
      </c>
      <c r="N51" s="13" t="s">
        <v>257</v>
      </c>
      <c r="O51" s="13"/>
      <c r="P51" s="14">
        <v>5240</v>
      </c>
      <c r="Q51" s="26">
        <f t="shared" si="0"/>
        <v>2620</v>
      </c>
      <c r="R51" s="26">
        <f t="shared" si="1"/>
        <v>5020</v>
      </c>
      <c r="S51">
        <f t="shared" si="2"/>
        <v>2600</v>
      </c>
    </row>
    <row r="52" spans="1:19" x14ac:dyDescent="0.3">
      <c r="A52" s="3" t="s">
        <v>250</v>
      </c>
      <c r="B52" s="3" t="s">
        <v>318</v>
      </c>
      <c r="C52" s="3" t="s">
        <v>318</v>
      </c>
      <c r="D52" s="3" t="s">
        <v>318</v>
      </c>
      <c r="E52" s="3" t="s">
        <v>322</v>
      </c>
      <c r="F52" s="3"/>
      <c r="G52" s="15">
        <v>120000</v>
      </c>
      <c r="H52" s="5" t="s">
        <v>255</v>
      </c>
      <c r="I52" s="16"/>
      <c r="J52" s="17"/>
      <c r="K52" s="18">
        <v>0.95</v>
      </c>
      <c r="L52" s="8"/>
      <c r="M52" s="8" t="s">
        <v>320</v>
      </c>
      <c r="N52" s="8" t="s">
        <v>257</v>
      </c>
      <c r="O52" s="8"/>
      <c r="P52" s="9">
        <v>5600</v>
      </c>
      <c r="Q52" s="26">
        <f t="shared" si="0"/>
        <v>2800</v>
      </c>
      <c r="R52" s="26">
        <f t="shared" si="1"/>
        <v>5200</v>
      </c>
      <c r="S52">
        <f t="shared" si="2"/>
        <v>2600</v>
      </c>
    </row>
    <row r="53" spans="1:19" x14ac:dyDescent="0.3">
      <c r="A53" s="4" t="s">
        <v>250</v>
      </c>
      <c r="B53" s="4" t="s">
        <v>318</v>
      </c>
      <c r="C53" s="4" t="s">
        <v>318</v>
      </c>
      <c r="D53" s="4" t="s">
        <v>318</v>
      </c>
      <c r="E53" s="4" t="s">
        <v>323</v>
      </c>
      <c r="F53" s="4"/>
      <c r="G53" s="19">
        <v>150000</v>
      </c>
      <c r="H53" s="10" t="s">
        <v>255</v>
      </c>
      <c r="I53" s="20"/>
      <c r="J53" s="21"/>
      <c r="K53" s="22">
        <v>0.95499999999999996</v>
      </c>
      <c r="L53" s="13"/>
      <c r="M53" s="13" t="s">
        <v>320</v>
      </c>
      <c r="N53" s="13" t="s">
        <v>257</v>
      </c>
      <c r="O53" s="13"/>
      <c r="P53" s="14">
        <v>5765</v>
      </c>
      <c r="Q53" s="26">
        <f t="shared" si="0"/>
        <v>2882.5</v>
      </c>
      <c r="R53" s="26">
        <f t="shared" si="1"/>
        <v>5282.5</v>
      </c>
      <c r="S53">
        <f t="shared" si="2"/>
        <v>2750</v>
      </c>
    </row>
    <row r="54" spans="1:19" x14ac:dyDescent="0.3">
      <c r="A54" s="3" t="s">
        <v>250</v>
      </c>
      <c r="B54" s="3" t="s">
        <v>318</v>
      </c>
      <c r="C54" s="3" t="s">
        <v>318</v>
      </c>
      <c r="D54" s="3" t="s">
        <v>318</v>
      </c>
      <c r="E54" s="3" t="s">
        <v>324</v>
      </c>
      <c r="F54" s="3"/>
      <c r="G54" s="15">
        <v>180000</v>
      </c>
      <c r="H54" s="5" t="s">
        <v>255</v>
      </c>
      <c r="I54" s="16"/>
      <c r="J54" s="17"/>
      <c r="K54" s="18">
        <v>0.95199999999999996</v>
      </c>
      <c r="L54" s="8"/>
      <c r="M54" s="8" t="s">
        <v>320</v>
      </c>
      <c r="N54" s="8" t="s">
        <v>257</v>
      </c>
      <c r="O54" s="8"/>
      <c r="P54" s="9">
        <v>6205</v>
      </c>
      <c r="Q54" s="26">
        <f t="shared" si="0"/>
        <v>3102.5</v>
      </c>
      <c r="R54" s="26">
        <f t="shared" si="1"/>
        <v>5502.5</v>
      </c>
      <c r="S54">
        <f t="shared" si="2"/>
        <v>2900</v>
      </c>
    </row>
    <row r="55" spans="1:19" x14ac:dyDescent="0.3">
      <c r="A55" s="4" t="s">
        <v>250</v>
      </c>
      <c r="B55" s="4" t="s">
        <v>318</v>
      </c>
      <c r="C55" s="4" t="s">
        <v>318</v>
      </c>
      <c r="D55" s="4" t="s">
        <v>318</v>
      </c>
      <c r="E55" s="4" t="s">
        <v>325</v>
      </c>
      <c r="F55" s="4"/>
      <c r="G55" s="19">
        <v>180000</v>
      </c>
      <c r="H55" s="10" t="s">
        <v>255</v>
      </c>
      <c r="I55" s="20"/>
      <c r="J55" s="21"/>
      <c r="K55" s="22">
        <v>0.95299999999999996</v>
      </c>
      <c r="L55" s="13"/>
      <c r="M55" s="13" t="s">
        <v>320</v>
      </c>
      <c r="N55" s="13" t="s">
        <v>257</v>
      </c>
      <c r="O55" s="13"/>
      <c r="P55" s="14">
        <v>6500</v>
      </c>
      <c r="Q55" s="26">
        <f t="shared" si="0"/>
        <v>3250</v>
      </c>
      <c r="R55" s="26">
        <f t="shared" si="1"/>
        <v>5650</v>
      </c>
      <c r="S55">
        <f t="shared" si="2"/>
        <v>2900</v>
      </c>
    </row>
    <row r="56" spans="1:19" x14ac:dyDescent="0.3">
      <c r="A56" s="3" t="s">
        <v>250</v>
      </c>
      <c r="B56" s="3" t="s">
        <v>318</v>
      </c>
      <c r="C56" s="3" t="s">
        <v>318</v>
      </c>
      <c r="D56" s="3" t="s">
        <v>318</v>
      </c>
      <c r="E56" s="3" t="s">
        <v>326</v>
      </c>
      <c r="F56" s="3"/>
      <c r="G56" s="15">
        <v>295000</v>
      </c>
      <c r="H56" s="5" t="s">
        <v>255</v>
      </c>
      <c r="I56" s="16"/>
      <c r="J56" s="17"/>
      <c r="K56" s="18">
        <v>0.95099999999999996</v>
      </c>
      <c r="L56" s="8"/>
      <c r="M56" s="8" t="s">
        <v>320</v>
      </c>
      <c r="N56" s="8" t="s">
        <v>257</v>
      </c>
      <c r="O56" s="8"/>
      <c r="P56" s="9">
        <v>12355</v>
      </c>
      <c r="Q56" s="26">
        <f t="shared" si="0"/>
        <v>6177.5</v>
      </c>
      <c r="R56" s="26">
        <f t="shared" si="1"/>
        <v>8577.5</v>
      </c>
      <c r="S56">
        <f t="shared" si="2"/>
        <v>3475</v>
      </c>
    </row>
    <row r="57" spans="1:19" x14ac:dyDescent="0.3">
      <c r="A57" s="4" t="s">
        <v>250</v>
      </c>
      <c r="B57" s="4" t="s">
        <v>318</v>
      </c>
      <c r="C57" s="4" t="s">
        <v>318</v>
      </c>
      <c r="D57" s="4" t="s">
        <v>318</v>
      </c>
      <c r="E57" s="4" t="s">
        <v>327</v>
      </c>
      <c r="F57" s="4"/>
      <c r="G57" s="19">
        <v>396000</v>
      </c>
      <c r="H57" s="10" t="s">
        <v>255</v>
      </c>
      <c r="I57" s="20"/>
      <c r="J57" s="21"/>
      <c r="K57" s="22">
        <v>0.95499999999999996</v>
      </c>
      <c r="L57" s="13"/>
      <c r="M57" s="13" t="s">
        <v>320</v>
      </c>
      <c r="N57" s="13" t="s">
        <v>257</v>
      </c>
      <c r="O57" s="13"/>
      <c r="P57" s="14">
        <v>14770</v>
      </c>
      <c r="Q57" s="26">
        <f t="shared" si="0"/>
        <v>7385</v>
      </c>
      <c r="R57" s="26">
        <f t="shared" si="1"/>
        <v>9785</v>
      </c>
      <c r="S57">
        <f t="shared" si="2"/>
        <v>3980</v>
      </c>
    </row>
    <row r="58" spans="1:19" x14ac:dyDescent="0.3">
      <c r="A58" s="3" t="s">
        <v>250</v>
      </c>
      <c r="B58" s="3" t="s">
        <v>318</v>
      </c>
      <c r="C58" s="3" t="s">
        <v>318</v>
      </c>
      <c r="D58" s="3" t="s">
        <v>318</v>
      </c>
      <c r="E58" s="3" t="s">
        <v>328</v>
      </c>
      <c r="F58" s="3"/>
      <c r="G58" s="15">
        <v>500000</v>
      </c>
      <c r="H58" s="5" t="s">
        <v>255</v>
      </c>
      <c r="I58" s="16"/>
      <c r="J58" s="17"/>
      <c r="K58" s="18">
        <v>0.95099999999999996</v>
      </c>
      <c r="L58" s="8"/>
      <c r="M58" s="8" t="s">
        <v>320</v>
      </c>
      <c r="N58" s="8" t="s">
        <v>257</v>
      </c>
      <c r="O58" s="8"/>
      <c r="P58" s="9">
        <v>20170</v>
      </c>
      <c r="Q58" s="26">
        <f t="shared" si="0"/>
        <v>10085</v>
      </c>
      <c r="R58" s="26">
        <f t="shared" si="1"/>
        <v>12485</v>
      </c>
      <c r="S58">
        <f t="shared" si="2"/>
        <v>4500</v>
      </c>
    </row>
    <row r="59" spans="1:19" x14ac:dyDescent="0.3">
      <c r="A59" s="4" t="s">
        <v>250</v>
      </c>
      <c r="B59" s="4" t="s">
        <v>318</v>
      </c>
      <c r="C59" s="4" t="s">
        <v>318</v>
      </c>
      <c r="D59" s="4" t="s">
        <v>318</v>
      </c>
      <c r="E59" s="4" t="s">
        <v>329</v>
      </c>
      <c r="F59" s="4"/>
      <c r="G59" s="19">
        <v>80000</v>
      </c>
      <c r="H59" s="10" t="s">
        <v>255</v>
      </c>
      <c r="I59" s="20"/>
      <c r="J59" s="21"/>
      <c r="K59" s="22">
        <v>0.95699999999999996</v>
      </c>
      <c r="L59" s="13"/>
      <c r="M59" s="13" t="s">
        <v>320</v>
      </c>
      <c r="N59" s="13" t="s">
        <v>257</v>
      </c>
      <c r="O59" s="13"/>
      <c r="P59" s="14">
        <v>5005</v>
      </c>
      <c r="Q59" s="26">
        <f t="shared" si="0"/>
        <v>2502.5</v>
      </c>
      <c r="R59" s="26">
        <f t="shared" si="1"/>
        <v>4902.5</v>
      </c>
      <c r="S59">
        <f t="shared" si="2"/>
        <v>2400</v>
      </c>
    </row>
    <row r="60" spans="1:19" x14ac:dyDescent="0.3">
      <c r="A60" s="3" t="s">
        <v>250</v>
      </c>
      <c r="B60" s="3" t="s">
        <v>318</v>
      </c>
      <c r="C60" s="3" t="s">
        <v>318</v>
      </c>
      <c r="D60" s="3" t="s">
        <v>318</v>
      </c>
      <c r="E60" s="3" t="s">
        <v>330</v>
      </c>
      <c r="F60" s="3"/>
      <c r="G60" s="15">
        <v>90000</v>
      </c>
      <c r="H60" s="5" t="s">
        <v>255</v>
      </c>
      <c r="I60" s="16"/>
      <c r="J60" s="17"/>
      <c r="K60" s="18">
        <v>0.95699999999999996</v>
      </c>
      <c r="L60" s="8"/>
      <c r="M60" s="8" t="s">
        <v>320</v>
      </c>
      <c r="N60" s="8" t="s">
        <v>257</v>
      </c>
      <c r="O60" s="8"/>
      <c r="P60" s="9">
        <v>5010</v>
      </c>
      <c r="Q60" s="26">
        <f t="shared" si="0"/>
        <v>2505</v>
      </c>
      <c r="R60" s="26">
        <f t="shared" si="1"/>
        <v>4905</v>
      </c>
      <c r="S60">
        <f t="shared" si="2"/>
        <v>2450</v>
      </c>
    </row>
    <row r="61" spans="1:19" x14ac:dyDescent="0.3">
      <c r="A61" s="4" t="s">
        <v>250</v>
      </c>
      <c r="B61" s="4" t="s">
        <v>331</v>
      </c>
      <c r="C61" s="4" t="s">
        <v>332</v>
      </c>
      <c r="D61" s="4" t="s">
        <v>333</v>
      </c>
      <c r="E61" s="4" t="s">
        <v>334</v>
      </c>
      <c r="F61" s="4"/>
      <c r="G61" s="19">
        <v>114000</v>
      </c>
      <c r="H61" s="10" t="s">
        <v>255</v>
      </c>
      <c r="I61" s="20"/>
      <c r="J61" s="21"/>
      <c r="K61" s="22">
        <v>0.96040000000000003</v>
      </c>
      <c r="L61" s="13"/>
      <c r="M61" s="13" t="s">
        <v>256</v>
      </c>
      <c r="N61" s="13" t="s">
        <v>257</v>
      </c>
      <c r="O61" s="13"/>
      <c r="P61" s="14">
        <v>2400</v>
      </c>
      <c r="Q61" s="26">
        <f t="shared" si="0"/>
        <v>1200</v>
      </c>
      <c r="R61" s="26">
        <f t="shared" si="1"/>
        <v>3600</v>
      </c>
      <c r="S61">
        <f t="shared" si="2"/>
        <v>2570</v>
      </c>
    </row>
    <row r="62" spans="1:19" x14ac:dyDescent="0.3">
      <c r="A62" s="3" t="s">
        <v>250</v>
      </c>
      <c r="B62" s="3" t="s">
        <v>331</v>
      </c>
      <c r="C62" s="3" t="s">
        <v>332</v>
      </c>
      <c r="D62" s="3" t="s">
        <v>333</v>
      </c>
      <c r="E62" s="3" t="s">
        <v>335</v>
      </c>
      <c r="F62" s="3"/>
      <c r="G62" s="15">
        <v>151000</v>
      </c>
      <c r="H62" s="5" t="s">
        <v>255</v>
      </c>
      <c r="I62" s="16"/>
      <c r="J62" s="17"/>
      <c r="K62" s="18">
        <v>0.95760000000000001</v>
      </c>
      <c r="L62" s="8"/>
      <c r="M62" s="8" t="s">
        <v>256</v>
      </c>
      <c r="N62" s="8" t="s">
        <v>257</v>
      </c>
      <c r="O62" s="8"/>
      <c r="P62" s="9">
        <v>2775</v>
      </c>
      <c r="Q62" s="26">
        <f t="shared" si="0"/>
        <v>1387.5</v>
      </c>
      <c r="R62" s="26">
        <f t="shared" si="1"/>
        <v>3787.5</v>
      </c>
      <c r="S62">
        <f t="shared" si="2"/>
        <v>2755</v>
      </c>
    </row>
    <row r="63" spans="1:19" x14ac:dyDescent="0.3">
      <c r="A63" s="4" t="s">
        <v>250</v>
      </c>
      <c r="B63" s="4" t="s">
        <v>331</v>
      </c>
      <c r="C63" s="4" t="s">
        <v>332</v>
      </c>
      <c r="D63" s="4" t="s">
        <v>333</v>
      </c>
      <c r="E63" s="4" t="s">
        <v>336</v>
      </c>
      <c r="F63" s="4"/>
      <c r="G63" s="19">
        <v>189000</v>
      </c>
      <c r="H63" s="10" t="s">
        <v>255</v>
      </c>
      <c r="I63" s="20"/>
      <c r="J63" s="21"/>
      <c r="K63" s="22">
        <v>0.96689999999999998</v>
      </c>
      <c r="L63" s="13"/>
      <c r="M63" s="13" t="s">
        <v>256</v>
      </c>
      <c r="N63" s="13" t="s">
        <v>257</v>
      </c>
      <c r="O63" s="13"/>
      <c r="P63" s="14">
        <v>3125</v>
      </c>
      <c r="Q63" s="26">
        <f t="shared" si="0"/>
        <v>1562.5</v>
      </c>
      <c r="R63" s="26">
        <f t="shared" si="1"/>
        <v>3962.5</v>
      </c>
      <c r="S63">
        <f t="shared" si="2"/>
        <v>2945</v>
      </c>
    </row>
    <row r="64" spans="1:19" x14ac:dyDescent="0.3">
      <c r="A64" s="3" t="s">
        <v>250</v>
      </c>
      <c r="B64" s="3" t="s">
        <v>331</v>
      </c>
      <c r="C64" s="3" t="s">
        <v>332</v>
      </c>
      <c r="D64" s="3" t="s">
        <v>333</v>
      </c>
      <c r="E64" s="3" t="s">
        <v>337</v>
      </c>
      <c r="F64" s="3"/>
      <c r="G64" s="15">
        <v>227000</v>
      </c>
      <c r="H64" s="5" t="s">
        <v>255</v>
      </c>
      <c r="I64" s="16"/>
      <c r="J64" s="17"/>
      <c r="K64" s="18">
        <v>0.9546</v>
      </c>
      <c r="L64" s="8"/>
      <c r="M64" s="8" t="s">
        <v>256</v>
      </c>
      <c r="N64" s="8" t="s">
        <v>257</v>
      </c>
      <c r="O64" s="8"/>
      <c r="P64" s="9">
        <v>3475</v>
      </c>
      <c r="Q64" s="26">
        <f t="shared" si="0"/>
        <v>1737.5</v>
      </c>
      <c r="R64" s="26">
        <f t="shared" si="1"/>
        <v>4137.5</v>
      </c>
      <c r="S64">
        <f t="shared" si="2"/>
        <v>3135</v>
      </c>
    </row>
    <row r="65" spans="1:19" x14ac:dyDescent="0.3">
      <c r="A65" s="4" t="s">
        <v>250</v>
      </c>
      <c r="B65" s="4" t="s">
        <v>331</v>
      </c>
      <c r="C65" s="4" t="s">
        <v>332</v>
      </c>
      <c r="D65" s="4" t="s">
        <v>333</v>
      </c>
      <c r="E65" s="4" t="s">
        <v>338</v>
      </c>
      <c r="F65" s="4"/>
      <c r="G65" s="19">
        <v>47000</v>
      </c>
      <c r="H65" s="10" t="s">
        <v>255</v>
      </c>
      <c r="I65" s="20"/>
      <c r="J65" s="21"/>
      <c r="K65" s="22">
        <v>0.9526</v>
      </c>
      <c r="L65" s="13"/>
      <c r="M65" s="13" t="s">
        <v>256</v>
      </c>
      <c r="N65" s="13" t="s">
        <v>257</v>
      </c>
      <c r="O65" s="13"/>
      <c r="P65" s="14">
        <v>1900</v>
      </c>
      <c r="Q65" s="26">
        <f t="shared" si="0"/>
        <v>950</v>
      </c>
      <c r="R65" s="26">
        <f t="shared" si="1"/>
        <v>3350</v>
      </c>
      <c r="S65">
        <f t="shared" si="2"/>
        <v>2235</v>
      </c>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35a76b4-c220-4e35-93f0-ae3a84c709cc" xsi:nil="true"/>
    <lcf76f155ced4ddcb4097134ff3c332f xmlns="dcd6b121-3296-49b0-9919-12643eb8756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5C5755661E634A8D8AD65236E50D23" ma:contentTypeVersion="13" ma:contentTypeDescription="Crée un document." ma:contentTypeScope="" ma:versionID="e1563018f59808232357633ac98f1cbe">
  <xsd:schema xmlns:xsd="http://www.w3.org/2001/XMLSchema" xmlns:xs="http://www.w3.org/2001/XMLSchema" xmlns:p="http://schemas.microsoft.com/office/2006/metadata/properties" xmlns:ns2="dcd6b121-3296-49b0-9919-12643eb87564" xmlns:ns3="035a76b4-c220-4e35-93f0-ae3a84c709cc" targetNamespace="http://schemas.microsoft.com/office/2006/metadata/properties" ma:root="true" ma:fieldsID="ac8f43f04110b5e0bfcd594d0c4729d1" ns2:_="" ns3:_="">
    <xsd:import namespace="dcd6b121-3296-49b0-9919-12643eb87564"/>
    <xsd:import namespace="035a76b4-c220-4e35-93f0-ae3a84c709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BillingMetadata"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6b121-3296-49b0-9919-12643eb87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BillingMetadata" ma:index="11" nillable="true" ma:displayName="MediaServiceBillingMetadata" ma:hidden="true" ma:internalName="MediaServiceBilling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060fd4b1-590a-4863-a642-a3a7f8f6c15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5a76b4-c220-4e35-93f0-ae3a84c709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08a3f6f-f244-44d5-865c-7668bd1bfdc6}" ma:internalName="TaxCatchAll" ma:showField="CatchAllData" ma:web="035a76b4-c220-4e35-93f0-ae3a84c709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12943C46-67D2-4F0D-858A-7F3F960AA643}">
  <ds:schemaRefs>
    <ds:schemaRef ds:uri="http://purl.org/dc/dcmitype/"/>
    <ds:schemaRef ds:uri="http://schemas.microsoft.com/office/2006/metadata/properties"/>
    <ds:schemaRef ds:uri="http://schemas.microsoft.com/office/infopath/2007/PartnerControls"/>
    <ds:schemaRef ds:uri="b671e4ae-b606-4664-94ca-33f4e1ee5c43"/>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F817A56-675A-4337-858E-83785317CF7F}">
  <ds:schemaRefs>
    <ds:schemaRef ds:uri="http://schemas.microsoft.com/sharepoint/v3/contenttype/forms"/>
  </ds:schemaRefs>
</ds:datastoreItem>
</file>

<file path=customXml/itemProps3.xml><?xml version="1.0" encoding="utf-8"?>
<ds:datastoreItem xmlns:ds="http://schemas.openxmlformats.org/officeDocument/2006/customXml" ds:itemID="{17174E18-AF91-48EE-869D-5334F224E48B}"/>
</file>

<file path=customXml/itemProps4.xml><?xml version="1.0" encoding="utf-8"?>
<ds:datastoreItem xmlns:ds="http://schemas.openxmlformats.org/officeDocument/2006/customXml" ds:itemID="{C05F1B46-EC75-452C-9045-E0F153D28A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Guide d'utilisation</vt:lpstr>
      <vt:lpstr>Calculateur</vt:lpstr>
      <vt:lpstr>Outil V3</vt:lpstr>
      <vt:lpstr>Instructions</vt:lpstr>
      <vt:lpstr>Prix GN</vt:lpstr>
      <vt:lpstr>Économies réelles</vt:lpstr>
      <vt:lpstr>Validation</vt:lpstr>
      <vt:lpstr>Courbe</vt:lpstr>
      <vt:lpstr>Instructions!Aérotherme</vt:lpstr>
      <vt:lpstr>Controle</vt:lpstr>
      <vt:lpstr>Instructions!Infrarouge</vt:lpstr>
      <vt:lpstr>InfrarougeListe</vt:lpstr>
      <vt:lpstr>NA</vt:lpstr>
      <vt:lpstr>StandardListe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Dubois Stéphanie</dc:creator>
  <cp:keywords/>
  <dc:description/>
  <cp:lastModifiedBy>Ye Bernard</cp:lastModifiedBy>
  <cp:revision/>
  <dcterms:created xsi:type="dcterms:W3CDTF">2023-11-06T20:06:01Z</dcterms:created>
  <dcterms:modified xsi:type="dcterms:W3CDTF">2025-08-04T18:49:02Z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0x010100585C5755661E634A8D8AD65236E50D23</vt:lpwstr>
  </property>
  <property fmtid="{D5CDD505-2E9C-101B-9397-08002B2CF9AE}" pid="3" name="MediaServiceImageTags">
    <vt:lpwstr/>
  </property>
</Properties>
</file>